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4.xml" ContentType="application/vnd.ms-office.chartcolorstyle+xml"/>
  <Override PartName="/xl/charts/style4.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05" yWindow="-105" windowWidth="35310" windowHeight="18000"/>
  </bookViews>
  <sheets>
    <sheet name="Stock Review" sheetId="1" r:id="rId1"/>
    <sheet name="Stock Chart" sheetId="3" r:id="rId2"/>
    <sheet name="EPS Chart" sheetId="2" r:id="rId3"/>
  </sheets>
  <externalReferences>
    <externalReference r:id="rId4"/>
  </externalReferences>
  <definedNames>
    <definedName name="pStartDt">'Stock Chart'!$V$9</definedName>
    <definedName name="Ticker">'Stock Review'!$B$1</definedName>
  </definedNames>
  <calcPr calcId="145621"/>
</workbook>
</file>

<file path=xl/calcChain.xml><?xml version="1.0" encoding="utf-8"?>
<calcChain xmlns="http://schemas.openxmlformats.org/spreadsheetml/2006/main">
  <c r="V10" i="3" l="1"/>
  <c r="V9" i="3" s="1"/>
  <c r="C4" i="1"/>
  <c r="H1" i="1"/>
  <c r="N1" i="1"/>
  <c r="L62" i="1"/>
  <c r="B28" i="2" a="1"/>
  <c r="E1" i="3"/>
  <c r="C1" i="1"/>
  <c r="L63" i="1"/>
  <c r="L64" i="1"/>
  <c r="D1" i="3"/>
  <c r="B28" i="2" l="1"/>
  <c r="C29" i="2"/>
  <c r="D30" i="2"/>
  <c r="E31" i="2"/>
  <c r="F32" i="2"/>
  <c r="B34" i="2"/>
  <c r="C35" i="2"/>
  <c r="D36" i="2"/>
  <c r="E37" i="2"/>
  <c r="F38" i="2"/>
  <c r="B40" i="2"/>
  <c r="C41" i="2"/>
  <c r="D42" i="2"/>
  <c r="E43" i="2"/>
  <c r="F44" i="2"/>
  <c r="B46" i="2"/>
  <c r="C47" i="2"/>
  <c r="D48" i="2"/>
  <c r="E49" i="2"/>
  <c r="F50" i="2"/>
  <c r="B52" i="2"/>
  <c r="C53" i="2"/>
  <c r="D54" i="2"/>
  <c r="E55" i="2"/>
  <c r="F56" i="2"/>
  <c r="B58" i="2"/>
  <c r="C59" i="2"/>
  <c r="D60" i="2"/>
  <c r="E61" i="2"/>
  <c r="F62" i="2"/>
  <c r="B64" i="2"/>
  <c r="C65" i="2"/>
  <c r="D66" i="2"/>
  <c r="E67" i="2"/>
  <c r="F68" i="2"/>
  <c r="B70" i="2"/>
  <c r="C71" i="2"/>
  <c r="D72" i="2"/>
  <c r="E73" i="2"/>
  <c r="F74" i="2"/>
  <c r="B76" i="2"/>
  <c r="C77" i="2"/>
  <c r="D78" i="2"/>
  <c r="E79" i="2"/>
  <c r="F80" i="2"/>
  <c r="B82" i="2"/>
  <c r="C83" i="2"/>
  <c r="D84" i="2"/>
  <c r="E85" i="2"/>
  <c r="F86" i="2"/>
  <c r="B88" i="2"/>
  <c r="C89" i="2"/>
  <c r="D90" i="2"/>
  <c r="E91" i="2"/>
  <c r="F92" i="2"/>
  <c r="B94" i="2"/>
  <c r="C95" i="2"/>
  <c r="D96" i="2"/>
  <c r="E97" i="2"/>
  <c r="F98" i="2"/>
  <c r="C28" i="2"/>
  <c r="D29" i="2"/>
  <c r="E30" i="2"/>
  <c r="F31" i="2"/>
  <c r="B33" i="2"/>
  <c r="C34" i="2"/>
  <c r="D35" i="2"/>
  <c r="E36" i="2"/>
  <c r="F37" i="2"/>
  <c r="B39" i="2"/>
  <c r="C40" i="2"/>
  <c r="D41" i="2"/>
  <c r="E42" i="2"/>
  <c r="F43" i="2"/>
  <c r="B45" i="2"/>
  <c r="C46" i="2"/>
  <c r="D47" i="2"/>
  <c r="E48" i="2"/>
  <c r="F49" i="2"/>
  <c r="B51" i="2"/>
  <c r="C52" i="2"/>
  <c r="D53" i="2"/>
  <c r="E54" i="2"/>
  <c r="F55" i="2"/>
  <c r="B57" i="2"/>
  <c r="C58" i="2"/>
  <c r="D59" i="2"/>
  <c r="E60" i="2"/>
  <c r="F61" i="2"/>
  <c r="B63" i="2"/>
  <c r="C64" i="2"/>
  <c r="D65" i="2"/>
  <c r="E66" i="2"/>
  <c r="F67" i="2"/>
  <c r="B69" i="2"/>
  <c r="C70" i="2"/>
  <c r="D71" i="2"/>
  <c r="E72" i="2"/>
  <c r="F73" i="2"/>
  <c r="B75" i="2"/>
  <c r="C76" i="2"/>
  <c r="D77" i="2"/>
  <c r="E78" i="2"/>
  <c r="F79" i="2"/>
  <c r="B81" i="2"/>
  <c r="C82" i="2"/>
  <c r="D83" i="2"/>
  <c r="E84" i="2"/>
  <c r="F85" i="2"/>
  <c r="B87" i="2"/>
  <c r="C88" i="2"/>
  <c r="D89" i="2"/>
  <c r="E90" i="2"/>
  <c r="F91" i="2"/>
  <c r="B93" i="2"/>
  <c r="C94" i="2"/>
  <c r="D95" i="2"/>
  <c r="E96" i="2"/>
  <c r="F97" i="2"/>
  <c r="B99" i="2"/>
  <c r="C100" i="2"/>
  <c r="D101" i="2"/>
  <c r="E102" i="2"/>
  <c r="F103" i="2"/>
  <c r="B105" i="2"/>
  <c r="D28" i="2"/>
  <c r="E29" i="2"/>
  <c r="F30" i="2"/>
  <c r="B32" i="2"/>
  <c r="C33" i="2"/>
  <c r="D34" i="2"/>
  <c r="E35" i="2"/>
  <c r="F36" i="2"/>
  <c r="B38" i="2"/>
  <c r="C39" i="2"/>
  <c r="D40" i="2"/>
  <c r="E41" i="2"/>
  <c r="F42" i="2"/>
  <c r="B44" i="2"/>
  <c r="C45" i="2"/>
  <c r="D46" i="2"/>
  <c r="E47" i="2"/>
  <c r="F48" i="2"/>
  <c r="B50" i="2"/>
  <c r="C51" i="2"/>
  <c r="D52" i="2"/>
  <c r="E53" i="2"/>
  <c r="F54" i="2"/>
  <c r="B56" i="2"/>
  <c r="C57" i="2"/>
  <c r="D58" i="2"/>
  <c r="E59" i="2"/>
  <c r="F60" i="2"/>
  <c r="B62" i="2"/>
  <c r="C63" i="2"/>
  <c r="D64" i="2"/>
  <c r="E65" i="2"/>
  <c r="F66" i="2"/>
  <c r="B68" i="2"/>
  <c r="C69" i="2"/>
  <c r="D70" i="2"/>
  <c r="E71" i="2"/>
  <c r="F72" i="2"/>
  <c r="B74" i="2"/>
  <c r="C75" i="2"/>
  <c r="D76" i="2"/>
  <c r="E77" i="2"/>
  <c r="F78" i="2"/>
  <c r="B80" i="2"/>
  <c r="C81" i="2"/>
  <c r="D82" i="2"/>
  <c r="E83" i="2"/>
  <c r="F84" i="2"/>
  <c r="B86" i="2"/>
  <c r="C87" i="2"/>
  <c r="D88" i="2"/>
  <c r="E28" i="2"/>
  <c r="F29" i="2"/>
  <c r="B31" i="2"/>
  <c r="C32" i="2"/>
  <c r="D33" i="2"/>
  <c r="E34" i="2"/>
  <c r="F35" i="2"/>
  <c r="B37" i="2"/>
  <c r="C38" i="2"/>
  <c r="D39" i="2"/>
  <c r="E40" i="2"/>
  <c r="F41" i="2"/>
  <c r="B43" i="2"/>
  <c r="C44" i="2"/>
  <c r="D45" i="2"/>
  <c r="E46" i="2"/>
  <c r="F47" i="2"/>
  <c r="B49" i="2"/>
  <c r="C50" i="2"/>
  <c r="D51" i="2"/>
  <c r="E52" i="2"/>
  <c r="F53" i="2"/>
  <c r="B55" i="2"/>
  <c r="C56" i="2"/>
  <c r="D57" i="2"/>
  <c r="E58" i="2"/>
  <c r="F59" i="2"/>
  <c r="B61" i="2"/>
  <c r="C62" i="2"/>
  <c r="D63" i="2"/>
  <c r="E64" i="2"/>
  <c r="F28" i="2"/>
  <c r="B30" i="2"/>
  <c r="C31" i="2"/>
  <c r="D32" i="2"/>
  <c r="E33" i="2"/>
  <c r="F34" i="2"/>
  <c r="B36" i="2"/>
  <c r="C37" i="2"/>
  <c r="D38" i="2"/>
  <c r="E39" i="2"/>
  <c r="F40" i="2"/>
  <c r="B42" i="2"/>
  <c r="C43" i="2"/>
  <c r="D44" i="2"/>
  <c r="E45" i="2"/>
  <c r="F46" i="2"/>
  <c r="B48" i="2"/>
  <c r="C49" i="2"/>
  <c r="D50" i="2"/>
  <c r="E51" i="2"/>
  <c r="F52" i="2"/>
  <c r="B54" i="2"/>
  <c r="C55" i="2"/>
  <c r="D56" i="2"/>
  <c r="E57" i="2"/>
  <c r="F58" i="2"/>
  <c r="B60" i="2"/>
  <c r="C61" i="2"/>
  <c r="D62" i="2"/>
  <c r="E63" i="2"/>
  <c r="F64" i="2"/>
  <c r="B66" i="2"/>
  <c r="C67" i="2"/>
  <c r="D68" i="2"/>
  <c r="E69" i="2"/>
  <c r="F70" i="2"/>
  <c r="B72" i="2"/>
  <c r="C73" i="2"/>
  <c r="D74" i="2"/>
  <c r="E75" i="2"/>
  <c r="F76" i="2"/>
  <c r="B78" i="2"/>
  <c r="C79" i="2"/>
  <c r="D80" i="2"/>
  <c r="E81" i="2"/>
  <c r="F82" i="2"/>
  <c r="B84" i="2"/>
  <c r="C85" i="2"/>
  <c r="D86" i="2"/>
  <c r="E87" i="2"/>
  <c r="F88" i="2"/>
  <c r="B90" i="2"/>
  <c r="C91" i="2"/>
  <c r="D92" i="2"/>
  <c r="E93" i="2"/>
  <c r="F94" i="2"/>
  <c r="B96" i="2"/>
  <c r="C97" i="2"/>
  <c r="D98" i="2"/>
  <c r="E99" i="2"/>
  <c r="F100" i="2"/>
  <c r="B102" i="2"/>
  <c r="C103" i="2"/>
  <c r="D104" i="2"/>
  <c r="E105" i="2"/>
  <c r="F106" i="2"/>
  <c r="B108" i="2"/>
  <c r="C109" i="2"/>
  <c r="D110" i="2"/>
  <c r="E111" i="2"/>
  <c r="F112" i="2"/>
  <c r="B114" i="2"/>
  <c r="C115" i="2"/>
  <c r="D116" i="2"/>
  <c r="E117" i="2"/>
  <c r="F118" i="2"/>
  <c r="B29" i="2"/>
  <c r="C30" i="2"/>
  <c r="D31" i="2"/>
  <c r="E32" i="2"/>
  <c r="F33" i="2"/>
  <c r="B35" i="2"/>
  <c r="C36" i="2"/>
  <c r="D37" i="2"/>
  <c r="E38" i="2"/>
  <c r="F39" i="2"/>
  <c r="B47" i="2"/>
  <c r="C54" i="2"/>
  <c r="D61" i="2"/>
  <c r="B67" i="2"/>
  <c r="E70" i="2"/>
  <c r="C74" i="2"/>
  <c r="F77" i="2"/>
  <c r="D81" i="2"/>
  <c r="B85" i="2"/>
  <c r="E88" i="2"/>
  <c r="F95" i="2"/>
  <c r="D111" i="2"/>
  <c r="B112" i="2"/>
  <c r="C116" i="2"/>
  <c r="C101" i="2"/>
  <c r="F104" i="2"/>
  <c r="D109" i="2"/>
  <c r="C112" i="2"/>
  <c r="B115" i="2"/>
  <c r="B118" i="2"/>
  <c r="E101" i="2"/>
  <c r="E106" i="2"/>
  <c r="D112" i="2"/>
  <c r="C118" i="2"/>
  <c r="B41" i="2"/>
  <c r="C48" i="2"/>
  <c r="D55" i="2"/>
  <c r="E62" i="2"/>
  <c r="D67" i="2"/>
  <c r="B71" i="2"/>
  <c r="E74" i="2"/>
  <c r="C78" i="2"/>
  <c r="F81" i="2"/>
  <c r="D85" i="2"/>
  <c r="B89" i="2"/>
  <c r="E100" i="2"/>
  <c r="C105" i="2"/>
  <c r="E109" i="2"/>
  <c r="D115" i="2"/>
  <c r="E119" i="2"/>
  <c r="C42" i="2"/>
  <c r="D49" i="2"/>
  <c r="E56" i="2"/>
  <c r="F63" i="2"/>
  <c r="C68" i="2"/>
  <c r="F71" i="2"/>
  <c r="D75" i="2"/>
  <c r="B79" i="2"/>
  <c r="E82" i="2"/>
  <c r="C86" i="2"/>
  <c r="E89" i="2"/>
  <c r="F96" i="2"/>
  <c r="C119" i="2"/>
  <c r="D43" i="2"/>
  <c r="E50" i="2"/>
  <c r="F57" i="2"/>
  <c r="B65" i="2"/>
  <c r="E68" i="2"/>
  <c r="C72" i="2"/>
  <c r="F75" i="2"/>
  <c r="D79" i="2"/>
  <c r="B83" i="2"/>
  <c r="E86" i="2"/>
  <c r="F89" i="2"/>
  <c r="C92" i="2"/>
  <c r="E94" i="2"/>
  <c r="B97" i="2"/>
  <c r="D99" i="2"/>
  <c r="F107" i="2"/>
  <c r="E44" i="2"/>
  <c r="F51" i="2"/>
  <c r="B59" i="2"/>
  <c r="F65" i="2"/>
  <c r="D69" i="2"/>
  <c r="B73" i="2"/>
  <c r="E76" i="2"/>
  <c r="C80" i="2"/>
  <c r="F83" i="2"/>
  <c r="D87" i="2"/>
  <c r="C90" i="2"/>
  <c r="E92" i="2"/>
  <c r="B95" i="2"/>
  <c r="D97" i="2"/>
  <c r="B111" i="2"/>
  <c r="F45" i="2"/>
  <c r="B53" i="2"/>
  <c r="C60" i="2"/>
  <c r="C66" i="2"/>
  <c r="F69" i="2"/>
  <c r="D73" i="2"/>
  <c r="B77" i="2"/>
  <c r="E80" i="2"/>
  <c r="C84" i="2"/>
  <c r="F87" i="2"/>
  <c r="F90" i="2"/>
  <c r="C93" i="2"/>
  <c r="E95" i="2"/>
  <c r="B98" i="2"/>
  <c r="B100" i="2"/>
  <c r="F101" i="2"/>
  <c r="E103" i="2"/>
  <c r="D105" i="2"/>
  <c r="B107" i="2"/>
  <c r="D108" i="2"/>
  <c r="F109" i="2"/>
  <c r="C111" i="2"/>
  <c r="E112" i="2"/>
  <c r="C114" i="2"/>
  <c r="E115" i="2"/>
  <c r="B117" i="2"/>
  <c r="D118" i="2"/>
  <c r="F119" i="2"/>
  <c r="B91" i="2"/>
  <c r="D93" i="2"/>
  <c r="C98" i="2"/>
  <c r="D100" i="2"/>
  <c r="C102" i="2"/>
  <c r="B104" i="2"/>
  <c r="F105" i="2"/>
  <c r="C107" i="2"/>
  <c r="E108" i="2"/>
  <c r="B110" i="2"/>
  <c r="B113" i="2"/>
  <c r="D114" i="2"/>
  <c r="F115" i="2"/>
  <c r="C117" i="2"/>
  <c r="E118" i="2"/>
  <c r="D91" i="2"/>
  <c r="F93" i="2"/>
  <c r="C96" i="2"/>
  <c r="E98" i="2"/>
  <c r="D102" i="2"/>
  <c r="C104" i="2"/>
  <c r="B106" i="2"/>
  <c r="D107" i="2"/>
  <c r="F108" i="2"/>
  <c r="C110" i="2"/>
  <c r="F111" i="2"/>
  <c r="C113" i="2"/>
  <c r="E114" i="2"/>
  <c r="B116" i="2"/>
  <c r="D117" i="2"/>
  <c r="B119" i="2"/>
  <c r="B92" i="2"/>
  <c r="D94" i="2"/>
  <c r="C99" i="2"/>
  <c r="B101" i="2"/>
  <c r="F102" i="2"/>
  <c r="E104" i="2"/>
  <c r="C106" i="2"/>
  <c r="E107" i="2"/>
  <c r="B109" i="2"/>
  <c r="E110" i="2"/>
  <c r="D113" i="2"/>
  <c r="F114" i="2"/>
  <c r="F117" i="2"/>
  <c r="B103" i="2"/>
  <c r="D106" i="2"/>
  <c r="F110" i="2"/>
  <c r="E113" i="2"/>
  <c r="E116" i="2"/>
  <c r="D119" i="2"/>
  <c r="F99" i="2"/>
  <c r="D103" i="2"/>
  <c r="C108" i="2"/>
  <c r="F113" i="2"/>
  <c r="F116" i="2"/>
  <c r="A1" i="3"/>
  <c r="V8" i="3" s="1"/>
  <c r="D1" i="2"/>
  <c r="A1" i="2"/>
  <c r="R10" i="1"/>
  <c r="T12" i="1"/>
  <c r="C10" i="1"/>
  <c r="I28" i="1"/>
  <c r="T31" i="1"/>
  <c r="O26" i="1"/>
  <c r="O30" i="1"/>
  <c r="R7" i="1"/>
  <c r="R4" i="1"/>
  <c r="C3" i="1"/>
  <c r="E10" i="2" a="1"/>
  <c r="T26" i="1"/>
  <c r="F13" i="1"/>
  <c r="R6" i="1"/>
  <c r="F19" i="1"/>
  <c r="O8" i="1"/>
  <c r="E8" i="2" a="1"/>
  <c r="S3" i="1"/>
  <c r="F11" i="1"/>
  <c r="I20" i="1"/>
  <c r="C11" i="1"/>
  <c r="F5" i="1"/>
  <c r="L5" i="1"/>
  <c r="E7" i="2" a="1"/>
  <c r="C20" i="1"/>
  <c r="T28" i="1"/>
  <c r="T19" i="1"/>
  <c r="F7" i="2" a="1"/>
  <c r="C17" i="1"/>
  <c r="I29" i="1"/>
  <c r="E9" i="2" a="1"/>
  <c r="I27" i="1"/>
  <c r="I31" i="1"/>
  <c r="T20" i="1"/>
  <c r="L19" i="1"/>
  <c r="C8" i="1"/>
  <c r="C19" i="1"/>
  <c r="O19" i="1"/>
  <c r="F10" i="2" a="1"/>
  <c r="F6" i="2" a="1"/>
  <c r="O20" i="1"/>
  <c r="T6" i="1"/>
  <c r="C6" i="2" a="1"/>
  <c r="I26" i="1"/>
  <c r="D7" i="2" a="1"/>
  <c r="T11" i="1"/>
  <c r="C5" i="1"/>
  <c r="T7" i="1"/>
  <c r="E6" i="2" a="1"/>
  <c r="O15" i="1"/>
  <c r="T5" i="1"/>
  <c r="C21" i="1"/>
  <c r="F23" i="1"/>
  <c r="F8" i="2" a="1"/>
  <c r="L31" i="1"/>
  <c r="D9" i="2" a="1"/>
  <c r="T23" i="1"/>
  <c r="L10" i="1"/>
  <c r="G6" i="2" a="1"/>
  <c r="F12" i="1"/>
  <c r="I21" i="1"/>
  <c r="O23" i="1"/>
  <c r="I32" i="1"/>
  <c r="L24" i="1"/>
  <c r="T8" i="1"/>
  <c r="G8" i="2" a="1"/>
  <c r="F9" i="1"/>
  <c r="L7" i="1"/>
  <c r="I33" i="1"/>
  <c r="C12" i="1"/>
  <c r="I19" i="1"/>
  <c r="F31" i="1"/>
  <c r="D8" i="2" a="1"/>
  <c r="I30" i="1"/>
  <c r="C18" i="1"/>
  <c r="R5" i="1"/>
  <c r="C2" i="1"/>
  <c r="O5" i="1"/>
  <c r="C30" i="1"/>
  <c r="C32" i="1"/>
  <c r="Y14" i="1" a="1"/>
  <c r="C25" i="1"/>
  <c r="C29" i="1"/>
  <c r="C33" i="1"/>
  <c r="T10" i="1"/>
  <c r="L27" i="1"/>
  <c r="I16" i="1"/>
  <c r="L30" i="1"/>
  <c r="F18" i="1"/>
  <c r="L25" i="1"/>
  <c r="B3" i="3" a="1"/>
  <c r="T17" i="1"/>
  <c r="C23" i="1"/>
  <c r="F24" i="1"/>
  <c r="F17" i="1"/>
  <c r="F29" i="1"/>
  <c r="L29" i="1"/>
  <c r="G10" i="2" a="1"/>
  <c r="C31" i="1"/>
  <c r="R8" i="1"/>
  <c r="L26" i="1"/>
  <c r="Q3" i="1"/>
  <c r="T22" i="1"/>
  <c r="R11" i="1" a="1"/>
  <c r="L4" i="1"/>
  <c r="O21" i="1"/>
  <c r="C9" i="2" a="1"/>
  <c r="T30" i="1"/>
  <c r="F3" i="1"/>
  <c r="C16" i="1"/>
  <c r="L20" i="1"/>
  <c r="C24" i="1"/>
  <c r="T24" i="1"/>
  <c r="O27" i="1"/>
  <c r="C6" i="1"/>
  <c r="T18" i="1"/>
  <c r="T4" i="1"/>
  <c r="F16" i="1"/>
  <c r="O4" i="1"/>
  <c r="D10" i="2" a="1"/>
  <c r="F9" i="2" a="1"/>
  <c r="F7" i="1"/>
  <c r="L12" i="1"/>
  <c r="C9" i="1"/>
  <c r="F30" i="1"/>
  <c r="F4" i="1"/>
  <c r="F10" i="1"/>
  <c r="G1" i="2" a="1"/>
  <c r="O6" i="1"/>
  <c r="T27" i="1"/>
  <c r="O11" i="1"/>
  <c r="I25" i="1"/>
  <c r="C8" i="2" a="1"/>
  <c r="C10" i="2" a="1"/>
  <c r="O12" i="1" a="1"/>
  <c r="L18" i="1"/>
  <c r="Q9" i="1"/>
  <c r="L3" i="1"/>
  <c r="L6" i="1"/>
  <c r="F28" i="1"/>
  <c r="G7" i="2" a="1"/>
  <c r="O24" i="1"/>
  <c r="O9" i="1"/>
  <c r="I24" i="1"/>
  <c r="T21" i="1"/>
  <c r="R13" i="1"/>
  <c r="C28" i="1"/>
  <c r="R14" i="1"/>
  <c r="L32" i="1"/>
  <c r="F6" i="1"/>
  <c r="I14" i="1"/>
  <c r="O28" i="1"/>
  <c r="O16" i="1"/>
  <c r="C36" i="1"/>
  <c r="R12" i="1"/>
  <c r="T25" i="1"/>
  <c r="T29" i="1"/>
  <c r="F32" i="1"/>
  <c r="L16" i="1"/>
  <c r="T13" i="1"/>
  <c r="G9" i="2" a="1"/>
  <c r="O25" i="1"/>
  <c r="C7" i="1"/>
  <c r="T14" i="1"/>
  <c r="I17" i="1"/>
  <c r="B35" i="1"/>
  <c r="O17" i="1"/>
  <c r="O14" i="1"/>
  <c r="D6" i="2" a="1"/>
  <c r="C22" i="1"/>
  <c r="L21" i="1"/>
  <c r="I15" i="1"/>
  <c r="I18" i="1"/>
  <c r="L17" i="1"/>
  <c r="S9" i="1"/>
  <c r="F20" i="1"/>
  <c r="L28" i="1"/>
  <c r="O31" i="1"/>
  <c r="C7" i="2" a="1"/>
  <c r="O18" i="1"/>
  <c r="O35" i="1" l="1"/>
  <c r="O34" i="1"/>
  <c r="D3" i="3"/>
  <c r="E10" i="3"/>
  <c r="F17" i="3"/>
  <c r="B25" i="3"/>
  <c r="C32" i="3"/>
  <c r="C21" i="3"/>
  <c r="F4" i="3"/>
  <c r="B12" i="3"/>
  <c r="C19" i="3"/>
  <c r="D26" i="3"/>
  <c r="B4" i="3"/>
  <c r="C11" i="3"/>
  <c r="D18" i="3"/>
  <c r="E25" i="3"/>
  <c r="F32" i="3"/>
  <c r="F1" i="3" s="1"/>
  <c r="B9" i="3"/>
  <c r="C16" i="3"/>
  <c r="D23" i="3"/>
  <c r="E30" i="3"/>
  <c r="E8" i="3"/>
  <c r="F15" i="3"/>
  <c r="B23" i="3"/>
  <c r="C30" i="3"/>
  <c r="C9" i="3"/>
  <c r="D22" i="3"/>
  <c r="E4" i="3"/>
  <c r="F11" i="3"/>
  <c r="B19" i="3"/>
  <c r="C26" i="3"/>
  <c r="F6" i="3"/>
  <c r="E23" i="3"/>
  <c r="B6" i="3"/>
  <c r="C13" i="3"/>
  <c r="D20" i="3"/>
  <c r="E27" i="3"/>
  <c r="C5" i="3"/>
  <c r="D12" i="3"/>
  <c r="E19" i="3"/>
  <c r="F26" i="3"/>
  <c r="B3" i="3"/>
  <c r="C10" i="3"/>
  <c r="D17" i="3"/>
  <c r="E24" i="3"/>
  <c r="F31" i="3"/>
  <c r="F9" i="3"/>
  <c r="B17" i="3"/>
  <c r="C24" i="3"/>
  <c r="D31" i="3"/>
  <c r="E11" i="3"/>
  <c r="B26" i="3"/>
  <c r="F30" i="3"/>
  <c r="F23" i="3"/>
  <c r="E3" i="3"/>
  <c r="D32" i="3"/>
  <c r="B10" i="3"/>
  <c r="C17" i="3"/>
  <c r="B15" i="3"/>
  <c r="E14" i="3"/>
  <c r="B20" i="3"/>
  <c r="F5" i="3"/>
  <c r="B13" i="3"/>
  <c r="C20" i="3"/>
  <c r="D27" i="3"/>
  <c r="D10" i="3"/>
  <c r="F24" i="3"/>
  <c r="C7" i="3"/>
  <c r="D14" i="3"/>
  <c r="E21" i="3"/>
  <c r="F28" i="3"/>
  <c r="D6" i="3"/>
  <c r="E13" i="3"/>
  <c r="F20" i="3"/>
  <c r="B28" i="3"/>
  <c r="C4" i="3"/>
  <c r="D11" i="3"/>
  <c r="E18" i="3"/>
  <c r="F25" i="3"/>
  <c r="F3" i="3"/>
  <c r="B11" i="3"/>
  <c r="C18" i="3"/>
  <c r="D25" i="3"/>
  <c r="E32" i="3"/>
  <c r="F12" i="3"/>
  <c r="D28" i="3"/>
  <c r="E16" i="3"/>
  <c r="B31" i="3"/>
  <c r="B18" i="3"/>
  <c r="E31" i="3"/>
  <c r="D29" i="3"/>
  <c r="B8" i="3"/>
  <c r="B7" i="3"/>
  <c r="C14" i="3"/>
  <c r="D21" i="3"/>
  <c r="E28" i="3"/>
  <c r="B14" i="3"/>
  <c r="C27" i="3"/>
  <c r="D8" i="3"/>
  <c r="E15" i="3"/>
  <c r="F22" i="3"/>
  <c r="B30" i="3"/>
  <c r="E7" i="3"/>
  <c r="F14" i="3"/>
  <c r="B22" i="3"/>
  <c r="C29" i="3"/>
  <c r="D5" i="3"/>
  <c r="E12" i="3"/>
  <c r="F19" i="3"/>
  <c r="B27" i="3"/>
  <c r="B5" i="3"/>
  <c r="C12" i="3"/>
  <c r="D19" i="3"/>
  <c r="E26" i="3"/>
  <c r="D4" i="3"/>
  <c r="C15" i="3"/>
  <c r="B32" i="3"/>
  <c r="D9" i="3"/>
  <c r="F18" i="3"/>
  <c r="C25" i="3"/>
  <c r="F7" i="3"/>
  <c r="D7" i="3"/>
  <c r="B29" i="3"/>
  <c r="C3" i="3"/>
  <c r="C8" i="3"/>
  <c r="D15" i="3"/>
  <c r="E22" i="3"/>
  <c r="F29" i="3"/>
  <c r="D16" i="3"/>
  <c r="E29" i="3"/>
  <c r="E9" i="3"/>
  <c r="F16" i="3"/>
  <c r="B24" i="3"/>
  <c r="C31" i="3"/>
  <c r="F8" i="3"/>
  <c r="B16" i="3"/>
  <c r="C23" i="3"/>
  <c r="D30" i="3"/>
  <c r="E6" i="3"/>
  <c r="F13" i="3"/>
  <c r="B21" i="3"/>
  <c r="C28" i="3"/>
  <c r="C6" i="3"/>
  <c r="D13" i="3"/>
  <c r="E20" i="3"/>
  <c r="F27" i="3"/>
  <c r="E5" i="3"/>
  <c r="E17" i="3"/>
  <c r="F10" i="3"/>
  <c r="D24" i="3"/>
  <c r="C22" i="3"/>
  <c r="F21" i="3"/>
  <c r="D6" i="2"/>
  <c r="G6" i="2"/>
  <c r="E7" i="2"/>
  <c r="C8" i="2"/>
  <c r="F8" i="2"/>
  <c r="D9" i="2"/>
  <c r="G59" i="2" s="1"/>
  <c r="G60" i="2" s="1"/>
  <c r="G61" i="2" s="1"/>
  <c r="G62" i="2" s="1"/>
  <c r="G63" i="2" s="1"/>
  <c r="G64" i="2" s="1"/>
  <c r="G65" i="2" s="1"/>
  <c r="G66" i="2" s="1"/>
  <c r="G67" i="2" s="1"/>
  <c r="G68" i="2" s="1"/>
  <c r="G69" i="2" s="1"/>
  <c r="G70" i="2" s="1"/>
  <c r="G71" i="2" s="1"/>
  <c r="G72" i="2" s="1"/>
  <c r="G73" i="2" s="1"/>
  <c r="G74" i="2" s="1"/>
  <c r="G75" i="2" s="1"/>
  <c r="G76" i="2" s="1"/>
  <c r="G77" i="2" s="1"/>
  <c r="G78" i="2" s="1"/>
  <c r="G79" i="2" s="1"/>
  <c r="G80" i="2" s="1"/>
  <c r="G81" i="2" s="1"/>
  <c r="G82" i="2" s="1"/>
  <c r="G83" i="2" s="1"/>
  <c r="G84" i="2" s="1"/>
  <c r="G85" i="2" s="1"/>
  <c r="G86" i="2" s="1"/>
  <c r="G87" i="2" s="1"/>
  <c r="G88" i="2" s="1"/>
  <c r="E10" i="2"/>
  <c r="G9" i="2"/>
  <c r="C10" i="2"/>
  <c r="G1" i="2"/>
  <c r="E6" i="2"/>
  <c r="C7" i="2"/>
  <c r="F7" i="2"/>
  <c r="D8" i="2"/>
  <c r="G8" i="2"/>
  <c r="E9" i="2"/>
  <c r="F10" i="2"/>
  <c r="G10" i="2"/>
  <c r="C6" i="2"/>
  <c r="F6" i="2"/>
  <c r="D7" i="2"/>
  <c r="G112" i="2" s="1"/>
  <c r="G113" i="2" s="1"/>
  <c r="G114" i="2" s="1"/>
  <c r="G115" i="2" s="1"/>
  <c r="G116" i="2" s="1"/>
  <c r="G117" i="2" s="1"/>
  <c r="G118" i="2" s="1"/>
  <c r="G7" i="2"/>
  <c r="E8" i="2"/>
  <c r="C9" i="2"/>
  <c r="F9" i="2"/>
  <c r="D10" i="2"/>
  <c r="R11" i="1"/>
  <c r="Y14" i="1"/>
  <c r="O12" i="1"/>
  <c r="G18" i="3" l="1"/>
  <c r="G26" i="3"/>
  <c r="G32" i="3"/>
  <c r="G16" i="3"/>
  <c r="G19" i="3"/>
  <c r="G10" i="3"/>
  <c r="G11" i="3"/>
  <c r="G12" i="3"/>
  <c r="J1" i="3"/>
  <c r="G30" i="3"/>
  <c r="G22" i="3"/>
  <c r="G29" i="3"/>
  <c r="G23" i="3"/>
  <c r="G31" i="3"/>
  <c r="G28" i="3"/>
  <c r="G25" i="3"/>
  <c r="G9" i="3"/>
  <c r="G27" i="3"/>
  <c r="G17" i="3"/>
  <c r="G15" i="3"/>
  <c r="G24" i="3"/>
  <c r="G20" i="3"/>
  <c r="G13" i="3"/>
  <c r="G21" i="3"/>
  <c r="G14" i="3"/>
  <c r="L11" i="1"/>
  <c r="L13" i="1"/>
  <c r="G29" i="2"/>
  <c r="G30" i="2" s="1"/>
  <c r="G31" i="2" s="1"/>
  <c r="G32" i="2" s="1"/>
  <c r="G33" i="2" s="1"/>
  <c r="G34" i="2" s="1"/>
  <c r="G35" i="2" s="1"/>
  <c r="G36" i="2" s="1"/>
  <c r="G37" i="2" s="1"/>
  <c r="G38" i="2" s="1"/>
  <c r="G39" i="2" s="1"/>
  <c r="G40" i="2" s="1"/>
  <c r="G41" i="2" s="1"/>
  <c r="G42" i="2" s="1"/>
  <c r="G43" i="2" s="1"/>
  <c r="G44" i="2" s="1"/>
  <c r="G45" i="2" s="1"/>
  <c r="G46" i="2" s="1"/>
  <c r="G47" i="2" s="1"/>
  <c r="G48" i="2" s="1"/>
  <c r="G49" i="2" s="1"/>
  <c r="G50" i="2" s="1"/>
  <c r="G51" i="2" s="1"/>
  <c r="G52" i="2" s="1"/>
  <c r="G53" i="2" s="1"/>
  <c r="G54" i="2" s="1"/>
  <c r="G55" i="2" s="1"/>
  <c r="G56" i="2" s="1"/>
  <c r="G57" i="2" s="1"/>
  <c r="G58" i="2" s="1"/>
  <c r="G89" i="2"/>
  <c r="G90" i="2" s="1"/>
  <c r="G91" i="2" s="1"/>
  <c r="G92" i="2" s="1"/>
  <c r="G93" i="2" s="1"/>
  <c r="G94" i="2" s="1"/>
  <c r="G95" i="2" s="1"/>
  <c r="G96" i="2" s="1"/>
  <c r="G97" i="2" s="1"/>
  <c r="G98" i="2" s="1"/>
  <c r="G99" i="2" s="1"/>
  <c r="G100" i="2" s="1"/>
  <c r="G101" i="2" s="1"/>
  <c r="G102" i="2" s="1"/>
  <c r="G103" i="2" s="1"/>
  <c r="G104" i="2" s="1"/>
  <c r="G105" i="2" s="1"/>
  <c r="G106" i="2" s="1"/>
  <c r="G107" i="2" s="1"/>
  <c r="G108" i="2" s="1"/>
  <c r="G109" i="2" s="1"/>
  <c r="G110" i="2" s="1"/>
  <c r="G111" i="2" s="1"/>
  <c r="G119" i="2"/>
</calcChain>
</file>

<file path=xl/sharedStrings.xml><?xml version="1.0" encoding="utf-8"?>
<sst xmlns="http://schemas.openxmlformats.org/spreadsheetml/2006/main" count="282" uniqueCount="262">
  <si>
    <t>Last Price</t>
  </si>
  <si>
    <t>TRADING INFORMATION</t>
  </si>
  <si>
    <t>Performance</t>
  </si>
  <si>
    <t>FINANCIAL HIGHLIGHTS</t>
  </si>
  <si>
    <t>ZACKS EPS Growth</t>
  </si>
  <si>
    <t>Change</t>
  </si>
  <si>
    <t>SS Price Pivot</t>
  </si>
  <si>
    <t>BC YTD % Change</t>
  </si>
  <si>
    <t xml:space="preserve">   Fiscal Year</t>
  </si>
  <si>
    <t>QTR</t>
  </si>
  <si>
    <t>Year</t>
  </si>
  <si>
    <t>Percent Change</t>
  </si>
  <si>
    <t>SS Resistance - Pivot1</t>
  </si>
  <si>
    <t>BC 5D Percent Change</t>
  </si>
  <si>
    <t xml:space="preserve">      Fiscal Year Ends:</t>
  </si>
  <si>
    <t>Low</t>
  </si>
  <si>
    <t>Open</t>
  </si>
  <si>
    <t>SS Resistance - Pivot2</t>
  </si>
  <si>
    <t>BC 20D Percent Change</t>
  </si>
  <si>
    <t xml:space="preserve">      Most Recent Quarter (mrq):</t>
  </si>
  <si>
    <t>High</t>
  </si>
  <si>
    <t>SS Support - Pivot1</t>
  </si>
  <si>
    <t>BC 50D Percent Change</t>
  </si>
  <si>
    <t xml:space="preserve">      Next Earnings Date:</t>
  </si>
  <si>
    <t>Average</t>
  </si>
  <si>
    <t>SS Support - Pivot2</t>
  </si>
  <si>
    <t>BC 100D Percent Change</t>
  </si>
  <si>
    <t xml:space="preserve">   Profitability</t>
  </si>
  <si>
    <t>Year Ago</t>
  </si>
  <si>
    <t>Volume</t>
  </si>
  <si>
    <t xml:space="preserve">   Stock Price History</t>
  </si>
  <si>
    <t xml:space="preserve">      Profit Margin (ttm):</t>
  </si>
  <si>
    <t>EPS Growth</t>
  </si>
  <si>
    <t>Average Volume 10D</t>
  </si>
  <si>
    <t>IBD Beta</t>
  </si>
  <si>
    <t>Price Targets</t>
  </si>
  <si>
    <t xml:space="preserve">      Operating Margin (ttm):</t>
  </si>
  <si>
    <t>Average Volume 3M</t>
  </si>
  <si>
    <t>52-Week High:</t>
  </si>
  <si>
    <t>Street Price Target</t>
  </si>
  <si>
    <t xml:space="preserve">   Management Effectiveness</t>
  </si>
  <si>
    <t>BC Volume vs 20D Average</t>
  </si>
  <si>
    <t>52-Week Low:</t>
  </si>
  <si>
    <t>% to Street Target</t>
  </si>
  <si>
    <t xml:space="preserve">      Return on Assets (ttm):</t>
  </si>
  <si>
    <t>BC Volume vs 150D Average</t>
  </si>
  <si>
    <t>50-Day Moving Average:</t>
  </si>
  <si>
    <t>Zack's Target Price</t>
  </si>
  <si>
    <t xml:space="preserve">      Return on Equity (ttm):</t>
  </si>
  <si>
    <t>200-Day Moving Average:</t>
  </si>
  <si>
    <t xml:space="preserve">   Share Statistics</t>
  </si>
  <si>
    <t>% to Zacks Target</t>
  </si>
  <si>
    <t xml:space="preserve">   Income Statement</t>
  </si>
  <si>
    <t>Shares Outstanding:</t>
  </si>
  <si>
    <t xml:space="preserve">      Revenue (ttm):</t>
  </si>
  <si>
    <t>Stock Scouter Rating</t>
  </si>
  <si>
    <t>IBD Ratings</t>
  </si>
  <si>
    <t>Float:</t>
  </si>
  <si>
    <t xml:space="preserve">EPS Growth </t>
  </si>
  <si>
    <t xml:space="preserve">      Revenue Per Share (ttm):</t>
  </si>
  <si>
    <t>IBD SMR Rating</t>
  </si>
  <si>
    <t>% Held by Insiders:</t>
  </si>
  <si>
    <t>IBD EPS Chg %</t>
  </si>
  <si>
    <t xml:space="preserve">      Qtrly Revenue Growth (yoy):</t>
  </si>
  <si>
    <t>Stock Scores</t>
  </si>
  <si>
    <t>SS Rating -1M</t>
  </si>
  <si>
    <t>IBD EPS Rating</t>
  </si>
  <si>
    <t>% Held by Institutions:</t>
  </si>
  <si>
    <t>IBD EPS Est Growth</t>
  </si>
  <si>
    <t xml:space="preserve">      Gross Profit (ttm):</t>
  </si>
  <si>
    <t>SS 20D Avg Volume</t>
  </si>
  <si>
    <t>SS Rating -3M</t>
  </si>
  <si>
    <t>IBD Group Rank</t>
  </si>
  <si>
    <t>Shares Short:</t>
  </si>
  <si>
    <t>IBD 3Y EPS Growth Rate</t>
  </si>
  <si>
    <t xml:space="preserve">      EBIT (ttm):</t>
  </si>
  <si>
    <t>SS 150D Avg Volume</t>
  </si>
  <si>
    <t>SS Rating -6M</t>
  </si>
  <si>
    <t>IBD Within Group Rank</t>
  </si>
  <si>
    <t>Short Ratio:</t>
  </si>
  <si>
    <t>IBD EPS</t>
  </si>
  <si>
    <t xml:space="preserve">      Net Income Avl to Common (ttm):</t>
  </si>
  <si>
    <t>SS 10D Volatility</t>
  </si>
  <si>
    <t>SS Technical Grade</t>
  </si>
  <si>
    <t>IBD Highest Ranked Group Stock</t>
  </si>
  <si>
    <t>Short % of Float:</t>
  </si>
  <si>
    <t>Zacks Est LT EPS Growth</t>
  </si>
  <si>
    <t xml:space="preserve">      Diluted EPS (ttm):</t>
  </si>
  <si>
    <t>SS 20D Volatility</t>
  </si>
  <si>
    <t>SS Valuation Grade</t>
  </si>
  <si>
    <t>Shares Short (prior month):</t>
  </si>
  <si>
    <t>Zacks EPS Growth NFY</t>
  </si>
  <si>
    <t xml:space="preserve">      Qtrly Earnings Growth (yoy):</t>
  </si>
  <si>
    <t>SS 40D Volatility</t>
  </si>
  <si>
    <t>SS Ownership Grade</t>
  </si>
  <si>
    <t>Stock Scores - Rating</t>
  </si>
  <si>
    <t xml:space="preserve">   Balance Sheet</t>
  </si>
  <si>
    <t>SS Abnormal Volatility</t>
  </si>
  <si>
    <t>SS Fundamental Grade</t>
  </si>
  <si>
    <t>SS Signal Stock Score</t>
  </si>
  <si>
    <t xml:space="preserve">   Dividends &amp; Splits</t>
  </si>
  <si>
    <t>Valuation Metrics</t>
  </si>
  <si>
    <t xml:space="preserve">      Total Cash (mrq):</t>
  </si>
  <si>
    <t>SS Medium-Term Consolidation</t>
  </si>
  <si>
    <t>SS Return Grade</t>
  </si>
  <si>
    <t>SS Sentiment Score</t>
  </si>
  <si>
    <t>Forward Annual Dividend Rate:</t>
  </si>
  <si>
    <t xml:space="preserve">   Market Cap (intraday):</t>
  </si>
  <si>
    <t xml:space="preserve">      Total Cash Per Share (mrq):</t>
  </si>
  <si>
    <t>SS Price from 150D High</t>
  </si>
  <si>
    <t>SS Risk Grade</t>
  </si>
  <si>
    <t>Forward Annual Dividend Yield:</t>
  </si>
  <si>
    <t xml:space="preserve">   Enterprise Value:</t>
  </si>
  <si>
    <t xml:space="preserve">      Total Debt (mrq):</t>
  </si>
  <si>
    <t>SS Price from 150D Low</t>
  </si>
  <si>
    <t>Trailing Annual Dividend Rate:</t>
  </si>
  <si>
    <t xml:space="preserve">   Trailing P/E (ttm, intraday):</t>
  </si>
  <si>
    <t xml:space="preserve">      Total Debt/Equity (mrq):</t>
  </si>
  <si>
    <t>SS Price from 40D High</t>
  </si>
  <si>
    <t>Zacks Ratings</t>
  </si>
  <si>
    <t>Bar Chart - Relative Strength</t>
  </si>
  <si>
    <t>Trailing Annual Dividend Yield:</t>
  </si>
  <si>
    <t xml:space="preserve">   Forward P/E:</t>
  </si>
  <si>
    <t xml:space="preserve">      Current Ratio (mrq):</t>
  </si>
  <si>
    <t>SS Price from 40D Low</t>
  </si>
  <si>
    <t>Zacks Rating</t>
  </si>
  <si>
    <t>BC 9D Relative Strength</t>
  </si>
  <si>
    <t>5 Year Average Dividend Yield:</t>
  </si>
  <si>
    <t xml:space="preserve">   PEG Ratio (5 yr expected):</t>
  </si>
  <si>
    <t xml:space="preserve">      Book Value Per Share (mrq):</t>
  </si>
  <si>
    <t>SS Price from 80D High</t>
  </si>
  <si>
    <t>Zacks VGM Score</t>
  </si>
  <si>
    <t>BC 14D Relative Strength</t>
  </si>
  <si>
    <t>Payout Ratio:</t>
  </si>
  <si>
    <t xml:space="preserve">   Price/Sales (ttm):</t>
  </si>
  <si>
    <t xml:space="preserve">   Cash Flow Statement</t>
  </si>
  <si>
    <t>SS Price from 80D Low</t>
  </si>
  <si>
    <t>Zacks Value Score</t>
  </si>
  <si>
    <t>BC 20D Relative Strength</t>
  </si>
  <si>
    <t>Dividend Date:</t>
  </si>
  <si>
    <t xml:space="preserve">   Price/Book (mrq):</t>
  </si>
  <si>
    <t xml:space="preserve">      Operating Cash Flow (ttm):</t>
  </si>
  <si>
    <t>SS Volatility Today</t>
  </si>
  <si>
    <t>Zacks Growth Score</t>
  </si>
  <si>
    <t>BC 50D Relative Strength</t>
  </si>
  <si>
    <t>Ex-Dividend Date:</t>
  </si>
  <si>
    <t xml:space="preserve">   Enterprise Value/Revenue (ttm):</t>
  </si>
  <si>
    <t xml:space="preserve">      Levered Free Cash Flow (ttm):</t>
  </si>
  <si>
    <t>SS Volatility Yesterday</t>
  </si>
  <si>
    <t>Zacks Momentum Score</t>
  </si>
  <si>
    <t>BC 100D Relative Strength</t>
  </si>
  <si>
    <t>Last Split Factor (new per old):</t>
  </si>
  <si>
    <t xml:space="preserve">   Enterprise Value/EBITIINGO (ttm):</t>
  </si>
  <si>
    <t>Zack's Industry Rank</t>
  </si>
  <si>
    <t>Last Split Date:</t>
  </si>
  <si>
    <t>Rank within Industry</t>
  </si>
  <si>
    <t>Zack's PEG Ratio</t>
  </si>
  <si>
    <t xml:space="preserve">Stock Scores - Trend </t>
  </si>
  <si>
    <t>SS 45D Trend</t>
  </si>
  <si>
    <t>SS 100D Trend</t>
  </si>
  <si>
    <t>SS 10D Momentum</t>
  </si>
  <si>
    <t>SS 40D Momentum</t>
  </si>
  <si>
    <t>SS 100D Momentum</t>
  </si>
  <si>
    <t>SS Medium-Term MA Crossover</t>
  </si>
  <si>
    <t>IBD Industry</t>
  </si>
  <si>
    <t>SS Long-Term MA Crossover</t>
  </si>
  <si>
    <t>IBD YTD % Change</t>
  </si>
  <si>
    <t>SS ST Consolidation</t>
  </si>
  <si>
    <t>IBD 1M % Change</t>
  </si>
  <si>
    <t>SS Long -Term Consolidation</t>
  </si>
  <si>
    <t>Stock Scores - Indicators</t>
  </si>
  <si>
    <t>IBD Description</t>
  </si>
  <si>
    <t>SS MACD</t>
  </si>
  <si>
    <t>IBD Composite Rating</t>
  </si>
  <si>
    <t>SS RSI</t>
  </si>
  <si>
    <t>SS Stochastics</t>
  </si>
  <si>
    <t>SS Candle Pattern</t>
  </si>
  <si>
    <t>IBD Rating</t>
  </si>
  <si>
    <t>SS Trading Gap</t>
  </si>
  <si>
    <t>SS Volume</t>
  </si>
  <si>
    <t>IBD RS</t>
  </si>
  <si>
    <t>SS Abnormal Trades</t>
  </si>
  <si>
    <t>IBD Group RS</t>
  </si>
  <si>
    <t>SS Price Volume Trend</t>
  </si>
  <si>
    <t>SS Williams Accumulation</t>
  </si>
  <si>
    <t>IBD Acc/Dist Rating</t>
  </si>
  <si>
    <t>Bar Chart - Momentum Indicators</t>
  </si>
  <si>
    <t>IBD IBD Todays Range Low</t>
  </si>
  <si>
    <t>BC Trendspotter Overall</t>
  </si>
  <si>
    <t>IBD IBD Todays Range High</t>
  </si>
  <si>
    <t>BC Short-Term Indicators Avg %</t>
  </si>
  <si>
    <t>IBD IBD 52W Range Low</t>
  </si>
  <si>
    <t>BC 20-50 MACD Oscillator</t>
  </si>
  <si>
    <t>IBD 52W Range High</t>
  </si>
  <si>
    <t>BC Medium Term Indicators</t>
  </si>
  <si>
    <t>BC 20-100 MACD Oscillator</t>
  </si>
  <si>
    <t>BC Long Term Indicators</t>
  </si>
  <si>
    <t>IBD 50D Avg Volume</t>
  </si>
  <si>
    <t>BC 50-100 MACD Oscillator</t>
  </si>
  <si>
    <t>IBD Shares Outstanding</t>
  </si>
  <si>
    <t>IBD Float</t>
  </si>
  <si>
    <t>Bar Charts Broad Market Indicators</t>
  </si>
  <si>
    <t>IBD IPO Date</t>
  </si>
  <si>
    <t>BC % of Stocks Above Moving Averages</t>
  </si>
  <si>
    <t>IBD Investment Bank</t>
  </si>
  <si>
    <t>% of Stocks above 20DMA</t>
  </si>
  <si>
    <t>IBD % Management Owns</t>
  </si>
  <si>
    <t>% of Stocks above 20DMA Yesterday</t>
  </si>
  <si>
    <t>IBD PE Ratio</t>
  </si>
  <si>
    <t>% of Stocks above 20DMA Last Week</t>
  </si>
  <si>
    <t>IBD Dividend Yield</t>
  </si>
  <si>
    <t>% of Stocks above 20DMA Last Month</t>
  </si>
  <si>
    <t>IBD Alpha vs Group</t>
  </si>
  <si>
    <t>% of Stocks above 50DMA</t>
  </si>
  <si>
    <t xml:space="preserve">IBD </t>
  </si>
  <si>
    <t>% of Stocks above 50DMA Yesterday</t>
  </si>
  <si>
    <t>IBD EPS Date</t>
  </si>
  <si>
    <t>% of Stocks above 50DMA Last Week</t>
  </si>
  <si>
    <t>% of Stocks above 50DMA Last Month</t>
  </si>
  <si>
    <t>% of Stocks above 100DMA</t>
  </si>
  <si>
    <t>% of Stocks above 100DMA Yesterday</t>
  </si>
  <si>
    <t>IBD Annual ROE</t>
  </si>
  <si>
    <t>% of Stocks above 100DMA Last Week</t>
  </si>
  <si>
    <t>IBD Sales % Chg</t>
  </si>
  <si>
    <t>% of Stocks above 100DMA Last Month</t>
  </si>
  <si>
    <t>IBD 3Y Sales Growth</t>
  </si>
  <si>
    <t>% of Stocks above 150DMA</t>
  </si>
  <si>
    <t>IBD % Debt</t>
  </si>
  <si>
    <t>% of Stocks above 150DMA Yesterday</t>
  </si>
  <si>
    <t>IBD Market Cap</t>
  </si>
  <si>
    <t>% of Stocks above 150DMA Last Week</t>
  </si>
  <si>
    <t>IBD Profit Margin</t>
  </si>
  <si>
    <t>% of Stocks above 150DMA Last Month</t>
  </si>
  <si>
    <t>% of Stocks above 200DMA</t>
  </si>
  <si>
    <t>% of Stocks above 200DMA Yesterday</t>
  </si>
  <si>
    <t>% of Stocks above 200DMA Last Week</t>
  </si>
  <si>
    <t>% of Stocks above 200DMA Last Month</t>
  </si>
  <si>
    <t>EPS Est</t>
  </si>
  <si>
    <t>MA</t>
  </si>
  <si>
    <t>pTicker</t>
  </si>
  <si>
    <t>pStartDate</t>
  </si>
  <si>
    <t>pEndDate</t>
  </si>
  <si>
    <t>pPeriod</t>
  </si>
  <si>
    <t>d</t>
  </si>
  <si>
    <t>pItems</t>
  </si>
  <si>
    <t>pNames</t>
  </si>
  <si>
    <t>pResort</t>
  </si>
  <si>
    <t>pRows</t>
  </si>
  <si>
    <t>pCols</t>
  </si>
  <si>
    <t>dohlc</t>
  </si>
  <si>
    <t>=smfGetYahooHistory(V9,V10,V11,V12,V13,V14,V15,V16,V17)</t>
  </si>
  <si>
    <t>Magnitude - Consensus Estimate Trend</t>
  </si>
  <si>
    <t>This is based on Zacks Price &amp; Consensus chart</t>
  </si>
  <si>
    <t>https://www.zacks.com/stock/estimates-videos-tooltip.php?identifier=z2_stock_details_magnitute_video</t>
  </si>
  <si>
    <t>SS 10D Trend</t>
  </si>
  <si>
    <t>Other Measurements</t>
  </si>
  <si>
    <t>Variation from 52wk High</t>
  </si>
  <si>
    <t>Variation from 52wk Low</t>
  </si>
  <si>
    <t>Errors in sheet</t>
  </si>
  <si>
    <t>C4 does not look like percentage.  Is data wrong or is cell format wrong?</t>
  </si>
  <si>
    <t>Wrong element, it was using 17 and should have been 52</t>
  </si>
  <si>
    <t>TD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</si>
</sst>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yyyy\-mm\-dd"/>
    <numFmt numFmtId="166" formatCode="&quot;$&quot;#,##0.00"/>
  </numFmts>
  <fonts count="1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color rgb="FF000000"/>
      <name val="Arial"/>
      <family val="2"/>
    </font>
    <font>
      <u/>
      <sz val="11"/>
      <name val="Calibri"/>
      <family val="2"/>
      <scheme val="minor"/>
    </font>
    <font>
      <sz val="8"/>
      <color theme="1"/>
      <name val="Calibri"/>
      <family val="2"/>
      <scheme val="minor"/>
    </font>
    <font>
      <sz val="9"/>
      <color theme="0"/>
      <name val="Calibri"/>
      <family val="2"/>
      <scheme val="minor"/>
    </font>
    <font>
      <b/>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5" tint="0.39997558519241921"/>
        <bgColor indexed="64"/>
      </patternFill>
    </fill>
  </fills>
  <borders count="1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style="medium">
        <color indexed="64"/>
      </right>
      <top style="medium">
        <color indexed="64"/>
      </top>
      <bottom/>
      <diagonal/>
    </border>
    <border>
      <left style="medium">
        <color indexed="64"/>
      </left>
      <right/>
      <top style="thin">
        <color theme="0" tint="-0.24994659260841701"/>
      </top>
      <bottom/>
      <diagonal/>
    </border>
    <border>
      <left/>
      <right/>
      <top style="thin">
        <color theme="0" tint="-0.24994659260841701"/>
      </top>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ck">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113">
    <xf numFmtId="0" fontId="0" fillId="0" borderId="0" xfId="0"/>
    <xf numFmtId="0" fontId="0" fillId="0" borderId="1" xfId="0" applyBorder="1"/>
    <xf numFmtId="0" fontId="3" fillId="2" borderId="2" xfId="0" applyFont="1" applyFill="1" applyBorder="1" applyAlignment="1">
      <alignment horizontal="center"/>
    </xf>
    <xf numFmtId="0" fontId="2" fillId="3" borderId="5" xfId="0" applyFont="1" applyFill="1" applyBorder="1"/>
    <xf numFmtId="0" fontId="2" fillId="3" borderId="7" xfId="0" applyFont="1" applyFill="1" applyBorder="1"/>
    <xf numFmtId="0" fontId="2" fillId="3" borderId="6" xfId="0" applyFont="1" applyFill="1" applyBorder="1"/>
    <xf numFmtId="0" fontId="0" fillId="0" borderId="6" xfId="0" applyBorder="1"/>
    <xf numFmtId="0" fontId="0" fillId="0" borderId="10" xfId="0" applyBorder="1"/>
    <xf numFmtId="0" fontId="0" fillId="0" borderId="10" xfId="0" applyBorder="1" applyAlignment="1">
      <alignment horizontal="center"/>
    </xf>
    <xf numFmtId="0" fontId="0" fillId="0" borderId="4" xfId="0" applyBorder="1" applyAlignment="1">
      <alignment horizontal="right"/>
    </xf>
    <xf numFmtId="0" fontId="0" fillId="0" borderId="7" xfId="0" applyBorder="1"/>
    <xf numFmtId="0" fontId="0" fillId="0" borderId="5" xfId="0" applyBorder="1" applyAlignment="1">
      <alignment horizontal="right"/>
    </xf>
    <xf numFmtId="0" fontId="0" fillId="0" borderId="5" xfId="0" applyBorder="1"/>
    <xf numFmtId="164" fontId="0" fillId="0" borderId="10" xfId="2" applyNumberFormat="1" applyFont="1" applyFill="1" applyBorder="1" applyAlignment="1">
      <alignment horizontal="center"/>
    </xf>
    <xf numFmtId="0" fontId="0" fillId="0" borderId="10" xfId="0" applyBorder="1" applyAlignment="1">
      <alignment horizontal="right"/>
    </xf>
    <xf numFmtId="0" fontId="0" fillId="0" borderId="0" xfId="0" applyAlignment="1">
      <alignment horizontal="center"/>
    </xf>
    <xf numFmtId="0" fontId="0" fillId="0" borderId="11" xfId="0" applyBorder="1" applyAlignment="1">
      <alignment horizontal="right"/>
    </xf>
    <xf numFmtId="2" fontId="0" fillId="0" borderId="10" xfId="0" applyNumberFormat="1" applyBorder="1" applyAlignment="1">
      <alignment horizontal="center"/>
    </xf>
    <xf numFmtId="165" fontId="0" fillId="0" borderId="10" xfId="0" applyNumberFormat="1" applyBorder="1" applyAlignment="1">
      <alignment horizontal="right"/>
    </xf>
    <xf numFmtId="3" fontId="0" fillId="0" borderId="5" xfId="0" applyNumberFormat="1" applyBorder="1" applyAlignment="1">
      <alignment horizontal="right"/>
    </xf>
    <xf numFmtId="0" fontId="6" fillId="0" borderId="0" xfId="0" applyFont="1"/>
    <xf numFmtId="2" fontId="0" fillId="0" borderId="5" xfId="0" applyNumberFormat="1" applyBorder="1" applyAlignment="1">
      <alignment horizontal="right"/>
    </xf>
    <xf numFmtId="0" fontId="0" fillId="0" borderId="12" xfId="0" applyBorder="1"/>
    <xf numFmtId="10" fontId="0" fillId="0" borderId="10" xfId="0" applyNumberFormat="1" applyBorder="1" applyAlignment="1">
      <alignment horizontal="right"/>
    </xf>
    <xf numFmtId="164" fontId="0" fillId="0" borderId="0" xfId="2" applyNumberFormat="1" applyFont="1" applyAlignment="1">
      <alignment horizontal="center"/>
    </xf>
    <xf numFmtId="3" fontId="0" fillId="0" borderId="10" xfId="0" applyNumberFormat="1" applyBorder="1" applyAlignment="1">
      <alignment horizontal="center"/>
    </xf>
    <xf numFmtId="0" fontId="0" fillId="0" borderId="10" xfId="0" applyBorder="1" applyAlignment="1">
      <alignment horizontal="left"/>
    </xf>
    <xf numFmtId="0" fontId="0" fillId="0" borderId="10" xfId="0" applyBorder="1" applyAlignment="1">
      <alignment horizontal="center" vertical="center"/>
    </xf>
    <xf numFmtId="166" fontId="0" fillId="0" borderId="10" xfId="0" applyNumberFormat="1" applyBorder="1" applyAlignment="1">
      <alignment horizontal="center" vertical="center"/>
    </xf>
    <xf numFmtId="1" fontId="0" fillId="0" borderId="10" xfId="0" applyNumberFormat="1" applyBorder="1" applyAlignment="1">
      <alignment horizontal="center"/>
    </xf>
    <xf numFmtId="2" fontId="0" fillId="0" borderId="6" xfId="0" applyNumberFormat="1" applyBorder="1" applyAlignment="1">
      <alignment horizontal="right"/>
    </xf>
    <xf numFmtId="164" fontId="0" fillId="0" borderId="10" xfId="2" applyNumberFormat="1" applyFont="1" applyBorder="1" applyAlignment="1">
      <alignment horizontal="center"/>
    </xf>
    <xf numFmtId="0" fontId="0" fillId="0" borderId="1" xfId="0" applyBorder="1" applyAlignment="1">
      <alignment horizontal="center"/>
    </xf>
    <xf numFmtId="0" fontId="0" fillId="0" borderId="12" xfId="0" applyBorder="1" applyAlignment="1">
      <alignment horizontal="center"/>
    </xf>
    <xf numFmtId="0" fontId="0" fillId="0" borderId="1" xfId="0" applyBorder="1" applyAlignment="1">
      <alignment horizontal="right"/>
    </xf>
    <xf numFmtId="0" fontId="0" fillId="0" borderId="13" xfId="0" applyBorder="1"/>
    <xf numFmtId="0" fontId="0" fillId="0" borderId="13" xfId="0" applyBorder="1" applyAlignment="1">
      <alignment horizontal="center"/>
    </xf>
    <xf numFmtId="3" fontId="0" fillId="0" borderId="10" xfId="0" applyNumberFormat="1" applyBorder="1" applyAlignment="1">
      <alignment horizontal="right"/>
    </xf>
    <xf numFmtId="0" fontId="7" fillId="0" borderId="0" xfId="3" applyFont="1"/>
    <xf numFmtId="2" fontId="0" fillId="0" borderId="5" xfId="0" applyNumberFormat="1" applyBorder="1" applyAlignment="1">
      <alignment horizontal="left"/>
    </xf>
    <xf numFmtId="166" fontId="0" fillId="0" borderId="10" xfId="0" applyNumberFormat="1" applyBorder="1" applyAlignment="1">
      <alignment horizontal="right"/>
    </xf>
    <xf numFmtId="10" fontId="0" fillId="0" borderId="10" xfId="0" applyNumberFormat="1" applyBorder="1" applyAlignment="1">
      <alignment horizontal="center"/>
    </xf>
    <xf numFmtId="0" fontId="4" fillId="4" borderId="6" xfId="0" applyFont="1" applyFill="1" applyBorder="1" applyAlignment="1">
      <alignment horizontal="center"/>
    </xf>
    <xf numFmtId="0" fontId="4" fillId="4" borderId="5" xfId="0" applyFont="1" applyFill="1" applyBorder="1" applyAlignment="1">
      <alignment horizontal="center"/>
    </xf>
    <xf numFmtId="0" fontId="4" fillId="4" borderId="7" xfId="0" applyFont="1" applyFill="1" applyBorder="1" applyAlignment="1">
      <alignment horizontal="center"/>
    </xf>
    <xf numFmtId="9" fontId="0" fillId="0" borderId="10" xfId="2" applyFont="1" applyBorder="1" applyAlignment="1">
      <alignment horizontal="center"/>
    </xf>
    <xf numFmtId="0" fontId="0" fillId="0" borderId="6" xfId="0" applyBorder="1" applyAlignment="1">
      <alignment horizontal="left"/>
    </xf>
    <xf numFmtId="0" fontId="0" fillId="0" borderId="5" xfId="0" applyBorder="1" applyAlignment="1">
      <alignment horizontal="left"/>
    </xf>
    <xf numFmtId="0" fontId="0" fillId="0" borderId="7" xfId="0" applyBorder="1" applyAlignment="1">
      <alignment horizontal="left"/>
    </xf>
    <xf numFmtId="1" fontId="0" fillId="0" borderId="1" xfId="2" applyNumberFormat="1" applyFont="1" applyBorder="1" applyAlignment="1">
      <alignment horizontal="center"/>
    </xf>
    <xf numFmtId="0" fontId="0" fillId="0" borderId="7" xfId="0" applyBorder="1" applyAlignment="1">
      <alignment horizontal="right"/>
    </xf>
    <xf numFmtId="1" fontId="0" fillId="0" borderId="1" xfId="0" applyNumberFormat="1" applyBorder="1" applyAlignment="1">
      <alignment horizontal="center"/>
    </xf>
    <xf numFmtId="0" fontId="0" fillId="0" borderId="10" xfId="1" applyNumberFormat="1" applyFont="1" applyBorder="1"/>
    <xf numFmtId="0" fontId="0" fillId="0" borderId="10" xfId="0" applyBorder="1" applyAlignment="1">
      <alignment horizontal="left" vertical="center"/>
    </xf>
    <xf numFmtId="166" fontId="0" fillId="0" borderId="10" xfId="0" applyNumberFormat="1" applyBorder="1" applyAlignment="1">
      <alignment horizontal="center"/>
    </xf>
    <xf numFmtId="2" fontId="0" fillId="0" borderId="1" xfId="2" applyNumberFormat="1" applyFont="1" applyBorder="1" applyAlignment="1">
      <alignment horizontal="center"/>
    </xf>
    <xf numFmtId="0" fontId="0" fillId="0" borderId="16" xfId="0" applyBorder="1"/>
    <xf numFmtId="0" fontId="0" fillId="0" borderId="16" xfId="0" applyBorder="1" applyAlignment="1">
      <alignment horizontal="center"/>
    </xf>
    <xf numFmtId="2" fontId="0" fillId="0" borderId="10" xfId="0" applyNumberFormat="1" applyBorder="1" applyAlignment="1">
      <alignment horizontal="right"/>
    </xf>
    <xf numFmtId="165" fontId="0" fillId="0" borderId="10" xfId="0" applyNumberFormat="1" applyBorder="1" applyAlignment="1">
      <alignment horizontal="center"/>
    </xf>
    <xf numFmtId="0" fontId="5" fillId="0" borderId="0" xfId="3"/>
    <xf numFmtId="0" fontId="4" fillId="0" borderId="7" xfId="0" applyFont="1" applyBorder="1"/>
    <xf numFmtId="164" fontId="0" fillId="0" borderId="1" xfId="2" applyNumberFormat="1" applyFont="1" applyBorder="1" applyAlignment="1">
      <alignment horizontal="center"/>
    </xf>
    <xf numFmtId="0" fontId="8" fillId="0" borderId="1" xfId="0" applyFont="1" applyBorder="1" applyAlignment="1">
      <alignment horizontal="center"/>
    </xf>
    <xf numFmtId="0" fontId="0" fillId="0" borderId="1" xfId="2" applyNumberFormat="1" applyFont="1" applyBorder="1" applyAlignment="1">
      <alignment horizontal="center"/>
    </xf>
    <xf numFmtId="9" fontId="0" fillId="0" borderId="1" xfId="2" applyFont="1" applyBorder="1" applyAlignment="1">
      <alignment horizontal="center"/>
    </xf>
    <xf numFmtId="0" fontId="0" fillId="0" borderId="17" xfId="0" applyBorder="1"/>
    <xf numFmtId="9" fontId="0" fillId="0" borderId="17" xfId="2" applyFont="1" applyBorder="1" applyAlignment="1">
      <alignment horizontal="center"/>
    </xf>
    <xf numFmtId="9" fontId="0" fillId="0" borderId="16" xfId="2" applyFont="1" applyBorder="1" applyAlignment="1">
      <alignment horizontal="center"/>
    </xf>
    <xf numFmtId="0" fontId="0" fillId="6" borderId="0" xfId="0" applyFill="1" applyAlignment="1">
      <alignment horizontal="center"/>
    </xf>
    <xf numFmtId="1" fontId="0" fillId="0" borderId="0" xfId="0" applyNumberFormat="1" applyAlignment="1">
      <alignment horizontal="center"/>
    </xf>
    <xf numFmtId="14" fontId="0" fillId="0" borderId="0" xfId="0" applyNumberFormat="1" applyAlignment="1">
      <alignment horizontal="center"/>
    </xf>
    <xf numFmtId="2" fontId="0" fillId="0" borderId="0" xfId="0" applyNumberFormat="1"/>
    <xf numFmtId="2" fontId="0" fillId="6" borderId="0" xfId="0" applyNumberFormat="1" applyFill="1" applyAlignment="1">
      <alignment horizontal="center"/>
    </xf>
    <xf numFmtId="2" fontId="0" fillId="0" borderId="0" xfId="0" applyNumberFormat="1" applyAlignment="1">
      <alignment horizontal="center"/>
    </xf>
    <xf numFmtId="2" fontId="0" fillId="0" borderId="0" xfId="0" quotePrefix="1" applyNumberFormat="1"/>
    <xf numFmtId="165" fontId="0" fillId="0" borderId="0" xfId="0" applyNumberFormat="1" applyFill="1" applyAlignment="1">
      <alignment horizontal="center"/>
    </xf>
    <xf numFmtId="0" fontId="0" fillId="0" borderId="0" xfId="0"/>
    <xf numFmtId="165" fontId="0" fillId="0" borderId="0" xfId="0" applyNumberFormat="1" applyAlignment="1">
      <alignment horizontal="center"/>
    </xf>
    <xf numFmtId="0" fontId="0" fillId="2" borderId="0" xfId="0" applyFill="1" applyAlignment="1">
      <alignment horizontal="center"/>
    </xf>
    <xf numFmtId="165" fontId="0" fillId="2" borderId="0" xfId="0" applyNumberFormat="1" applyFill="1" applyAlignment="1">
      <alignment horizontal="center"/>
    </xf>
    <xf numFmtId="2" fontId="0" fillId="0" borderId="0" xfId="0" applyNumberFormat="1" applyFill="1" applyAlignment="1">
      <alignment horizontal="center"/>
    </xf>
    <xf numFmtId="0" fontId="0" fillId="0" borderId="0" xfId="0" applyFill="1" applyAlignment="1">
      <alignment horizontal="center"/>
    </xf>
    <xf numFmtId="2" fontId="0" fillId="2" borderId="0" xfId="0" applyNumberFormat="1" applyFill="1" applyAlignment="1">
      <alignment horizontal="center"/>
    </xf>
    <xf numFmtId="0" fontId="0" fillId="0" borderId="6" xfId="0" applyBorder="1" applyAlignment="1">
      <alignment horizontal="right"/>
    </xf>
    <xf numFmtId="0" fontId="0" fillId="0" borderId="7" xfId="0" applyBorder="1" applyAlignment="1">
      <alignment horizontal="center"/>
    </xf>
    <xf numFmtId="2" fontId="0" fillId="2" borderId="10" xfId="0" applyNumberFormat="1" applyFill="1" applyBorder="1" applyAlignment="1">
      <alignment horizontal="center"/>
    </xf>
    <xf numFmtId="0" fontId="4" fillId="4" borderId="1" xfId="0" applyFont="1" applyFill="1" applyBorder="1" applyAlignment="1">
      <alignment horizontal="center"/>
    </xf>
    <xf numFmtId="166" fontId="10" fillId="0" borderId="1" xfId="0" applyNumberFormat="1" applyFont="1" applyBorder="1"/>
    <xf numFmtId="0" fontId="0" fillId="2" borderId="10" xfId="0" applyFill="1" applyBorder="1" applyAlignment="1">
      <alignment horizontal="center"/>
    </xf>
    <xf numFmtId="166" fontId="0" fillId="2" borderId="10" xfId="0" applyNumberFormat="1" applyFill="1" applyBorder="1" applyAlignment="1">
      <alignment horizontal="center"/>
    </xf>
    <xf numFmtId="0" fontId="0" fillId="7" borderId="1" xfId="0" applyFill="1" applyBorder="1" applyAlignment="1">
      <alignment horizontal="center"/>
    </xf>
    <xf numFmtId="0" fontId="4" fillId="4" borderId="6" xfId="0" applyFont="1" applyFill="1" applyBorder="1" applyAlignment="1">
      <alignment horizontal="center"/>
    </xf>
    <xf numFmtId="0" fontId="4" fillId="4" borderId="7" xfId="0" applyFont="1" applyFill="1" applyBorder="1" applyAlignment="1">
      <alignment horizontal="center"/>
    </xf>
    <xf numFmtId="0" fontId="9" fillId="5" borderId="6" xfId="0" applyFont="1" applyFill="1" applyBorder="1" applyAlignment="1">
      <alignment horizontal="center"/>
    </xf>
    <xf numFmtId="0" fontId="9" fillId="5" borderId="7" xfId="0" applyFont="1" applyFill="1" applyBorder="1" applyAlignment="1">
      <alignment horizontal="center"/>
    </xf>
    <xf numFmtId="0" fontId="4" fillId="4" borderId="10" xfId="0" applyFont="1" applyFill="1" applyBorder="1" applyAlignment="1">
      <alignment horizontal="center"/>
    </xf>
    <xf numFmtId="0" fontId="0" fillId="0" borderId="6" xfId="0" applyBorder="1" applyAlignment="1">
      <alignment horizontal="left"/>
    </xf>
    <xf numFmtId="0" fontId="0" fillId="0" borderId="5" xfId="0" applyBorder="1" applyAlignment="1">
      <alignment horizontal="left"/>
    </xf>
    <xf numFmtId="0" fontId="0" fillId="0" borderId="7" xfId="0" applyBorder="1" applyAlignment="1">
      <alignment horizontal="left"/>
    </xf>
    <xf numFmtId="0" fontId="2" fillId="4" borderId="5" xfId="0" applyFont="1" applyFill="1" applyBorder="1" applyAlignment="1">
      <alignment horizontal="center"/>
    </xf>
    <xf numFmtId="0" fontId="2" fillId="4" borderId="7" xfId="0" applyFont="1" applyFill="1" applyBorder="1" applyAlignment="1">
      <alignment horizontal="center"/>
    </xf>
    <xf numFmtId="0" fontId="4" fillId="4" borderId="14" xfId="0" applyFont="1" applyFill="1" applyBorder="1" applyAlignment="1">
      <alignment horizontal="center"/>
    </xf>
    <xf numFmtId="0" fontId="4" fillId="4" borderId="15"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4" fillId="4" borderId="8" xfId="0" applyFont="1" applyFill="1" applyBorder="1" applyAlignment="1">
      <alignment horizontal="center"/>
    </xf>
    <xf numFmtId="0" fontId="4" fillId="4" borderId="9" xfId="0" applyFont="1" applyFill="1" applyBorder="1" applyAlignment="1">
      <alignment horizontal="center"/>
    </xf>
    <xf numFmtId="2" fontId="2" fillId="3" borderId="3" xfId="0" applyNumberFormat="1" applyFont="1" applyFill="1" applyBorder="1" applyAlignment="1">
      <alignment horizontal="center"/>
    </xf>
    <xf numFmtId="2" fontId="2" fillId="3" borderId="4" xfId="0" applyNumberFormat="1"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center"/>
    </xf>
    <xf numFmtId="10" fontId="0" fillId="0" borderId="10" xfId="2" applyNumberFormat="1" applyFont="1" applyFill="1" applyBorder="1" applyAlignment="1">
      <alignment horizontal="center"/>
    </xf>
  </cellXfs>
  <cellStyles count="4">
    <cellStyle name="Comma" xfId="1" builtinId="3"/>
    <cellStyle name="Hyperlink" xfId="3" builtinId="8"/>
    <cellStyle name="Normal" xfId="0" builtinId="0"/>
    <cellStyle name="Percent" xfId="2" builtinId="5"/>
  </cellStyles>
  <dxfs count="9">
    <dxf>
      <fill>
        <patternFill>
          <bgColor rgb="FF92D050"/>
        </patternFill>
      </fill>
    </dxf>
    <dxf>
      <font>
        <b/>
        <i val="0"/>
        <color theme="0"/>
      </font>
      <fill>
        <patternFill>
          <bgColor rgb="FFFF0000"/>
        </patternFill>
      </fill>
    </dxf>
    <dxf>
      <font>
        <color theme="0"/>
      </font>
      <fill>
        <patternFill>
          <bgColor rgb="FFFF7C80"/>
        </patternFill>
      </fill>
    </dxf>
    <dxf>
      <fill>
        <patternFill>
          <bgColor rgb="FFFFFF00"/>
        </patternFill>
      </fill>
    </dxf>
    <dxf>
      <fill>
        <patternFill>
          <bgColor rgb="FF92D050"/>
        </patternFill>
      </fill>
    </dxf>
    <dxf>
      <fill>
        <patternFill>
          <bgColor theme="9" tint="-0.24994659260841701"/>
        </patternFill>
      </fill>
    </dxf>
    <dxf>
      <font>
        <color theme="0"/>
      </font>
      <fill>
        <patternFill>
          <bgColor rgb="FFFF0000"/>
        </patternFill>
      </fill>
    </dxf>
    <dxf>
      <font>
        <color auto="1"/>
      </font>
      <fill>
        <patternFill>
          <bgColor rgb="FF92D050"/>
        </patternFill>
      </fill>
    </dxf>
    <dxf>
      <font>
        <color theme="0"/>
      </font>
      <fill>
        <patternFill>
          <bgColor rgb="FFFF0000"/>
        </patternFill>
      </fill>
    </dxf>
  </dxfs>
  <tableStyles count="0" defaultTableStyle="TableStyleMedium2" defaultPivotStyle="PivotStyleLight16"/>
  <colors>
    <mruColors>
      <color rgb="FFFF6600"/>
      <color rgb="FFFF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'Stock Chart'!$A$1</c:f>
          <c:strCache>
            <c:ptCount val="1"/>
            <c:pt idx="0">
              <c:v>TD</c:v>
            </c:pt>
          </c:strCache>
        </c:strRef>
      </c:tx>
      <c:layout>
        <c:manualLayout>
          <c:xMode val="edge"/>
          <c:yMode val="edge"/>
          <c:x val="8.9842186090146933E-3"/>
          <c:y val="3.2245184736523318E-2"/>
        </c:manualLayout>
      </c:layout>
      <c:overlay val="0"/>
      <c:txPr>
        <a:bodyPr/>
        <a:lstStyle/>
        <a:p>
          <a:pPr algn="l">
            <a:defRPr sz="1400"/>
          </a:pPr>
          <a:endParaRPr lang="en-US"/>
        </a:p>
      </c:txPr>
    </c:title>
    <c:autoTitleDeleted val="0"/>
    <c:plotArea>
      <c:layout/>
      <c:stockChart>
        <c:ser>
          <c:idx val="0"/>
          <c:order val="0"/>
          <c:spPr>
            <a:ln w="19050">
              <a:noFill/>
            </a:ln>
          </c:spPr>
          <c:marker>
            <c:symbol val="none"/>
          </c:marker>
          <c:cat>
            <c:multiLvlStrRef>
              <c:f>'Stock Chart'!$B$4:$B$32</c:f>
            </c:multiLvlStrRef>
          </c:cat>
          <c:val>
            <c:numRef>
              <c:f>'Stock Chart'!$C$4:$C$32</c:f>
              <c:numCache>
                <c:formatCode>0.00</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mooth val="0"/>
        </c:ser>
        <c:ser>
          <c:idx val="1"/>
          <c:order val="1"/>
          <c:spPr>
            <a:ln w="19050">
              <a:noFill/>
            </a:ln>
          </c:spPr>
          <c:marker>
            <c:symbol val="none"/>
          </c:marker>
          <c:cat>
            <c:multiLvlStrRef>
              <c:f>'Stock Chart'!$B$4:$B$32</c:f>
            </c:multiLvlStrRef>
          </c:cat>
          <c:val>
            <c:numRef>
              <c:f>'Stock Chart'!$D$4:$D$32</c:f>
              <c:numCache>
                <c:formatCode>0.00</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mooth val="0"/>
        </c:ser>
        <c:ser>
          <c:idx val="2"/>
          <c:order val="2"/>
          <c:spPr>
            <a:ln w="19050">
              <a:noFill/>
            </a:ln>
          </c:spPr>
          <c:marker>
            <c:symbol val="none"/>
          </c:marker>
          <c:cat>
            <c:multiLvlStrRef>
              <c:f>'Stock Chart'!$B$4:$B$32</c:f>
            </c:multiLvlStrRef>
          </c:cat>
          <c:val>
            <c:numRef>
              <c:f>'Stock Chart'!$E$4:$E$32</c:f>
              <c:numCache>
                <c:formatCode>0.00</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mooth val="0"/>
        </c:ser>
        <c:ser>
          <c:idx val="3"/>
          <c:order val="3"/>
          <c:spPr>
            <a:ln w="19050">
              <a:noFill/>
            </a:ln>
          </c:spPr>
          <c:marker>
            <c:symbol val="none"/>
          </c:marker>
          <c:cat>
            <c:multiLvlStrRef>
              <c:f>'Stock Chart'!$B$4:$B$32</c:f>
            </c:multiLvlStrRef>
          </c:cat>
          <c:val>
            <c:numRef>
              <c:f>'Stock Chart'!$F$4:$F$32</c:f>
              <c:numCache>
                <c:formatCode>0.00</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mooth val="0"/>
        </c:ser>
        <c:dLbls>
          <c:showLegendKey val="0"/>
          <c:showVal val="0"/>
          <c:showCatName val="0"/>
          <c:showSerName val="0"/>
          <c:showPercent val="0"/>
          <c:showBubbleSize val="0"/>
        </c:dLbls>
        <c:hiLowLines/>
        <c:upDownBars>
          <c:gapWidth val="150"/>
          <c:upBars>
            <c:spPr>
              <a:solidFill>
                <a:srgbClr val="00B050"/>
              </a:solidFill>
            </c:spPr>
          </c:upBars>
          <c:downBars>
            <c:spPr>
              <a:solidFill>
                <a:srgbClr val="FF0000"/>
              </a:solidFill>
            </c:spPr>
          </c:downBars>
        </c:upDownBars>
        <c:axId val="328603136"/>
        <c:axId val="327707456"/>
      </c:stockChart>
      <c:catAx>
        <c:axId val="328603136"/>
        <c:scaling>
          <c:orientation val="minMax"/>
        </c:scaling>
        <c:delete val="0"/>
        <c:axPos val="b"/>
        <c:numFmt formatCode="dd" sourceLinked="0"/>
        <c:majorTickMark val="out"/>
        <c:minorTickMark val="none"/>
        <c:tickLblPos val="nextTo"/>
        <c:crossAx val="327707456"/>
        <c:crosses val="autoZero"/>
        <c:auto val="0"/>
        <c:lblAlgn val="ctr"/>
        <c:lblOffset val="100"/>
        <c:noMultiLvlLbl val="0"/>
      </c:catAx>
      <c:valAx>
        <c:axId val="327707456"/>
        <c:scaling>
          <c:orientation val="minMax"/>
        </c:scaling>
        <c:delete val="0"/>
        <c:axPos val="l"/>
        <c:majorGridlines/>
        <c:numFmt formatCode="0.00" sourceLinked="1"/>
        <c:majorTickMark val="out"/>
        <c:minorTickMark val="none"/>
        <c:tickLblPos val="nextTo"/>
        <c:crossAx val="328603136"/>
        <c:crosses val="autoZero"/>
        <c:crossBetween val="between"/>
      </c:valAx>
      <c:spPr>
        <a:solidFill>
          <a:schemeClr val="accent4">
            <a:lumMod val="40000"/>
            <a:lumOff val="60000"/>
          </a:schemeClr>
        </a:solidFill>
      </c:spPr>
    </c:plotArea>
    <c:plotVisOnly val="1"/>
    <c:dispBlanksAs val="gap"/>
    <c:showDLblsOverMax val="0"/>
  </c:chart>
  <c:spPr>
    <a:solidFill>
      <a:schemeClr val="bg1">
        <a:lumMod val="75000"/>
      </a:schemeClr>
    </a:solidFill>
  </c:sp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'EPS Chart'!$G$1</c:f>
          <c:strCache>
            <c:ptCount val="1"/>
            <c:pt idx="0">
              <c:v>The Toronto-Dominion Bank</c:v>
            </c:pt>
          </c:strCache>
        </c:strRef>
      </c:tx>
      <c:layout>
        <c:manualLayout>
          <c:xMode val="edge"/>
          <c:yMode val="edge"/>
          <c:x val="0.2359166666666666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60000"/>
                  <a:lumOff val="40000"/>
                </a:schemeClr>
              </a:solidFill>
              <a:latin typeface="+mn-lt"/>
              <a:ea typeface="+mn-ea"/>
              <a:cs typeface="+mn-cs"/>
            </a:defRPr>
          </a:pPr>
          <a:endParaRPr lang="en-US"/>
        </a:p>
      </c:txPr>
    </c:title>
    <c:autoTitleDeleted val="0"/>
    <c:plotArea>
      <c:layout/>
      <c:lineChart>
        <c:grouping val="standard"/>
        <c:varyColors val="0"/>
        <c:ser>
          <c:idx val="3"/>
          <c:order val="0"/>
          <c:tx>
            <c:v>Close</c:v>
          </c:tx>
          <c:spPr>
            <a:ln w="28575" cap="rnd">
              <a:solidFill>
                <a:schemeClr val="accent5">
                  <a:lumMod val="60000"/>
                  <a:lumOff val="40000"/>
                </a:schemeClr>
              </a:solidFill>
              <a:round/>
            </a:ln>
            <a:effectLst/>
          </c:spPr>
          <c:marker>
            <c:symbol val="none"/>
          </c:marker>
          <c:cat>
            <c:numLit>
              <c:formatCode>General</c:formatCode>
              <c:ptCount val="91"/>
              <c:pt idx="0">
                <c:v>45062</c:v>
              </c:pt>
              <c:pt idx="1">
                <c:v>45063</c:v>
              </c:pt>
              <c:pt idx="2">
                <c:v>45064</c:v>
              </c:pt>
              <c:pt idx="3">
                <c:v>45065</c:v>
              </c:pt>
              <c:pt idx="4">
                <c:v>45068</c:v>
              </c:pt>
              <c:pt idx="5">
                <c:v>45069</c:v>
              </c:pt>
              <c:pt idx="6">
                <c:v>45070</c:v>
              </c:pt>
              <c:pt idx="7">
                <c:v>45071</c:v>
              </c:pt>
              <c:pt idx="8">
                <c:v>45072</c:v>
              </c:pt>
              <c:pt idx="9">
                <c:v>45076</c:v>
              </c:pt>
              <c:pt idx="10">
                <c:v>45077</c:v>
              </c:pt>
              <c:pt idx="11">
                <c:v>45078</c:v>
              </c:pt>
              <c:pt idx="12">
                <c:v>45079</c:v>
              </c:pt>
              <c:pt idx="13">
                <c:v>45082</c:v>
              </c:pt>
              <c:pt idx="14">
                <c:v>45083</c:v>
              </c:pt>
              <c:pt idx="15">
                <c:v>45084</c:v>
              </c:pt>
              <c:pt idx="16">
                <c:v>45085</c:v>
              </c:pt>
              <c:pt idx="17">
                <c:v>45086</c:v>
              </c:pt>
              <c:pt idx="18">
                <c:v>45089</c:v>
              </c:pt>
              <c:pt idx="19">
                <c:v>45090</c:v>
              </c:pt>
              <c:pt idx="20">
                <c:v>45091</c:v>
              </c:pt>
              <c:pt idx="21">
                <c:v>45092</c:v>
              </c:pt>
              <c:pt idx="22">
                <c:v>45093</c:v>
              </c:pt>
              <c:pt idx="23">
                <c:v>45097</c:v>
              </c:pt>
              <c:pt idx="24">
                <c:v>45098</c:v>
              </c:pt>
              <c:pt idx="25">
                <c:v>45099</c:v>
              </c:pt>
              <c:pt idx="26">
                <c:v>45100</c:v>
              </c:pt>
              <c:pt idx="27">
                <c:v>45103</c:v>
              </c:pt>
              <c:pt idx="28">
                <c:v>45104</c:v>
              </c:pt>
              <c:pt idx="29">
                <c:v>45105</c:v>
              </c:pt>
              <c:pt idx="30">
                <c:v>45106</c:v>
              </c:pt>
              <c:pt idx="31">
                <c:v>45107</c:v>
              </c:pt>
              <c:pt idx="32">
                <c:v>45110</c:v>
              </c:pt>
              <c:pt idx="33">
                <c:v>45112</c:v>
              </c:pt>
              <c:pt idx="34">
                <c:v>45113</c:v>
              </c:pt>
              <c:pt idx="35">
                <c:v>45114</c:v>
              </c:pt>
              <c:pt idx="36">
                <c:v>45117</c:v>
              </c:pt>
              <c:pt idx="37">
                <c:v>45118</c:v>
              </c:pt>
              <c:pt idx="38">
                <c:v>45119</c:v>
              </c:pt>
              <c:pt idx="39">
                <c:v>45120</c:v>
              </c:pt>
              <c:pt idx="40">
                <c:v>45121</c:v>
              </c:pt>
              <c:pt idx="41">
                <c:v>45124</c:v>
              </c:pt>
              <c:pt idx="42">
                <c:v>45125</c:v>
              </c:pt>
              <c:pt idx="43">
                <c:v>45126</c:v>
              </c:pt>
              <c:pt idx="44">
                <c:v>45127</c:v>
              </c:pt>
              <c:pt idx="45">
                <c:v>45128</c:v>
              </c:pt>
              <c:pt idx="46">
                <c:v>45131</c:v>
              </c:pt>
              <c:pt idx="47">
                <c:v>45132</c:v>
              </c:pt>
              <c:pt idx="48">
                <c:v>45133</c:v>
              </c:pt>
              <c:pt idx="49">
                <c:v>45134</c:v>
              </c:pt>
              <c:pt idx="50">
                <c:v>45135</c:v>
              </c:pt>
              <c:pt idx="51">
                <c:v>45138</c:v>
              </c:pt>
              <c:pt idx="52">
                <c:v>45139</c:v>
              </c:pt>
              <c:pt idx="53">
                <c:v>45140</c:v>
              </c:pt>
              <c:pt idx="54">
                <c:v>45141</c:v>
              </c:pt>
              <c:pt idx="55">
                <c:v>45142</c:v>
              </c:pt>
              <c:pt idx="56">
                <c:v>45145</c:v>
              </c:pt>
              <c:pt idx="57">
                <c:v>45146</c:v>
              </c:pt>
              <c:pt idx="58">
                <c:v>45147</c:v>
              </c:pt>
              <c:pt idx="59">
                <c:v>45148</c:v>
              </c:pt>
              <c:pt idx="60">
                <c:v>45149</c:v>
              </c:pt>
              <c:pt idx="61">
                <c:v>45152</c:v>
              </c:pt>
              <c:pt idx="62">
                <c:v>45153</c:v>
              </c:pt>
              <c:pt idx="63">
                <c:v>45154</c:v>
              </c:pt>
              <c:pt idx="64">
                <c:v>45155</c:v>
              </c:pt>
              <c:pt idx="65">
                <c:v>45156</c:v>
              </c:pt>
              <c:pt idx="66">
                <c:v>45159</c:v>
              </c:pt>
              <c:pt idx="67">
                <c:v>45160</c:v>
              </c:pt>
              <c:pt idx="68">
                <c:v>45161</c:v>
              </c:pt>
              <c:pt idx="69">
                <c:v>45162</c:v>
              </c:pt>
              <c:pt idx="70">
                <c:v>45163</c:v>
              </c:pt>
              <c:pt idx="71">
                <c:v>45166</c:v>
              </c:pt>
              <c:pt idx="72">
                <c:v>45167</c:v>
              </c:pt>
              <c:pt idx="73">
                <c:v>45168</c:v>
              </c:pt>
              <c:pt idx="74">
                <c:v>45169</c:v>
              </c:pt>
              <c:pt idx="75">
                <c:v>45170</c:v>
              </c:pt>
              <c:pt idx="76">
                <c:v>45174</c:v>
              </c:pt>
              <c:pt idx="77">
                <c:v>45175</c:v>
              </c:pt>
              <c:pt idx="78">
                <c:v>45176</c:v>
              </c:pt>
              <c:pt idx="79">
                <c:v>45177</c:v>
              </c:pt>
              <c:pt idx="80">
                <c:v>45180</c:v>
              </c:pt>
              <c:pt idx="81">
                <c:v>45181</c:v>
              </c:pt>
              <c:pt idx="82">
                <c:v>45182</c:v>
              </c:pt>
              <c:pt idx="83">
                <c:v>45183</c:v>
              </c:pt>
              <c:pt idx="84">
                <c:v>45184</c:v>
              </c:pt>
              <c:pt idx="85">
                <c:v>45187</c:v>
              </c:pt>
              <c:pt idx="86">
                <c:v>45188</c:v>
              </c:pt>
              <c:pt idx="87">
                <c:v>45189</c:v>
              </c:pt>
              <c:pt idx="88">
                <c:v>45190</c:v>
              </c:pt>
              <c:pt idx="89">
                <c:v>45191</c:v>
              </c:pt>
              <c:pt idx="90">
                <c:v>45194</c:v>
              </c:pt>
            </c:numLit>
          </c:cat>
          <c:val>
            <c:numRef>
              <c:f>'EPS Chart'!$F$29:$F$119</c:f>
              <c:numCache>
                <c:formatCode>0.00</c:formatCode>
                <c:ptCount val="9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numCache>
            </c:numRef>
          </c:val>
          <c:smooth val="0"/>
          <c:extLst xmlns:c16r2="http://schemas.microsoft.com/office/drawing/2015/06/chart">
            <c:ext xmlns:c16="http://schemas.microsoft.com/office/drawing/2014/chart" uri="{C3380CC4-5D6E-409C-BE32-E72D297353CC}">
              <c16:uniqueId val="{00000000-51AE-4937-A4F3-4512FB9496BE}"/>
            </c:ext>
          </c:extLst>
        </c:ser>
        <c:dLbls>
          <c:showLegendKey val="0"/>
          <c:showVal val="0"/>
          <c:showCatName val="0"/>
          <c:showSerName val="0"/>
          <c:showPercent val="0"/>
          <c:showBubbleSize val="0"/>
        </c:dLbls>
        <c:marker val="1"/>
        <c:smooth val="0"/>
        <c:axId val="210851328"/>
        <c:axId val="327711488"/>
      </c:lineChart>
      <c:lineChart>
        <c:grouping val="standard"/>
        <c:varyColors val="0"/>
        <c:ser>
          <c:idx val="4"/>
          <c:order val="1"/>
          <c:tx>
            <c:v>EPS Est</c:v>
          </c:tx>
          <c:spPr>
            <a:ln w="28575" cap="rnd">
              <a:solidFill>
                <a:srgbClr val="FF0000"/>
              </a:solidFill>
              <a:round/>
            </a:ln>
            <a:effectLst/>
          </c:spPr>
          <c:marker>
            <c:symbol val="none"/>
          </c:marker>
          <c:cat>
            <c:numLit>
              <c:formatCode>General</c:formatCode>
              <c:ptCount val="91"/>
              <c:pt idx="0">
                <c:v>45062</c:v>
              </c:pt>
              <c:pt idx="1">
                <c:v>45063</c:v>
              </c:pt>
              <c:pt idx="2">
                <c:v>45064</c:v>
              </c:pt>
              <c:pt idx="3">
                <c:v>45065</c:v>
              </c:pt>
              <c:pt idx="4">
                <c:v>45068</c:v>
              </c:pt>
              <c:pt idx="5">
                <c:v>45069</c:v>
              </c:pt>
              <c:pt idx="6">
                <c:v>45070</c:v>
              </c:pt>
              <c:pt idx="7">
                <c:v>45071</c:v>
              </c:pt>
              <c:pt idx="8">
                <c:v>45072</c:v>
              </c:pt>
              <c:pt idx="9">
                <c:v>45076</c:v>
              </c:pt>
              <c:pt idx="10">
                <c:v>45077</c:v>
              </c:pt>
              <c:pt idx="11">
                <c:v>45078</c:v>
              </c:pt>
              <c:pt idx="12">
                <c:v>45079</c:v>
              </c:pt>
              <c:pt idx="13">
                <c:v>45082</c:v>
              </c:pt>
              <c:pt idx="14">
                <c:v>45083</c:v>
              </c:pt>
              <c:pt idx="15">
                <c:v>45084</c:v>
              </c:pt>
              <c:pt idx="16">
                <c:v>45085</c:v>
              </c:pt>
              <c:pt idx="17">
                <c:v>45086</c:v>
              </c:pt>
              <c:pt idx="18">
                <c:v>45089</c:v>
              </c:pt>
              <c:pt idx="19">
                <c:v>45090</c:v>
              </c:pt>
              <c:pt idx="20">
                <c:v>45091</c:v>
              </c:pt>
              <c:pt idx="21">
                <c:v>45092</c:v>
              </c:pt>
              <c:pt idx="22">
                <c:v>45093</c:v>
              </c:pt>
              <c:pt idx="23">
                <c:v>45097</c:v>
              </c:pt>
              <c:pt idx="24">
                <c:v>45098</c:v>
              </c:pt>
              <c:pt idx="25">
                <c:v>45099</c:v>
              </c:pt>
              <c:pt idx="26">
                <c:v>45100</c:v>
              </c:pt>
              <c:pt idx="27">
                <c:v>45103</c:v>
              </c:pt>
              <c:pt idx="28">
                <c:v>45104</c:v>
              </c:pt>
              <c:pt idx="29">
                <c:v>45105</c:v>
              </c:pt>
              <c:pt idx="30">
                <c:v>45106</c:v>
              </c:pt>
              <c:pt idx="31">
                <c:v>45107</c:v>
              </c:pt>
              <c:pt idx="32">
                <c:v>45110</c:v>
              </c:pt>
              <c:pt idx="33">
                <c:v>45112</c:v>
              </c:pt>
              <c:pt idx="34">
                <c:v>45113</c:v>
              </c:pt>
              <c:pt idx="35">
                <c:v>45114</c:v>
              </c:pt>
              <c:pt idx="36">
                <c:v>45117</c:v>
              </c:pt>
              <c:pt idx="37">
                <c:v>45118</c:v>
              </c:pt>
              <c:pt idx="38">
                <c:v>45119</c:v>
              </c:pt>
              <c:pt idx="39">
                <c:v>45120</c:v>
              </c:pt>
              <c:pt idx="40">
                <c:v>45121</c:v>
              </c:pt>
              <c:pt idx="41">
                <c:v>45124</c:v>
              </c:pt>
              <c:pt idx="42">
                <c:v>45125</c:v>
              </c:pt>
              <c:pt idx="43">
                <c:v>45126</c:v>
              </c:pt>
              <c:pt idx="44">
                <c:v>45127</c:v>
              </c:pt>
              <c:pt idx="45">
                <c:v>45128</c:v>
              </c:pt>
              <c:pt idx="46">
                <c:v>45131</c:v>
              </c:pt>
              <c:pt idx="47">
                <c:v>45132</c:v>
              </c:pt>
              <c:pt idx="48">
                <c:v>45133</c:v>
              </c:pt>
              <c:pt idx="49">
                <c:v>45134</c:v>
              </c:pt>
              <c:pt idx="50">
                <c:v>45135</c:v>
              </c:pt>
              <c:pt idx="51">
                <c:v>45138</c:v>
              </c:pt>
              <c:pt idx="52">
                <c:v>45139</c:v>
              </c:pt>
              <c:pt idx="53">
                <c:v>45140</c:v>
              </c:pt>
              <c:pt idx="54">
                <c:v>45141</c:v>
              </c:pt>
              <c:pt idx="55">
                <c:v>45142</c:v>
              </c:pt>
              <c:pt idx="56">
                <c:v>45145</c:v>
              </c:pt>
              <c:pt idx="57">
                <c:v>45146</c:v>
              </c:pt>
              <c:pt idx="58">
                <c:v>45147</c:v>
              </c:pt>
              <c:pt idx="59">
                <c:v>45148</c:v>
              </c:pt>
              <c:pt idx="60">
                <c:v>45149</c:v>
              </c:pt>
              <c:pt idx="61">
                <c:v>45152</c:v>
              </c:pt>
              <c:pt idx="62">
                <c:v>45153</c:v>
              </c:pt>
              <c:pt idx="63">
                <c:v>45154</c:v>
              </c:pt>
              <c:pt idx="64">
                <c:v>45155</c:v>
              </c:pt>
              <c:pt idx="65">
                <c:v>45156</c:v>
              </c:pt>
              <c:pt idx="66">
                <c:v>45159</c:v>
              </c:pt>
              <c:pt idx="67">
                <c:v>45160</c:v>
              </c:pt>
              <c:pt idx="68">
                <c:v>45161</c:v>
              </c:pt>
              <c:pt idx="69">
                <c:v>45162</c:v>
              </c:pt>
              <c:pt idx="70">
                <c:v>45163</c:v>
              </c:pt>
              <c:pt idx="71">
                <c:v>45166</c:v>
              </c:pt>
              <c:pt idx="72">
                <c:v>45167</c:v>
              </c:pt>
              <c:pt idx="73">
                <c:v>45168</c:v>
              </c:pt>
              <c:pt idx="74">
                <c:v>45169</c:v>
              </c:pt>
              <c:pt idx="75">
                <c:v>45170</c:v>
              </c:pt>
              <c:pt idx="76">
                <c:v>45174</c:v>
              </c:pt>
              <c:pt idx="77">
                <c:v>45175</c:v>
              </c:pt>
              <c:pt idx="78">
                <c:v>45176</c:v>
              </c:pt>
              <c:pt idx="79">
                <c:v>45177</c:v>
              </c:pt>
              <c:pt idx="80">
                <c:v>45180</c:v>
              </c:pt>
              <c:pt idx="81">
                <c:v>45181</c:v>
              </c:pt>
              <c:pt idx="82">
                <c:v>45182</c:v>
              </c:pt>
              <c:pt idx="83">
                <c:v>45183</c:v>
              </c:pt>
              <c:pt idx="84">
                <c:v>45184</c:v>
              </c:pt>
              <c:pt idx="85">
                <c:v>45187</c:v>
              </c:pt>
              <c:pt idx="86">
                <c:v>45188</c:v>
              </c:pt>
              <c:pt idx="87">
                <c:v>45189</c:v>
              </c:pt>
              <c:pt idx="88">
                <c:v>45190</c:v>
              </c:pt>
              <c:pt idx="89">
                <c:v>45191</c:v>
              </c:pt>
              <c:pt idx="90">
                <c:v>45194</c:v>
              </c:pt>
            </c:numLit>
          </c:cat>
          <c:val>
            <c:numRef>
              <c:f>'EPS Chart'!$G$29:$G$119</c:f>
              <c:numCache>
                <c:formatCode>General</c:formatCode>
                <c:ptCount val="91"/>
                <c:pt idx="0">
                  <c:v>1.44</c:v>
                </c:pt>
                <c:pt idx="1">
                  <c:v>1.44</c:v>
                </c:pt>
                <c:pt idx="2">
                  <c:v>1.44</c:v>
                </c:pt>
                <c:pt idx="3">
                  <c:v>1.44</c:v>
                </c:pt>
                <c:pt idx="4">
                  <c:v>1.44</c:v>
                </c:pt>
                <c:pt idx="5">
                  <c:v>1.44</c:v>
                </c:pt>
                <c:pt idx="6">
                  <c:v>1.44</c:v>
                </c:pt>
                <c:pt idx="7">
                  <c:v>1.44</c:v>
                </c:pt>
                <c:pt idx="8">
                  <c:v>1.44</c:v>
                </c:pt>
                <c:pt idx="9">
                  <c:v>1.44</c:v>
                </c:pt>
                <c:pt idx="10">
                  <c:v>1.44</c:v>
                </c:pt>
                <c:pt idx="11">
                  <c:v>1.44</c:v>
                </c:pt>
                <c:pt idx="12">
                  <c:v>1.44</c:v>
                </c:pt>
                <c:pt idx="13">
                  <c:v>1.44</c:v>
                </c:pt>
                <c:pt idx="14">
                  <c:v>1.44</c:v>
                </c:pt>
                <c:pt idx="15">
                  <c:v>1.44</c:v>
                </c:pt>
                <c:pt idx="16">
                  <c:v>1.44</c:v>
                </c:pt>
                <c:pt idx="17">
                  <c:v>1.44</c:v>
                </c:pt>
                <c:pt idx="18">
                  <c:v>1.44</c:v>
                </c:pt>
                <c:pt idx="19">
                  <c:v>1.44</c:v>
                </c:pt>
                <c:pt idx="20">
                  <c:v>1.44</c:v>
                </c:pt>
                <c:pt idx="21">
                  <c:v>1.44</c:v>
                </c:pt>
                <c:pt idx="22">
                  <c:v>1.44</c:v>
                </c:pt>
                <c:pt idx="23">
                  <c:v>1.44</c:v>
                </c:pt>
                <c:pt idx="24">
                  <c:v>1.44</c:v>
                </c:pt>
                <c:pt idx="25">
                  <c:v>1.44</c:v>
                </c:pt>
                <c:pt idx="26">
                  <c:v>1.44</c:v>
                </c:pt>
                <c:pt idx="27">
                  <c:v>1.44</c:v>
                </c:pt>
                <c:pt idx="28">
                  <c:v>1.44</c:v>
                </c:pt>
                <c:pt idx="29">
                  <c:v>1.44</c:v>
                </c:pt>
                <c:pt idx="30">
                  <c:v>1.37</c:v>
                </c:pt>
                <c:pt idx="31">
                  <c:v>1.37</c:v>
                </c:pt>
                <c:pt idx="32">
                  <c:v>1.37</c:v>
                </c:pt>
                <c:pt idx="33">
                  <c:v>1.37</c:v>
                </c:pt>
                <c:pt idx="34">
                  <c:v>1.37</c:v>
                </c:pt>
                <c:pt idx="35">
                  <c:v>1.37</c:v>
                </c:pt>
                <c:pt idx="36">
                  <c:v>1.37</c:v>
                </c:pt>
                <c:pt idx="37">
                  <c:v>1.37</c:v>
                </c:pt>
                <c:pt idx="38">
                  <c:v>1.37</c:v>
                </c:pt>
                <c:pt idx="39">
                  <c:v>1.37</c:v>
                </c:pt>
                <c:pt idx="40">
                  <c:v>1.37</c:v>
                </c:pt>
                <c:pt idx="41">
                  <c:v>1.37</c:v>
                </c:pt>
                <c:pt idx="42">
                  <c:v>1.37</c:v>
                </c:pt>
                <c:pt idx="43">
                  <c:v>1.37</c:v>
                </c:pt>
                <c:pt idx="44">
                  <c:v>1.37</c:v>
                </c:pt>
                <c:pt idx="45">
                  <c:v>1.37</c:v>
                </c:pt>
                <c:pt idx="46">
                  <c:v>1.37</c:v>
                </c:pt>
                <c:pt idx="47">
                  <c:v>1.37</c:v>
                </c:pt>
                <c:pt idx="48">
                  <c:v>1.37</c:v>
                </c:pt>
                <c:pt idx="49">
                  <c:v>1.37</c:v>
                </c:pt>
                <c:pt idx="50">
                  <c:v>1.37</c:v>
                </c:pt>
                <c:pt idx="51">
                  <c:v>1.37</c:v>
                </c:pt>
                <c:pt idx="52">
                  <c:v>1.37</c:v>
                </c:pt>
                <c:pt idx="53">
                  <c:v>1.37</c:v>
                </c:pt>
                <c:pt idx="54">
                  <c:v>1.37</c:v>
                </c:pt>
                <c:pt idx="55">
                  <c:v>1.37</c:v>
                </c:pt>
                <c:pt idx="56">
                  <c:v>1.37</c:v>
                </c:pt>
                <c:pt idx="57">
                  <c:v>1.37</c:v>
                </c:pt>
                <c:pt idx="58">
                  <c:v>1.37</c:v>
                </c:pt>
                <c:pt idx="59">
                  <c:v>1.37</c:v>
                </c:pt>
                <c:pt idx="60">
                  <c:v>1.36</c:v>
                </c:pt>
                <c:pt idx="61">
                  <c:v>1.36</c:v>
                </c:pt>
                <c:pt idx="62">
                  <c:v>1.36</c:v>
                </c:pt>
                <c:pt idx="63">
                  <c:v>1.36</c:v>
                </c:pt>
                <c:pt idx="64">
                  <c:v>1.36</c:v>
                </c:pt>
                <c:pt idx="65">
                  <c:v>1.36</c:v>
                </c:pt>
                <c:pt idx="66">
                  <c:v>1.36</c:v>
                </c:pt>
                <c:pt idx="67">
                  <c:v>1.36</c:v>
                </c:pt>
                <c:pt idx="68">
                  <c:v>1.36</c:v>
                </c:pt>
                <c:pt idx="69">
                  <c:v>1.36</c:v>
                </c:pt>
                <c:pt idx="70">
                  <c:v>1.36</c:v>
                </c:pt>
                <c:pt idx="71">
                  <c:v>1.36</c:v>
                </c:pt>
                <c:pt idx="72">
                  <c:v>1.36</c:v>
                </c:pt>
                <c:pt idx="73">
                  <c:v>1.36</c:v>
                </c:pt>
                <c:pt idx="74">
                  <c:v>1.36</c:v>
                </c:pt>
                <c:pt idx="75">
                  <c:v>1.36</c:v>
                </c:pt>
                <c:pt idx="76">
                  <c:v>1.36</c:v>
                </c:pt>
                <c:pt idx="77">
                  <c:v>1.36</c:v>
                </c:pt>
                <c:pt idx="78">
                  <c:v>1.36</c:v>
                </c:pt>
                <c:pt idx="79">
                  <c:v>1.36</c:v>
                </c:pt>
                <c:pt idx="80">
                  <c:v>1.36</c:v>
                </c:pt>
                <c:pt idx="81">
                  <c:v>1.36</c:v>
                </c:pt>
                <c:pt idx="82">
                  <c:v>1.36</c:v>
                </c:pt>
                <c:pt idx="83" formatCode="0.00">
                  <c:v>1.35</c:v>
                </c:pt>
                <c:pt idx="84" formatCode="0.00">
                  <c:v>1.35</c:v>
                </c:pt>
                <c:pt idx="85" formatCode="0.00">
                  <c:v>1.35</c:v>
                </c:pt>
                <c:pt idx="86" formatCode="0.00">
                  <c:v>1.35</c:v>
                </c:pt>
                <c:pt idx="87" formatCode="0.00">
                  <c:v>1.35</c:v>
                </c:pt>
                <c:pt idx="88" formatCode="0.00">
                  <c:v>1.35</c:v>
                </c:pt>
                <c:pt idx="89" formatCode="0.00">
                  <c:v>1.35</c:v>
                </c:pt>
                <c:pt idx="90" formatCode="0.00">
                  <c:v>1.35</c:v>
                </c:pt>
              </c:numCache>
            </c:numRef>
          </c:val>
          <c:smooth val="0"/>
          <c:extLst xmlns:c16r2="http://schemas.microsoft.com/office/drawing/2015/06/chart">
            <c:ext xmlns:c16="http://schemas.microsoft.com/office/drawing/2014/chart" uri="{C3380CC4-5D6E-409C-BE32-E72D297353CC}">
              <c16:uniqueId val="{00000001-51AE-4937-A4F3-4512FB9496BE}"/>
            </c:ext>
          </c:extLst>
        </c:ser>
        <c:dLbls>
          <c:showLegendKey val="0"/>
          <c:showVal val="0"/>
          <c:showCatName val="0"/>
          <c:showSerName val="0"/>
          <c:showPercent val="0"/>
          <c:showBubbleSize val="0"/>
        </c:dLbls>
        <c:marker val="1"/>
        <c:smooth val="0"/>
        <c:axId val="210852352"/>
        <c:axId val="327712064"/>
      </c:lineChart>
      <c:catAx>
        <c:axId val="2108513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800" b="0" i="0" u="none" strike="noStrike" kern="1200" baseline="0">
                <a:solidFill>
                  <a:schemeClr val="accent4">
                    <a:lumMod val="20000"/>
                    <a:lumOff val="80000"/>
                  </a:schemeClr>
                </a:solidFill>
                <a:latin typeface="+mn-lt"/>
                <a:ea typeface="+mn-ea"/>
                <a:cs typeface="+mn-cs"/>
              </a:defRPr>
            </a:pPr>
            <a:endParaRPr lang="en-US"/>
          </a:p>
        </c:txPr>
        <c:crossAx val="327711488"/>
        <c:crosses val="autoZero"/>
        <c:auto val="1"/>
        <c:lblAlgn val="ctr"/>
        <c:lblOffset val="100"/>
        <c:noMultiLvlLbl val="1"/>
      </c:catAx>
      <c:valAx>
        <c:axId val="327711488"/>
        <c:scaling>
          <c:orientation val="minMax"/>
        </c:scaling>
        <c:delete val="0"/>
        <c:axPos val="l"/>
        <c:majorGridlines>
          <c:spPr>
            <a:ln w="317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60000"/>
                    <a:lumOff val="40000"/>
                  </a:schemeClr>
                </a:solidFill>
                <a:latin typeface="+mn-lt"/>
                <a:ea typeface="+mn-ea"/>
                <a:cs typeface="+mn-cs"/>
              </a:defRPr>
            </a:pPr>
            <a:endParaRPr lang="en-US"/>
          </a:p>
        </c:txPr>
        <c:crossAx val="210851328"/>
        <c:crosses val="autoZero"/>
        <c:crossBetween val="between"/>
      </c:valAx>
      <c:valAx>
        <c:axId val="3277120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rgbClr val="FF0000"/>
                </a:solidFill>
                <a:latin typeface="+mn-lt"/>
                <a:ea typeface="+mn-ea"/>
                <a:cs typeface="+mn-cs"/>
              </a:defRPr>
            </a:pPr>
            <a:endParaRPr lang="en-US"/>
          </a:p>
        </c:txPr>
        <c:crossAx val="210852352"/>
        <c:crosses val="max"/>
        <c:crossBetween val="between"/>
      </c:valAx>
      <c:catAx>
        <c:axId val="210852352"/>
        <c:scaling>
          <c:orientation val="minMax"/>
        </c:scaling>
        <c:delete val="1"/>
        <c:axPos val="b"/>
        <c:numFmt formatCode="General" sourceLinked="1"/>
        <c:majorTickMark val="out"/>
        <c:minorTickMark val="none"/>
        <c:tickLblPos val="nextTo"/>
        <c:crossAx val="327712064"/>
        <c:crosses val="autoZero"/>
        <c:auto val="1"/>
        <c:lblAlgn val="ctr"/>
        <c:lblOffset val="100"/>
        <c:noMultiLvlLbl val="1"/>
      </c:catAx>
      <c:spPr>
        <a:noFill/>
        <a:ln>
          <a:solidFill>
            <a:schemeClr val="accent5">
              <a:lumMod val="60000"/>
              <a:lumOff val="40000"/>
            </a:schemeClr>
          </a:solidFill>
          <a:prstDash val="sysDot"/>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'Stock Chart'!$A$1</c:f>
          <c:strCache>
            <c:ptCount val="1"/>
            <c:pt idx="0">
              <c:v>TD</c:v>
            </c:pt>
          </c:strCache>
        </c:strRef>
      </c:tx>
      <c:layout>
        <c:manualLayout>
          <c:xMode val="edge"/>
          <c:yMode val="edge"/>
          <c:x val="8.0130396098537851E-2"/>
          <c:y val="1.9937694704049845E-2"/>
        </c:manualLayout>
      </c:layout>
      <c:overlay val="0"/>
      <c:txPr>
        <a:bodyPr/>
        <a:lstStyle/>
        <a:p>
          <a:pPr algn="l">
            <a:defRPr sz="1400"/>
          </a:pPr>
          <a:endParaRPr lang="en-US"/>
        </a:p>
      </c:txPr>
    </c:title>
    <c:autoTitleDeleted val="0"/>
    <c:plotArea>
      <c:layout/>
      <c:stockChart>
        <c:ser>
          <c:idx val="0"/>
          <c:order val="0"/>
          <c:spPr>
            <a:ln w="19050">
              <a:noFill/>
            </a:ln>
          </c:spPr>
          <c:marker>
            <c:symbol val="none"/>
          </c:marker>
          <c:cat>
            <c:multiLvlStrRef>
              <c:f>'Stock Chart'!$B$4:$B$32</c:f>
            </c:multiLvlStrRef>
          </c:cat>
          <c:val>
            <c:numRef>
              <c:f>'Stock Chart'!$C$4:$C$32</c:f>
              <c:numCache>
                <c:formatCode>0.00</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mooth val="0"/>
        </c:ser>
        <c:ser>
          <c:idx val="1"/>
          <c:order val="1"/>
          <c:spPr>
            <a:ln w="19050">
              <a:noFill/>
            </a:ln>
          </c:spPr>
          <c:marker>
            <c:symbol val="none"/>
          </c:marker>
          <c:cat>
            <c:multiLvlStrRef>
              <c:f>'Stock Chart'!$B$4:$B$32</c:f>
            </c:multiLvlStrRef>
          </c:cat>
          <c:val>
            <c:numRef>
              <c:f>'Stock Chart'!$D$4:$D$32</c:f>
              <c:numCache>
                <c:formatCode>0.00</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mooth val="0"/>
        </c:ser>
        <c:ser>
          <c:idx val="2"/>
          <c:order val="2"/>
          <c:spPr>
            <a:ln w="19050">
              <a:noFill/>
            </a:ln>
          </c:spPr>
          <c:marker>
            <c:symbol val="none"/>
          </c:marker>
          <c:cat>
            <c:multiLvlStrRef>
              <c:f>'Stock Chart'!$B$4:$B$32</c:f>
            </c:multiLvlStrRef>
          </c:cat>
          <c:val>
            <c:numRef>
              <c:f>'Stock Chart'!$E$4:$E$32</c:f>
              <c:numCache>
                <c:formatCode>0.00</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mooth val="0"/>
        </c:ser>
        <c:ser>
          <c:idx val="3"/>
          <c:order val="3"/>
          <c:spPr>
            <a:ln w="19050">
              <a:noFill/>
            </a:ln>
          </c:spPr>
          <c:marker>
            <c:symbol val="none"/>
          </c:marker>
          <c:cat>
            <c:multiLvlStrRef>
              <c:f>'Stock Chart'!$B$4:$B$32</c:f>
            </c:multiLvlStrRef>
          </c:cat>
          <c:val>
            <c:numRef>
              <c:f>'Stock Chart'!$F$4:$F$32</c:f>
              <c:numCache>
                <c:formatCode>0.00</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mooth val="0"/>
        </c:ser>
        <c:dLbls>
          <c:showLegendKey val="0"/>
          <c:showVal val="0"/>
          <c:showCatName val="0"/>
          <c:showSerName val="0"/>
          <c:showPercent val="0"/>
          <c:showBubbleSize val="0"/>
        </c:dLbls>
        <c:hiLowLines/>
        <c:upDownBars>
          <c:gapWidth val="150"/>
          <c:upBars>
            <c:spPr>
              <a:solidFill>
                <a:srgbClr val="00B050"/>
              </a:solidFill>
            </c:spPr>
          </c:upBars>
          <c:downBars>
            <c:spPr>
              <a:solidFill>
                <a:srgbClr val="FF0000"/>
              </a:solidFill>
            </c:spPr>
          </c:downBars>
        </c:upDownBars>
        <c:axId val="328605184"/>
        <c:axId val="354829440"/>
      </c:stockChart>
      <c:catAx>
        <c:axId val="328605184"/>
        <c:scaling>
          <c:orientation val="minMax"/>
        </c:scaling>
        <c:delete val="0"/>
        <c:axPos val="b"/>
        <c:numFmt formatCode="dd" sourceLinked="0"/>
        <c:majorTickMark val="out"/>
        <c:minorTickMark val="none"/>
        <c:tickLblPos val="nextTo"/>
        <c:crossAx val="354829440"/>
        <c:crosses val="autoZero"/>
        <c:auto val="0"/>
        <c:lblAlgn val="ctr"/>
        <c:lblOffset val="100"/>
        <c:noMultiLvlLbl val="0"/>
      </c:catAx>
      <c:valAx>
        <c:axId val="354829440"/>
        <c:scaling>
          <c:orientation val="minMax"/>
        </c:scaling>
        <c:delete val="0"/>
        <c:axPos val="l"/>
        <c:majorGridlines/>
        <c:numFmt formatCode="0.00" sourceLinked="1"/>
        <c:majorTickMark val="out"/>
        <c:minorTickMark val="none"/>
        <c:tickLblPos val="nextTo"/>
        <c:crossAx val="328605184"/>
        <c:crosses val="autoZero"/>
        <c:crossBetween val="between"/>
      </c:valAx>
      <c:spPr>
        <a:solidFill>
          <a:schemeClr val="accent4">
            <a:lumMod val="40000"/>
            <a:lumOff val="60000"/>
          </a:schemeClr>
        </a:solidFill>
      </c:spPr>
    </c:plotArea>
    <c:legend>
      <c:legendPos val="r"/>
      <c:layout/>
      <c:overlay val="0"/>
    </c:legend>
    <c:plotVisOnly val="1"/>
    <c:dispBlanksAs val="gap"/>
    <c:showDLblsOverMax val="0"/>
  </c:chart>
  <c:spPr>
    <a:solidFill>
      <a:schemeClr val="bg1">
        <a:lumMod val="75000"/>
      </a:schemeClr>
    </a:solidFill>
  </c:sp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'EPS Chart'!$G$1</c:f>
          <c:strCache>
            <c:ptCount val="1"/>
            <c:pt idx="0">
              <c:v>The Toronto-Dominion Bank</c:v>
            </c:pt>
          </c:strCache>
        </c:strRef>
      </c:tx>
      <c:layout>
        <c:manualLayout>
          <c:xMode val="edge"/>
          <c:yMode val="edge"/>
          <c:x val="0.2359166666666666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60000"/>
                  <a:lumOff val="40000"/>
                </a:schemeClr>
              </a:solidFill>
              <a:latin typeface="+mn-lt"/>
              <a:ea typeface="+mn-ea"/>
              <a:cs typeface="+mn-cs"/>
            </a:defRPr>
          </a:pPr>
          <a:endParaRPr lang="en-US"/>
        </a:p>
      </c:txPr>
    </c:title>
    <c:autoTitleDeleted val="0"/>
    <c:plotArea>
      <c:layout/>
      <c:lineChart>
        <c:grouping val="standard"/>
        <c:varyColors val="0"/>
        <c:ser>
          <c:idx val="3"/>
          <c:order val="0"/>
          <c:tx>
            <c:v>Close</c:v>
          </c:tx>
          <c:spPr>
            <a:ln w="28575" cap="rnd">
              <a:solidFill>
                <a:schemeClr val="accent5">
                  <a:lumMod val="60000"/>
                  <a:lumOff val="40000"/>
                </a:schemeClr>
              </a:solidFill>
              <a:round/>
            </a:ln>
            <a:effectLst/>
          </c:spPr>
          <c:marker>
            <c:symbol val="none"/>
          </c:marker>
          <c:cat>
            <c:numLit>
              <c:formatCode>General</c:formatCode>
              <c:ptCount val="91"/>
              <c:pt idx="0">
                <c:v>45062</c:v>
              </c:pt>
              <c:pt idx="1">
                <c:v>45063</c:v>
              </c:pt>
              <c:pt idx="2">
                <c:v>45064</c:v>
              </c:pt>
              <c:pt idx="3">
                <c:v>45065</c:v>
              </c:pt>
              <c:pt idx="4">
                <c:v>45068</c:v>
              </c:pt>
              <c:pt idx="5">
                <c:v>45069</c:v>
              </c:pt>
              <c:pt idx="6">
                <c:v>45070</c:v>
              </c:pt>
              <c:pt idx="7">
                <c:v>45071</c:v>
              </c:pt>
              <c:pt idx="8">
                <c:v>45072</c:v>
              </c:pt>
              <c:pt idx="9">
                <c:v>45076</c:v>
              </c:pt>
              <c:pt idx="10">
                <c:v>45077</c:v>
              </c:pt>
              <c:pt idx="11">
                <c:v>45078</c:v>
              </c:pt>
              <c:pt idx="12">
                <c:v>45079</c:v>
              </c:pt>
              <c:pt idx="13">
                <c:v>45082</c:v>
              </c:pt>
              <c:pt idx="14">
                <c:v>45083</c:v>
              </c:pt>
              <c:pt idx="15">
                <c:v>45084</c:v>
              </c:pt>
              <c:pt idx="16">
                <c:v>45085</c:v>
              </c:pt>
              <c:pt idx="17">
                <c:v>45086</c:v>
              </c:pt>
              <c:pt idx="18">
                <c:v>45089</c:v>
              </c:pt>
              <c:pt idx="19">
                <c:v>45090</c:v>
              </c:pt>
              <c:pt idx="20">
                <c:v>45091</c:v>
              </c:pt>
              <c:pt idx="21">
                <c:v>45092</c:v>
              </c:pt>
              <c:pt idx="22">
                <c:v>45093</c:v>
              </c:pt>
              <c:pt idx="23">
                <c:v>45097</c:v>
              </c:pt>
              <c:pt idx="24">
                <c:v>45098</c:v>
              </c:pt>
              <c:pt idx="25">
                <c:v>45099</c:v>
              </c:pt>
              <c:pt idx="26">
                <c:v>45100</c:v>
              </c:pt>
              <c:pt idx="27">
                <c:v>45103</c:v>
              </c:pt>
              <c:pt idx="28">
                <c:v>45104</c:v>
              </c:pt>
              <c:pt idx="29">
                <c:v>45105</c:v>
              </c:pt>
              <c:pt idx="30">
                <c:v>45106</c:v>
              </c:pt>
              <c:pt idx="31">
                <c:v>45107</c:v>
              </c:pt>
              <c:pt idx="32">
                <c:v>45110</c:v>
              </c:pt>
              <c:pt idx="33">
                <c:v>45112</c:v>
              </c:pt>
              <c:pt idx="34">
                <c:v>45113</c:v>
              </c:pt>
              <c:pt idx="35">
                <c:v>45114</c:v>
              </c:pt>
              <c:pt idx="36">
                <c:v>45117</c:v>
              </c:pt>
              <c:pt idx="37">
                <c:v>45118</c:v>
              </c:pt>
              <c:pt idx="38">
                <c:v>45119</c:v>
              </c:pt>
              <c:pt idx="39">
                <c:v>45120</c:v>
              </c:pt>
              <c:pt idx="40">
                <c:v>45121</c:v>
              </c:pt>
              <c:pt idx="41">
                <c:v>45124</c:v>
              </c:pt>
              <c:pt idx="42">
                <c:v>45125</c:v>
              </c:pt>
              <c:pt idx="43">
                <c:v>45126</c:v>
              </c:pt>
              <c:pt idx="44">
                <c:v>45127</c:v>
              </c:pt>
              <c:pt idx="45">
                <c:v>45128</c:v>
              </c:pt>
              <c:pt idx="46">
                <c:v>45131</c:v>
              </c:pt>
              <c:pt idx="47">
                <c:v>45132</c:v>
              </c:pt>
              <c:pt idx="48">
                <c:v>45133</c:v>
              </c:pt>
              <c:pt idx="49">
                <c:v>45134</c:v>
              </c:pt>
              <c:pt idx="50">
                <c:v>45135</c:v>
              </c:pt>
              <c:pt idx="51">
                <c:v>45138</c:v>
              </c:pt>
              <c:pt idx="52">
                <c:v>45139</c:v>
              </c:pt>
              <c:pt idx="53">
                <c:v>45140</c:v>
              </c:pt>
              <c:pt idx="54">
                <c:v>45141</c:v>
              </c:pt>
              <c:pt idx="55">
                <c:v>45142</c:v>
              </c:pt>
              <c:pt idx="56">
                <c:v>45145</c:v>
              </c:pt>
              <c:pt idx="57">
                <c:v>45146</c:v>
              </c:pt>
              <c:pt idx="58">
                <c:v>45147</c:v>
              </c:pt>
              <c:pt idx="59">
                <c:v>45148</c:v>
              </c:pt>
              <c:pt idx="60">
                <c:v>45149</c:v>
              </c:pt>
              <c:pt idx="61">
                <c:v>45152</c:v>
              </c:pt>
              <c:pt idx="62">
                <c:v>45153</c:v>
              </c:pt>
              <c:pt idx="63">
                <c:v>45154</c:v>
              </c:pt>
              <c:pt idx="64">
                <c:v>45155</c:v>
              </c:pt>
              <c:pt idx="65">
                <c:v>45156</c:v>
              </c:pt>
              <c:pt idx="66">
                <c:v>45159</c:v>
              </c:pt>
              <c:pt idx="67">
                <c:v>45160</c:v>
              </c:pt>
              <c:pt idx="68">
                <c:v>45161</c:v>
              </c:pt>
              <c:pt idx="69">
                <c:v>45162</c:v>
              </c:pt>
              <c:pt idx="70">
                <c:v>45163</c:v>
              </c:pt>
              <c:pt idx="71">
                <c:v>45166</c:v>
              </c:pt>
              <c:pt idx="72">
                <c:v>45167</c:v>
              </c:pt>
              <c:pt idx="73">
                <c:v>45168</c:v>
              </c:pt>
              <c:pt idx="74">
                <c:v>45169</c:v>
              </c:pt>
              <c:pt idx="75">
                <c:v>45170</c:v>
              </c:pt>
              <c:pt idx="76">
                <c:v>45174</c:v>
              </c:pt>
              <c:pt idx="77">
                <c:v>45175</c:v>
              </c:pt>
              <c:pt idx="78">
                <c:v>45176</c:v>
              </c:pt>
              <c:pt idx="79">
                <c:v>45177</c:v>
              </c:pt>
              <c:pt idx="80">
                <c:v>45180</c:v>
              </c:pt>
              <c:pt idx="81">
                <c:v>45181</c:v>
              </c:pt>
              <c:pt idx="82">
                <c:v>45182</c:v>
              </c:pt>
              <c:pt idx="83">
                <c:v>45183</c:v>
              </c:pt>
              <c:pt idx="84">
                <c:v>45184</c:v>
              </c:pt>
              <c:pt idx="85">
                <c:v>45187</c:v>
              </c:pt>
              <c:pt idx="86">
                <c:v>45188</c:v>
              </c:pt>
              <c:pt idx="87">
                <c:v>45189</c:v>
              </c:pt>
              <c:pt idx="88">
                <c:v>45190</c:v>
              </c:pt>
              <c:pt idx="89">
                <c:v>45191</c:v>
              </c:pt>
              <c:pt idx="90">
                <c:v>45194</c:v>
              </c:pt>
            </c:numLit>
          </c:cat>
          <c:val>
            <c:numRef>
              <c:f>'EPS Chart'!$F$29:$F$119</c:f>
              <c:numCache>
                <c:formatCode>0.00</c:formatCode>
                <c:ptCount val="9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numCache>
            </c:numRef>
          </c:val>
          <c:smooth val="0"/>
          <c:extLst xmlns:c16r2="http://schemas.microsoft.com/office/drawing/2015/06/chart">
            <c:ext xmlns:c16="http://schemas.microsoft.com/office/drawing/2014/chart" uri="{C3380CC4-5D6E-409C-BE32-E72D297353CC}">
              <c16:uniqueId val="{00000000-51AE-4937-A4F3-4512FB9496BE}"/>
            </c:ext>
          </c:extLst>
        </c:ser>
        <c:dLbls>
          <c:showLegendKey val="0"/>
          <c:showVal val="0"/>
          <c:showCatName val="0"/>
          <c:showSerName val="0"/>
          <c:showPercent val="0"/>
          <c:showBubbleSize val="0"/>
        </c:dLbls>
        <c:marker val="1"/>
        <c:smooth val="0"/>
        <c:axId val="329059840"/>
        <c:axId val="354832896"/>
      </c:lineChart>
      <c:lineChart>
        <c:grouping val="standard"/>
        <c:varyColors val="0"/>
        <c:ser>
          <c:idx val="4"/>
          <c:order val="1"/>
          <c:tx>
            <c:v>EPS Est</c:v>
          </c:tx>
          <c:spPr>
            <a:ln w="28575" cap="rnd">
              <a:solidFill>
                <a:srgbClr val="FF0000"/>
              </a:solidFill>
              <a:round/>
            </a:ln>
            <a:effectLst/>
          </c:spPr>
          <c:marker>
            <c:symbol val="none"/>
          </c:marker>
          <c:cat>
            <c:numLit>
              <c:formatCode>General</c:formatCode>
              <c:ptCount val="91"/>
              <c:pt idx="0">
                <c:v>45062</c:v>
              </c:pt>
              <c:pt idx="1">
                <c:v>45063</c:v>
              </c:pt>
              <c:pt idx="2">
                <c:v>45064</c:v>
              </c:pt>
              <c:pt idx="3">
                <c:v>45065</c:v>
              </c:pt>
              <c:pt idx="4">
                <c:v>45068</c:v>
              </c:pt>
              <c:pt idx="5">
                <c:v>45069</c:v>
              </c:pt>
              <c:pt idx="6">
                <c:v>45070</c:v>
              </c:pt>
              <c:pt idx="7">
                <c:v>45071</c:v>
              </c:pt>
              <c:pt idx="8">
                <c:v>45072</c:v>
              </c:pt>
              <c:pt idx="9">
                <c:v>45076</c:v>
              </c:pt>
              <c:pt idx="10">
                <c:v>45077</c:v>
              </c:pt>
              <c:pt idx="11">
                <c:v>45078</c:v>
              </c:pt>
              <c:pt idx="12">
                <c:v>45079</c:v>
              </c:pt>
              <c:pt idx="13">
                <c:v>45082</c:v>
              </c:pt>
              <c:pt idx="14">
                <c:v>45083</c:v>
              </c:pt>
              <c:pt idx="15">
                <c:v>45084</c:v>
              </c:pt>
              <c:pt idx="16">
                <c:v>45085</c:v>
              </c:pt>
              <c:pt idx="17">
                <c:v>45086</c:v>
              </c:pt>
              <c:pt idx="18">
                <c:v>45089</c:v>
              </c:pt>
              <c:pt idx="19">
                <c:v>45090</c:v>
              </c:pt>
              <c:pt idx="20">
                <c:v>45091</c:v>
              </c:pt>
              <c:pt idx="21">
                <c:v>45092</c:v>
              </c:pt>
              <c:pt idx="22">
                <c:v>45093</c:v>
              </c:pt>
              <c:pt idx="23">
                <c:v>45097</c:v>
              </c:pt>
              <c:pt idx="24">
                <c:v>45098</c:v>
              </c:pt>
              <c:pt idx="25">
                <c:v>45099</c:v>
              </c:pt>
              <c:pt idx="26">
                <c:v>45100</c:v>
              </c:pt>
              <c:pt idx="27">
                <c:v>45103</c:v>
              </c:pt>
              <c:pt idx="28">
                <c:v>45104</c:v>
              </c:pt>
              <c:pt idx="29">
                <c:v>45105</c:v>
              </c:pt>
              <c:pt idx="30">
                <c:v>45106</c:v>
              </c:pt>
              <c:pt idx="31">
                <c:v>45107</c:v>
              </c:pt>
              <c:pt idx="32">
                <c:v>45110</c:v>
              </c:pt>
              <c:pt idx="33">
                <c:v>45112</c:v>
              </c:pt>
              <c:pt idx="34">
                <c:v>45113</c:v>
              </c:pt>
              <c:pt idx="35">
                <c:v>45114</c:v>
              </c:pt>
              <c:pt idx="36">
                <c:v>45117</c:v>
              </c:pt>
              <c:pt idx="37">
                <c:v>45118</c:v>
              </c:pt>
              <c:pt idx="38">
                <c:v>45119</c:v>
              </c:pt>
              <c:pt idx="39">
                <c:v>45120</c:v>
              </c:pt>
              <c:pt idx="40">
                <c:v>45121</c:v>
              </c:pt>
              <c:pt idx="41">
                <c:v>45124</c:v>
              </c:pt>
              <c:pt idx="42">
                <c:v>45125</c:v>
              </c:pt>
              <c:pt idx="43">
                <c:v>45126</c:v>
              </c:pt>
              <c:pt idx="44">
                <c:v>45127</c:v>
              </c:pt>
              <c:pt idx="45">
                <c:v>45128</c:v>
              </c:pt>
              <c:pt idx="46">
                <c:v>45131</c:v>
              </c:pt>
              <c:pt idx="47">
                <c:v>45132</c:v>
              </c:pt>
              <c:pt idx="48">
                <c:v>45133</c:v>
              </c:pt>
              <c:pt idx="49">
                <c:v>45134</c:v>
              </c:pt>
              <c:pt idx="50">
                <c:v>45135</c:v>
              </c:pt>
              <c:pt idx="51">
                <c:v>45138</c:v>
              </c:pt>
              <c:pt idx="52">
                <c:v>45139</c:v>
              </c:pt>
              <c:pt idx="53">
                <c:v>45140</c:v>
              </c:pt>
              <c:pt idx="54">
                <c:v>45141</c:v>
              </c:pt>
              <c:pt idx="55">
                <c:v>45142</c:v>
              </c:pt>
              <c:pt idx="56">
                <c:v>45145</c:v>
              </c:pt>
              <c:pt idx="57">
                <c:v>45146</c:v>
              </c:pt>
              <c:pt idx="58">
                <c:v>45147</c:v>
              </c:pt>
              <c:pt idx="59">
                <c:v>45148</c:v>
              </c:pt>
              <c:pt idx="60">
                <c:v>45149</c:v>
              </c:pt>
              <c:pt idx="61">
                <c:v>45152</c:v>
              </c:pt>
              <c:pt idx="62">
                <c:v>45153</c:v>
              </c:pt>
              <c:pt idx="63">
                <c:v>45154</c:v>
              </c:pt>
              <c:pt idx="64">
                <c:v>45155</c:v>
              </c:pt>
              <c:pt idx="65">
                <c:v>45156</c:v>
              </c:pt>
              <c:pt idx="66">
                <c:v>45159</c:v>
              </c:pt>
              <c:pt idx="67">
                <c:v>45160</c:v>
              </c:pt>
              <c:pt idx="68">
                <c:v>45161</c:v>
              </c:pt>
              <c:pt idx="69">
                <c:v>45162</c:v>
              </c:pt>
              <c:pt idx="70">
                <c:v>45163</c:v>
              </c:pt>
              <c:pt idx="71">
                <c:v>45166</c:v>
              </c:pt>
              <c:pt idx="72">
                <c:v>45167</c:v>
              </c:pt>
              <c:pt idx="73">
                <c:v>45168</c:v>
              </c:pt>
              <c:pt idx="74">
                <c:v>45169</c:v>
              </c:pt>
              <c:pt idx="75">
                <c:v>45170</c:v>
              </c:pt>
              <c:pt idx="76">
                <c:v>45174</c:v>
              </c:pt>
              <c:pt idx="77">
                <c:v>45175</c:v>
              </c:pt>
              <c:pt idx="78">
                <c:v>45176</c:v>
              </c:pt>
              <c:pt idx="79">
                <c:v>45177</c:v>
              </c:pt>
              <c:pt idx="80">
                <c:v>45180</c:v>
              </c:pt>
              <c:pt idx="81">
                <c:v>45181</c:v>
              </c:pt>
              <c:pt idx="82">
                <c:v>45182</c:v>
              </c:pt>
              <c:pt idx="83">
                <c:v>45183</c:v>
              </c:pt>
              <c:pt idx="84">
                <c:v>45184</c:v>
              </c:pt>
              <c:pt idx="85">
                <c:v>45187</c:v>
              </c:pt>
              <c:pt idx="86">
                <c:v>45188</c:v>
              </c:pt>
              <c:pt idx="87">
                <c:v>45189</c:v>
              </c:pt>
              <c:pt idx="88">
                <c:v>45190</c:v>
              </c:pt>
              <c:pt idx="89">
                <c:v>45191</c:v>
              </c:pt>
              <c:pt idx="90">
                <c:v>45194</c:v>
              </c:pt>
            </c:numLit>
          </c:cat>
          <c:val>
            <c:numRef>
              <c:f>'EPS Chart'!$G$29:$G$119</c:f>
              <c:numCache>
                <c:formatCode>General</c:formatCode>
                <c:ptCount val="91"/>
                <c:pt idx="0">
                  <c:v>1.44</c:v>
                </c:pt>
                <c:pt idx="1">
                  <c:v>1.44</c:v>
                </c:pt>
                <c:pt idx="2">
                  <c:v>1.44</c:v>
                </c:pt>
                <c:pt idx="3">
                  <c:v>1.44</c:v>
                </c:pt>
                <c:pt idx="4">
                  <c:v>1.44</c:v>
                </c:pt>
                <c:pt idx="5">
                  <c:v>1.44</c:v>
                </c:pt>
                <c:pt idx="6">
                  <c:v>1.44</c:v>
                </c:pt>
                <c:pt idx="7">
                  <c:v>1.44</c:v>
                </c:pt>
                <c:pt idx="8">
                  <c:v>1.44</c:v>
                </c:pt>
                <c:pt idx="9">
                  <c:v>1.44</c:v>
                </c:pt>
                <c:pt idx="10">
                  <c:v>1.44</c:v>
                </c:pt>
                <c:pt idx="11">
                  <c:v>1.44</c:v>
                </c:pt>
                <c:pt idx="12">
                  <c:v>1.44</c:v>
                </c:pt>
                <c:pt idx="13">
                  <c:v>1.44</c:v>
                </c:pt>
                <c:pt idx="14">
                  <c:v>1.44</c:v>
                </c:pt>
                <c:pt idx="15">
                  <c:v>1.44</c:v>
                </c:pt>
                <c:pt idx="16">
                  <c:v>1.44</c:v>
                </c:pt>
                <c:pt idx="17">
                  <c:v>1.44</c:v>
                </c:pt>
                <c:pt idx="18">
                  <c:v>1.44</c:v>
                </c:pt>
                <c:pt idx="19">
                  <c:v>1.44</c:v>
                </c:pt>
                <c:pt idx="20">
                  <c:v>1.44</c:v>
                </c:pt>
                <c:pt idx="21">
                  <c:v>1.44</c:v>
                </c:pt>
                <c:pt idx="22">
                  <c:v>1.44</c:v>
                </c:pt>
                <c:pt idx="23">
                  <c:v>1.44</c:v>
                </c:pt>
                <c:pt idx="24">
                  <c:v>1.44</c:v>
                </c:pt>
                <c:pt idx="25">
                  <c:v>1.44</c:v>
                </c:pt>
                <c:pt idx="26">
                  <c:v>1.44</c:v>
                </c:pt>
                <c:pt idx="27">
                  <c:v>1.44</c:v>
                </c:pt>
                <c:pt idx="28">
                  <c:v>1.44</c:v>
                </c:pt>
                <c:pt idx="29">
                  <c:v>1.44</c:v>
                </c:pt>
                <c:pt idx="30">
                  <c:v>1.37</c:v>
                </c:pt>
                <c:pt idx="31">
                  <c:v>1.37</c:v>
                </c:pt>
                <c:pt idx="32">
                  <c:v>1.37</c:v>
                </c:pt>
                <c:pt idx="33">
                  <c:v>1.37</c:v>
                </c:pt>
                <c:pt idx="34">
                  <c:v>1.37</c:v>
                </c:pt>
                <c:pt idx="35">
                  <c:v>1.37</c:v>
                </c:pt>
                <c:pt idx="36">
                  <c:v>1.37</c:v>
                </c:pt>
                <c:pt idx="37">
                  <c:v>1.37</c:v>
                </c:pt>
                <c:pt idx="38">
                  <c:v>1.37</c:v>
                </c:pt>
                <c:pt idx="39">
                  <c:v>1.37</c:v>
                </c:pt>
                <c:pt idx="40">
                  <c:v>1.37</c:v>
                </c:pt>
                <c:pt idx="41">
                  <c:v>1.37</c:v>
                </c:pt>
                <c:pt idx="42">
                  <c:v>1.37</c:v>
                </c:pt>
                <c:pt idx="43">
                  <c:v>1.37</c:v>
                </c:pt>
                <c:pt idx="44">
                  <c:v>1.37</c:v>
                </c:pt>
                <c:pt idx="45">
                  <c:v>1.37</c:v>
                </c:pt>
                <c:pt idx="46">
                  <c:v>1.37</c:v>
                </c:pt>
                <c:pt idx="47">
                  <c:v>1.37</c:v>
                </c:pt>
                <c:pt idx="48">
                  <c:v>1.37</c:v>
                </c:pt>
                <c:pt idx="49">
                  <c:v>1.37</c:v>
                </c:pt>
                <c:pt idx="50">
                  <c:v>1.37</c:v>
                </c:pt>
                <c:pt idx="51">
                  <c:v>1.37</c:v>
                </c:pt>
                <c:pt idx="52">
                  <c:v>1.37</c:v>
                </c:pt>
                <c:pt idx="53">
                  <c:v>1.37</c:v>
                </c:pt>
                <c:pt idx="54">
                  <c:v>1.37</c:v>
                </c:pt>
                <c:pt idx="55">
                  <c:v>1.37</c:v>
                </c:pt>
                <c:pt idx="56">
                  <c:v>1.37</c:v>
                </c:pt>
                <c:pt idx="57">
                  <c:v>1.37</c:v>
                </c:pt>
                <c:pt idx="58">
                  <c:v>1.37</c:v>
                </c:pt>
                <c:pt idx="59">
                  <c:v>1.37</c:v>
                </c:pt>
                <c:pt idx="60">
                  <c:v>1.36</c:v>
                </c:pt>
                <c:pt idx="61">
                  <c:v>1.36</c:v>
                </c:pt>
                <c:pt idx="62">
                  <c:v>1.36</c:v>
                </c:pt>
                <c:pt idx="63">
                  <c:v>1.36</c:v>
                </c:pt>
                <c:pt idx="64">
                  <c:v>1.36</c:v>
                </c:pt>
                <c:pt idx="65">
                  <c:v>1.36</c:v>
                </c:pt>
                <c:pt idx="66">
                  <c:v>1.36</c:v>
                </c:pt>
                <c:pt idx="67">
                  <c:v>1.36</c:v>
                </c:pt>
                <c:pt idx="68">
                  <c:v>1.36</c:v>
                </c:pt>
                <c:pt idx="69">
                  <c:v>1.36</c:v>
                </c:pt>
                <c:pt idx="70">
                  <c:v>1.36</c:v>
                </c:pt>
                <c:pt idx="71">
                  <c:v>1.36</c:v>
                </c:pt>
                <c:pt idx="72">
                  <c:v>1.36</c:v>
                </c:pt>
                <c:pt idx="73">
                  <c:v>1.36</c:v>
                </c:pt>
                <c:pt idx="74">
                  <c:v>1.36</c:v>
                </c:pt>
                <c:pt idx="75">
                  <c:v>1.36</c:v>
                </c:pt>
                <c:pt idx="76">
                  <c:v>1.36</c:v>
                </c:pt>
                <c:pt idx="77">
                  <c:v>1.36</c:v>
                </c:pt>
                <c:pt idx="78">
                  <c:v>1.36</c:v>
                </c:pt>
                <c:pt idx="79">
                  <c:v>1.36</c:v>
                </c:pt>
                <c:pt idx="80">
                  <c:v>1.36</c:v>
                </c:pt>
                <c:pt idx="81">
                  <c:v>1.36</c:v>
                </c:pt>
                <c:pt idx="82">
                  <c:v>1.36</c:v>
                </c:pt>
                <c:pt idx="83" formatCode="0.00">
                  <c:v>1.35</c:v>
                </c:pt>
                <c:pt idx="84" formatCode="0.00">
                  <c:v>1.35</c:v>
                </c:pt>
                <c:pt idx="85" formatCode="0.00">
                  <c:v>1.35</c:v>
                </c:pt>
                <c:pt idx="86" formatCode="0.00">
                  <c:v>1.35</c:v>
                </c:pt>
                <c:pt idx="87" formatCode="0.00">
                  <c:v>1.35</c:v>
                </c:pt>
                <c:pt idx="88" formatCode="0.00">
                  <c:v>1.35</c:v>
                </c:pt>
                <c:pt idx="89" formatCode="0.00">
                  <c:v>1.35</c:v>
                </c:pt>
                <c:pt idx="90" formatCode="0.00">
                  <c:v>1.35</c:v>
                </c:pt>
              </c:numCache>
            </c:numRef>
          </c:val>
          <c:smooth val="0"/>
          <c:extLst xmlns:c16r2="http://schemas.microsoft.com/office/drawing/2015/06/chart">
            <c:ext xmlns:c16="http://schemas.microsoft.com/office/drawing/2014/chart" uri="{C3380CC4-5D6E-409C-BE32-E72D297353CC}">
              <c16:uniqueId val="{00000001-51AE-4937-A4F3-4512FB9496BE}"/>
            </c:ext>
          </c:extLst>
        </c:ser>
        <c:dLbls>
          <c:showLegendKey val="0"/>
          <c:showVal val="0"/>
          <c:showCatName val="0"/>
          <c:showSerName val="0"/>
          <c:showPercent val="0"/>
          <c:showBubbleSize val="0"/>
        </c:dLbls>
        <c:marker val="1"/>
        <c:smooth val="0"/>
        <c:axId val="337294848"/>
        <c:axId val="354833472"/>
      </c:lineChart>
      <c:catAx>
        <c:axId val="3290598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800" b="0" i="0" u="none" strike="noStrike" kern="1200" baseline="0">
                <a:solidFill>
                  <a:schemeClr val="accent4">
                    <a:lumMod val="20000"/>
                    <a:lumOff val="80000"/>
                  </a:schemeClr>
                </a:solidFill>
                <a:latin typeface="+mn-lt"/>
                <a:ea typeface="+mn-ea"/>
                <a:cs typeface="+mn-cs"/>
              </a:defRPr>
            </a:pPr>
            <a:endParaRPr lang="en-US"/>
          </a:p>
        </c:txPr>
        <c:crossAx val="354832896"/>
        <c:crosses val="autoZero"/>
        <c:auto val="1"/>
        <c:lblAlgn val="ctr"/>
        <c:lblOffset val="100"/>
        <c:noMultiLvlLbl val="1"/>
      </c:catAx>
      <c:valAx>
        <c:axId val="354832896"/>
        <c:scaling>
          <c:orientation val="minMax"/>
        </c:scaling>
        <c:delete val="0"/>
        <c:axPos val="l"/>
        <c:majorGridlines>
          <c:spPr>
            <a:ln w="317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60000"/>
                    <a:lumOff val="40000"/>
                  </a:schemeClr>
                </a:solidFill>
                <a:latin typeface="+mn-lt"/>
                <a:ea typeface="+mn-ea"/>
                <a:cs typeface="+mn-cs"/>
              </a:defRPr>
            </a:pPr>
            <a:endParaRPr lang="en-US"/>
          </a:p>
        </c:txPr>
        <c:crossAx val="329059840"/>
        <c:crosses val="autoZero"/>
        <c:crossBetween val="between"/>
      </c:valAx>
      <c:valAx>
        <c:axId val="35483347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rgbClr val="FF0000"/>
                </a:solidFill>
                <a:latin typeface="+mn-lt"/>
                <a:ea typeface="+mn-ea"/>
                <a:cs typeface="+mn-cs"/>
              </a:defRPr>
            </a:pPr>
            <a:endParaRPr lang="en-US"/>
          </a:p>
        </c:txPr>
        <c:crossAx val="337294848"/>
        <c:crosses val="max"/>
        <c:crossBetween val="between"/>
      </c:valAx>
      <c:catAx>
        <c:axId val="337294848"/>
        <c:scaling>
          <c:orientation val="minMax"/>
        </c:scaling>
        <c:delete val="1"/>
        <c:axPos val="b"/>
        <c:numFmt formatCode="General" sourceLinked="1"/>
        <c:majorTickMark val="out"/>
        <c:minorTickMark val="none"/>
        <c:tickLblPos val="nextTo"/>
        <c:crossAx val="354833472"/>
        <c:crosses val="autoZero"/>
        <c:auto val="1"/>
        <c:lblAlgn val="ctr"/>
        <c:lblOffset val="100"/>
        <c:noMultiLvlLbl val="1"/>
      </c:catAx>
      <c:spPr>
        <a:noFill/>
        <a:ln>
          <a:solidFill>
            <a:schemeClr val="accent5">
              <a:lumMod val="60000"/>
              <a:lumOff val="40000"/>
            </a:schemeClr>
          </a:solidFill>
          <a:prstDash val="sysDot"/>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107156</xdr:colOff>
      <xdr:row>1</xdr:row>
      <xdr:rowOff>1</xdr:rowOff>
    </xdr:from>
    <xdr:to>
      <xdr:col>9</xdr:col>
      <xdr:colOff>11906</xdr:colOff>
      <xdr:row>11</xdr:row>
      <xdr:rowOff>119063</xdr:rowOff>
    </xdr:to>
    <xdr:graphicFrame macro="">
      <xdr:nvGraphicFramePr>
        <xdr:cNvPr id="5" name="Chart 4" title="=Ticke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42334</xdr:colOff>
      <xdr:row>0</xdr:row>
      <xdr:rowOff>52916</xdr:rowOff>
    </xdr:from>
    <xdr:to>
      <xdr:col>26</xdr:col>
      <xdr:colOff>515711</xdr:colOff>
      <xdr:row>15</xdr:row>
      <xdr:rowOff>20258</xdr:rowOff>
    </xdr:to>
    <xdr:graphicFrame macro="">
      <xdr:nvGraphicFramePr>
        <xdr:cNvPr id="7" name="Chart 6">
          <a:extLst>
            <a:ext uri="{FF2B5EF4-FFF2-40B4-BE49-F238E27FC236}">
              <a16:creationId xmlns:a16="http://schemas.microsoft.com/office/drawing/2014/main" xmlns="" id="{E056F11F-8924-466B-9080-7F85CDCE6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0.15757</cdr:x>
      <cdr:y>0.03163</cdr:y>
    </cdr:from>
    <cdr:to>
      <cdr:x>0.96589</cdr:x>
      <cdr:y>0.16753</cdr:y>
    </cdr:to>
    <cdr:sp macro="" textlink="'Stock Chart'!$E$1">
      <cdr:nvSpPr>
        <cdr:cNvPr id="2" name="TextBox 1"/>
        <cdr:cNvSpPr txBox="1"/>
      </cdr:nvSpPr>
      <cdr:spPr>
        <a:xfrm xmlns:a="http://schemas.openxmlformats.org/drawingml/2006/main">
          <a:off x="420246" y="64031"/>
          <a:ext cx="2155787" cy="275067"/>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l"/>
          <a:fld id="{FC458D2F-6B26-489F-84B0-D8770CF7AB6E}" type="TxLink">
            <a:rPr lang="en-US" sz="1200" b="1" i="0" u="none" strike="noStrike">
              <a:solidFill>
                <a:srgbClr val="000000"/>
              </a:solidFill>
              <a:latin typeface="Calibri"/>
              <a:cs typeface="Calibri"/>
            </a:rPr>
            <a:pPr algn="l"/>
            <a:t>The Toronto-Dominion Bank</a:t>
          </a:fld>
          <a:endParaRPr lang="en-US" sz="1200" b="1"/>
        </a:p>
      </cdr:txBody>
    </cdr:sp>
  </cdr:relSizeAnchor>
  <cdr:relSizeAnchor xmlns:cdr="http://schemas.openxmlformats.org/drawingml/2006/chartDrawing">
    <cdr:from>
      <cdr:x>0.70245</cdr:x>
      <cdr:y>0.02056</cdr:y>
    </cdr:from>
    <cdr:to>
      <cdr:x>0.97804</cdr:x>
      <cdr:y>0.16923</cdr:y>
    </cdr:to>
    <cdr:sp macro="" textlink="'Stock Chart'!$F$1">
      <cdr:nvSpPr>
        <cdr:cNvPr id="3" name="TextBox 2"/>
        <cdr:cNvSpPr txBox="1"/>
      </cdr:nvSpPr>
      <cdr:spPr>
        <a:xfrm xmlns:a="http://schemas.openxmlformats.org/drawingml/2006/main">
          <a:off x="1880876" y="42431"/>
          <a:ext cx="737916" cy="306817"/>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r"/>
          <a:fld id="{DCE41167-D74D-490A-A66F-93FDC25C9E2D}" type="TxLink">
            <a:rPr lang="en-US" sz="1200" b="1" i="0" u="none" strike="noStrike">
              <a:solidFill>
                <a:srgbClr val="000000"/>
              </a:solidFill>
              <a:latin typeface="Calibri"/>
              <a:cs typeface="Calibri"/>
            </a:rPr>
            <a:pPr algn="r"/>
            <a:t> </a:t>
          </a:fld>
          <a:endParaRPr lang="en-US" sz="1200" b="1" i="0" u="none" strike="noStrike">
            <a:solidFill>
              <a:srgbClr val="000000"/>
            </a:solidFill>
            <a:latin typeface="Calibri"/>
            <a:cs typeface="Calibri"/>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8</xdr:col>
      <xdr:colOff>33337</xdr:colOff>
      <xdr:row>3</xdr:row>
      <xdr:rowOff>133349</xdr:rowOff>
    </xdr:from>
    <xdr:to>
      <xdr:col>19</xdr:col>
      <xdr:colOff>285750</xdr:colOff>
      <xdr:row>31</xdr:row>
      <xdr:rowOff>47624</xdr:rowOff>
    </xdr:to>
    <xdr:graphicFrame macro="">
      <xdr:nvGraphicFramePr>
        <xdr:cNvPr id="2" name="Chart 1" title="=Ticke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0.07755</cdr:x>
      <cdr:y>0.0243</cdr:y>
    </cdr:from>
    <cdr:to>
      <cdr:x>0.88537</cdr:x>
      <cdr:y>0.07477</cdr:y>
    </cdr:to>
    <cdr:sp macro="" textlink="'Stock Chart'!$E$1">
      <cdr:nvSpPr>
        <cdr:cNvPr id="2" name="TextBox 1"/>
        <cdr:cNvSpPr txBox="1"/>
      </cdr:nvSpPr>
      <cdr:spPr>
        <a:xfrm xmlns:a="http://schemas.openxmlformats.org/drawingml/2006/main">
          <a:off x="547689" y="123825"/>
          <a:ext cx="5705474" cy="25717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FC458D2F-6B26-489F-84B0-D8770CF7AB6E}" type="TxLink">
            <a:rPr lang="en-US" sz="1400" b="1" i="0" u="none" strike="noStrike">
              <a:solidFill>
                <a:srgbClr val="000000"/>
              </a:solidFill>
              <a:latin typeface="Calibri"/>
              <a:cs typeface="Calibri"/>
            </a:rPr>
            <a:pPr algn="ctr"/>
            <a:t>The Toronto-Dominion Bank</a:t>
          </a:fld>
          <a:endParaRPr lang="en-US" sz="1400" b="1"/>
        </a:p>
      </cdr:txBody>
    </cdr:sp>
  </cdr:relSizeAnchor>
  <cdr:relSizeAnchor xmlns:cdr="http://schemas.openxmlformats.org/drawingml/2006/chartDrawing">
    <cdr:from>
      <cdr:x>0.77613</cdr:x>
      <cdr:y>0.02056</cdr:y>
    </cdr:from>
    <cdr:to>
      <cdr:x>0.88672</cdr:x>
      <cdr:y>0.0729</cdr:y>
    </cdr:to>
    <cdr:sp macro="" textlink="'Stock Chart'!$F$1">
      <cdr:nvSpPr>
        <cdr:cNvPr id="3" name="TextBox 2"/>
        <cdr:cNvSpPr txBox="1"/>
      </cdr:nvSpPr>
      <cdr:spPr>
        <a:xfrm xmlns:a="http://schemas.openxmlformats.org/drawingml/2006/main">
          <a:off x="5481639" y="104777"/>
          <a:ext cx="781050" cy="266699"/>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r"/>
          <a:fld id="{1D2394C2-E328-4E3D-B163-9D37E36D19CC}" type="TxLink">
            <a:rPr lang="en-US" sz="1400" b="1" i="0" u="none" strike="noStrike">
              <a:solidFill>
                <a:srgbClr val="000000"/>
              </a:solidFill>
              <a:latin typeface="Calibri"/>
              <a:cs typeface="Calibri"/>
            </a:rPr>
            <a:pPr algn="r"/>
            <a:t> </a:t>
          </a:fld>
          <a:endParaRPr lang="en-US" sz="1400" b="1"/>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193221</xdr:colOff>
      <xdr:row>10</xdr:row>
      <xdr:rowOff>157843</xdr:rowOff>
    </xdr:from>
    <xdr:to>
      <xdr:col>7</xdr:col>
      <xdr:colOff>13607</xdr:colOff>
      <xdr:row>25</xdr:row>
      <xdr:rowOff>125185</xdr:rowOff>
    </xdr:to>
    <xdr:graphicFrame macro="">
      <xdr:nvGraphicFramePr>
        <xdr:cNvPr id="2" name="Chart 1">
          <a:extLst>
            <a:ext uri="{FF2B5EF4-FFF2-40B4-BE49-F238E27FC236}">
              <a16:creationId xmlns:a16="http://schemas.microsoft.com/office/drawing/2014/main" xmlns="" id="{E056F11F-8924-466B-9080-7F85CDCE6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28575</xdr:colOff>
      <xdr:row>5</xdr:row>
      <xdr:rowOff>19051</xdr:rowOff>
    </xdr:from>
    <xdr:to>
      <xdr:col>19</xdr:col>
      <xdr:colOff>581025</xdr:colOff>
      <xdr:row>7</xdr:row>
      <xdr:rowOff>152401</xdr:rowOff>
    </xdr:to>
    <xdr:sp macro="" textlink="">
      <xdr:nvSpPr>
        <xdr:cNvPr id="3" name="TextBox 2"/>
        <xdr:cNvSpPr txBox="1"/>
      </xdr:nvSpPr>
      <xdr:spPr>
        <a:xfrm>
          <a:off x="7581900" y="971551"/>
          <a:ext cx="4819650" cy="51435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The Zacks Rank is comprised of four factors: </a:t>
          </a:r>
        </a:p>
        <a:p>
          <a:r>
            <a:rPr lang="en-US" sz="1100" b="1"/>
            <a:t>Agreement, Magnitude, Upside and Surprise.</a:t>
          </a:r>
        </a:p>
      </xdr:txBody>
    </xdr:sp>
    <xdr:clientData/>
  </xdr:twoCellAnchor>
  <xdr:twoCellAnchor>
    <xdr:from>
      <xdr:col>12</xdr:col>
      <xdr:colOff>28575</xdr:colOff>
      <xdr:row>23</xdr:row>
      <xdr:rowOff>28575</xdr:rowOff>
    </xdr:from>
    <xdr:to>
      <xdr:col>19</xdr:col>
      <xdr:colOff>581025</xdr:colOff>
      <xdr:row>30</xdr:row>
      <xdr:rowOff>104775</xdr:rowOff>
    </xdr:to>
    <xdr:sp macro="" textlink="">
      <xdr:nvSpPr>
        <xdr:cNvPr id="5" name="TextBox 4"/>
        <xdr:cNvSpPr txBox="1"/>
      </xdr:nvSpPr>
      <xdr:spPr>
        <a:xfrm>
          <a:off x="7581900" y="4410075"/>
          <a:ext cx="4819650" cy="138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Upside is the percentage difference between the most accurate estimate and the consensus estimate.</a:t>
          </a:r>
        </a:p>
        <a:p>
          <a:r>
            <a:rPr lang="en-US" sz="1000" b="1"/>
            <a:t>By dividing the most accurate estimate (as calculated by Zacks) by the consensus estimate, you can see the difference between the two. A positive difference is obviously better than a negative one.</a:t>
          </a:r>
        </a:p>
        <a:p>
          <a:r>
            <a:rPr lang="en-US" sz="1000" b="1"/>
            <a:t>We've quantified the difference between the two estimates with our Earnings ESP (Expected Surprise Prediction). Simply put, stocks with a Zacks Rank of 1, 2, or 3, with a positive ESP were shown to positively surprise 70% of the time.</a:t>
          </a:r>
        </a:p>
        <a:p>
          <a:endParaRPr lang="en-US" sz="1000"/>
        </a:p>
      </xdr:txBody>
    </xdr:sp>
    <xdr:clientData/>
  </xdr:twoCellAnchor>
  <xdr:twoCellAnchor>
    <xdr:from>
      <xdr:col>12</xdr:col>
      <xdr:colOff>28575</xdr:colOff>
      <xdr:row>16</xdr:row>
      <xdr:rowOff>57151</xdr:rowOff>
    </xdr:from>
    <xdr:to>
      <xdr:col>19</xdr:col>
      <xdr:colOff>581025</xdr:colOff>
      <xdr:row>22</xdr:row>
      <xdr:rowOff>152400</xdr:rowOff>
    </xdr:to>
    <xdr:sp macro="" textlink="">
      <xdr:nvSpPr>
        <xdr:cNvPr id="6" name="TextBox 5"/>
        <xdr:cNvSpPr txBox="1"/>
      </xdr:nvSpPr>
      <xdr:spPr>
        <a:xfrm>
          <a:off x="7581900" y="3105151"/>
          <a:ext cx="4819650" cy="1238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Magnitude is the size of the recent change in the current consensus estimate for the fiscal year and next fiscal year over the last 60 days.</a:t>
          </a:r>
        </a:p>
        <a:p>
          <a:r>
            <a:rPr lang="en-US" sz="1000" b="1"/>
            <a:t>By taking the current earnings estimate and dividing it by the estimate from 60 days ago, you can see what percentage the estimates have changed. For example: if the current estimate is $1.10 and the estimate from 60 days ago was $1.00; that would mean positive 10% increase in the estimate revision.</a:t>
          </a:r>
        </a:p>
        <a:p>
          <a:r>
            <a:rPr lang="en-US" sz="1000" b="1"/>
            <a:t>The larger the percentage increase in estimate revisions, the better.</a:t>
          </a:r>
        </a:p>
        <a:p>
          <a:endParaRPr lang="en-US" sz="1000"/>
        </a:p>
      </xdr:txBody>
    </xdr:sp>
    <xdr:clientData/>
  </xdr:twoCellAnchor>
  <xdr:twoCellAnchor>
    <xdr:from>
      <xdr:col>12</xdr:col>
      <xdr:colOff>28575</xdr:colOff>
      <xdr:row>8</xdr:row>
      <xdr:rowOff>38099</xdr:rowOff>
    </xdr:from>
    <xdr:to>
      <xdr:col>19</xdr:col>
      <xdr:colOff>581025</xdr:colOff>
      <xdr:row>16</xdr:row>
      <xdr:rowOff>19050</xdr:rowOff>
    </xdr:to>
    <xdr:sp macro="" textlink="">
      <xdr:nvSpPr>
        <xdr:cNvPr id="7" name="TextBox 6"/>
        <xdr:cNvSpPr txBox="1"/>
      </xdr:nvSpPr>
      <xdr:spPr>
        <a:xfrm>
          <a:off x="7581900" y="1562099"/>
          <a:ext cx="4819650" cy="1504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Agreement is the extent to which all earnings estimates are being revised in the same direction. The greater the percentage of estimates moving higher, the better the score will be for this component.</a:t>
          </a:r>
        </a:p>
        <a:p>
          <a:r>
            <a:rPr lang="en-US" sz="1000" b="1"/>
            <a:t>For example: if there are 10 estimate revisions for a given period, and all were up, that would be a 100% positive agreement on the direction of estimate revisions. If 7 were up and 3 were down, that would be a 70% positive agreement. If 7 were down however, with only 3 being up, that would be a 70% negative agreement of the direction of estimate revisions.</a:t>
          </a:r>
        </a:p>
        <a:p>
          <a:r>
            <a:rPr lang="en-US" sz="1000" b="1"/>
            <a:t>The higher the percentage of upward revisions, the better.</a:t>
          </a:r>
        </a:p>
        <a:p>
          <a:endParaRPr lang="en-US" sz="1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SMF%20Add-In\RCH_Stock_Market_Functions.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RCHGetElementNumber"/>
      <definedName name="RCHGetHTMLTable"/>
      <definedName name="RCHGetTableCell"/>
      <definedName name="smfGetYahooHistory"/>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zacks.com/stock/quote/TSLA/detailed-earning-estimat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zacks.com/stock/quote/TSLA/detailed-earning-estimates" TargetMode="External"/><Relationship Id="rId3" Type="http://schemas.openxmlformats.org/officeDocument/2006/relationships/hyperlink" Target="https://www.zacks.com/stock/quote/TSLA/detailed-earning-estimates" TargetMode="External"/><Relationship Id="rId7" Type="http://schemas.openxmlformats.org/officeDocument/2006/relationships/hyperlink" Target="https://www.zacks.com/stock/quote/TSLA/detailed-earning-estimates" TargetMode="External"/><Relationship Id="rId12" Type="http://schemas.openxmlformats.org/officeDocument/2006/relationships/drawing" Target="../drawings/drawing5.xml"/><Relationship Id="rId2" Type="http://schemas.openxmlformats.org/officeDocument/2006/relationships/hyperlink" Target="https://www.zacks.com/stock/quote/TSLA/detailed-earning-estimates" TargetMode="External"/><Relationship Id="rId1" Type="http://schemas.openxmlformats.org/officeDocument/2006/relationships/hyperlink" Target="https://www.zacks.com/stock/quote/TSLA/detailed-earning-estimates" TargetMode="External"/><Relationship Id="rId6" Type="http://schemas.openxmlformats.org/officeDocument/2006/relationships/hyperlink" Target="https://www.zacks.com/stock/quote/TSLA/detailed-earning-estimates" TargetMode="External"/><Relationship Id="rId11" Type="http://schemas.openxmlformats.org/officeDocument/2006/relationships/printerSettings" Target="../printerSettings/printerSettings3.bin"/><Relationship Id="rId5" Type="http://schemas.openxmlformats.org/officeDocument/2006/relationships/hyperlink" Target="https://www.zacks.com/stock/quote/TSLA/detailed-earning-estimates" TargetMode="External"/><Relationship Id="rId10" Type="http://schemas.openxmlformats.org/officeDocument/2006/relationships/hyperlink" Target="https://www.zacks.com/stock/quote/TSLA/detailed-earning-estimates" TargetMode="External"/><Relationship Id="rId4" Type="http://schemas.openxmlformats.org/officeDocument/2006/relationships/hyperlink" Target="https://www.zacks.com/stock/quote/TSLA/detailed-earning-estimates" TargetMode="External"/><Relationship Id="rId9" Type="http://schemas.openxmlformats.org/officeDocument/2006/relationships/hyperlink" Target="https://www.zacks.com/stock/quote/TSLA/detailed-earning-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19"/>
  <sheetViews>
    <sheetView tabSelected="1" zoomScale="80" zoomScaleNormal="80" workbookViewId="0">
      <selection activeCell="B2" sqref="B2"/>
    </sheetView>
  </sheetViews>
  <sheetFormatPr defaultColWidth="9.140625" defaultRowHeight="15" x14ac:dyDescent="0.25"/>
  <cols>
    <col min="1" max="1" width="1.7109375" style="1" customWidth="1"/>
    <col min="2" max="2" width="23.7109375" style="1" bestFit="1" customWidth="1"/>
    <col min="3" max="3" width="10.140625" style="32" customWidth="1"/>
    <col min="4" max="4" width="1.7109375" style="34" customWidth="1"/>
    <col min="5" max="5" width="27.140625" style="1" customWidth="1"/>
    <col min="6" max="6" width="7.85546875" style="32" customWidth="1"/>
    <col min="7" max="7" width="1.7109375" style="1" customWidth="1"/>
    <col min="8" max="8" width="27.5703125" style="1" customWidth="1"/>
    <col min="9" max="9" width="12.140625" style="1" customWidth="1"/>
    <col min="10" max="10" width="1.7109375" style="1" customWidth="1"/>
    <col min="11" max="11" width="35.5703125" style="1" customWidth="1"/>
    <col min="12" max="12" width="12" style="1" customWidth="1"/>
    <col min="13" max="13" width="1.7109375" style="1" customWidth="1"/>
    <col min="14" max="14" width="32" style="1" bestFit="1" customWidth="1"/>
    <col min="15" max="15" width="12.42578125" style="1" bestFit="1" customWidth="1"/>
    <col min="16" max="16" width="1.7109375" style="1" customWidth="1"/>
    <col min="17" max="17" width="11.42578125" style="1" customWidth="1"/>
    <col min="18" max="18" width="10.5703125" style="32" customWidth="1"/>
    <col min="19" max="19" width="10.5703125" style="1" customWidth="1"/>
    <col min="20" max="20" width="10" style="32" customWidth="1"/>
    <col min="21" max="21" width="9.140625" style="1"/>
    <col min="22" max="24" width="2.85546875" style="1" customWidth="1"/>
    <col min="25" max="25" width="30.7109375" style="1" customWidth="1"/>
    <col min="26" max="256" width="9.140625" style="1"/>
    <col min="257" max="257" width="1.7109375" style="1" customWidth="1"/>
    <col min="258" max="258" width="22.140625" style="1" customWidth="1"/>
    <col min="259" max="259" width="7.85546875" style="1" customWidth="1"/>
    <col min="260" max="260" width="2.5703125" style="1" customWidth="1"/>
    <col min="261" max="261" width="29.28515625" style="1" bestFit="1" customWidth="1"/>
    <col min="262" max="262" width="11.42578125" style="1" customWidth="1"/>
    <col min="263" max="263" width="2.5703125" style="1" customWidth="1"/>
    <col min="264" max="264" width="25.42578125" style="1" customWidth="1"/>
    <col min="265" max="265" width="12.140625" style="1" customWidth="1"/>
    <col min="266" max="266" width="2.28515625" style="1" customWidth="1"/>
    <col min="267" max="267" width="35.5703125" style="1" customWidth="1"/>
    <col min="268" max="268" width="12" style="1" customWidth="1"/>
    <col min="269" max="269" width="2.7109375" style="1" customWidth="1"/>
    <col min="270" max="270" width="32" style="1" bestFit="1" customWidth="1"/>
    <col min="271" max="271" width="11.42578125" style="1" bestFit="1" customWidth="1"/>
    <col min="272" max="512" width="9.140625" style="1"/>
    <col min="513" max="513" width="1.7109375" style="1" customWidth="1"/>
    <col min="514" max="514" width="22.140625" style="1" customWidth="1"/>
    <col min="515" max="515" width="7.85546875" style="1" customWidth="1"/>
    <col min="516" max="516" width="2.5703125" style="1" customWidth="1"/>
    <col min="517" max="517" width="29.28515625" style="1" bestFit="1" customWidth="1"/>
    <col min="518" max="518" width="11.42578125" style="1" customWidth="1"/>
    <col min="519" max="519" width="2.5703125" style="1" customWidth="1"/>
    <col min="520" max="520" width="25.42578125" style="1" customWidth="1"/>
    <col min="521" max="521" width="12.140625" style="1" customWidth="1"/>
    <col min="522" max="522" width="2.28515625" style="1" customWidth="1"/>
    <col min="523" max="523" width="35.5703125" style="1" customWidth="1"/>
    <col min="524" max="524" width="12" style="1" customWidth="1"/>
    <col min="525" max="525" width="2.7109375" style="1" customWidth="1"/>
    <col min="526" max="526" width="32" style="1" bestFit="1" customWidth="1"/>
    <col min="527" max="527" width="11.42578125" style="1" bestFit="1" customWidth="1"/>
    <col min="528" max="768" width="9.140625" style="1"/>
    <col min="769" max="769" width="1.7109375" style="1" customWidth="1"/>
    <col min="770" max="770" width="22.140625" style="1" customWidth="1"/>
    <col min="771" max="771" width="7.85546875" style="1" customWidth="1"/>
    <col min="772" max="772" width="2.5703125" style="1" customWidth="1"/>
    <col min="773" max="773" width="29.28515625" style="1" bestFit="1" customWidth="1"/>
    <col min="774" max="774" width="11.42578125" style="1" customWidth="1"/>
    <col min="775" max="775" width="2.5703125" style="1" customWidth="1"/>
    <col min="776" max="776" width="25.42578125" style="1" customWidth="1"/>
    <col min="777" max="777" width="12.140625" style="1" customWidth="1"/>
    <col min="778" max="778" width="2.28515625" style="1" customWidth="1"/>
    <col min="779" max="779" width="35.5703125" style="1" customWidth="1"/>
    <col min="780" max="780" width="12" style="1" customWidth="1"/>
    <col min="781" max="781" width="2.7109375" style="1" customWidth="1"/>
    <col min="782" max="782" width="32" style="1" bestFit="1" customWidth="1"/>
    <col min="783" max="783" width="11.42578125" style="1" bestFit="1" customWidth="1"/>
    <col min="784" max="1024" width="9.140625" style="1"/>
    <col min="1025" max="1025" width="1.7109375" style="1" customWidth="1"/>
    <col min="1026" max="1026" width="22.140625" style="1" customWidth="1"/>
    <col min="1027" max="1027" width="7.85546875" style="1" customWidth="1"/>
    <col min="1028" max="1028" width="2.5703125" style="1" customWidth="1"/>
    <col min="1029" max="1029" width="29.28515625" style="1" bestFit="1" customWidth="1"/>
    <col min="1030" max="1030" width="11.42578125" style="1" customWidth="1"/>
    <col min="1031" max="1031" width="2.5703125" style="1" customWidth="1"/>
    <col min="1032" max="1032" width="25.42578125" style="1" customWidth="1"/>
    <col min="1033" max="1033" width="12.140625" style="1" customWidth="1"/>
    <col min="1034" max="1034" width="2.28515625" style="1" customWidth="1"/>
    <col min="1035" max="1035" width="35.5703125" style="1" customWidth="1"/>
    <col min="1036" max="1036" width="12" style="1" customWidth="1"/>
    <col min="1037" max="1037" width="2.7109375" style="1" customWidth="1"/>
    <col min="1038" max="1038" width="32" style="1" bestFit="1" customWidth="1"/>
    <col min="1039" max="1039" width="11.42578125" style="1" bestFit="1" customWidth="1"/>
    <col min="1040" max="1280" width="9.140625" style="1"/>
    <col min="1281" max="1281" width="1.7109375" style="1" customWidth="1"/>
    <col min="1282" max="1282" width="22.140625" style="1" customWidth="1"/>
    <col min="1283" max="1283" width="7.85546875" style="1" customWidth="1"/>
    <col min="1284" max="1284" width="2.5703125" style="1" customWidth="1"/>
    <col min="1285" max="1285" width="29.28515625" style="1" bestFit="1" customWidth="1"/>
    <col min="1286" max="1286" width="11.42578125" style="1" customWidth="1"/>
    <col min="1287" max="1287" width="2.5703125" style="1" customWidth="1"/>
    <col min="1288" max="1288" width="25.42578125" style="1" customWidth="1"/>
    <col min="1289" max="1289" width="12.140625" style="1" customWidth="1"/>
    <col min="1290" max="1290" width="2.28515625" style="1" customWidth="1"/>
    <col min="1291" max="1291" width="35.5703125" style="1" customWidth="1"/>
    <col min="1292" max="1292" width="12" style="1" customWidth="1"/>
    <col min="1293" max="1293" width="2.7109375" style="1" customWidth="1"/>
    <col min="1294" max="1294" width="32" style="1" bestFit="1" customWidth="1"/>
    <col min="1295" max="1295" width="11.42578125" style="1" bestFit="1" customWidth="1"/>
    <col min="1296" max="1536" width="9.140625" style="1"/>
    <col min="1537" max="1537" width="1.7109375" style="1" customWidth="1"/>
    <col min="1538" max="1538" width="22.140625" style="1" customWidth="1"/>
    <col min="1539" max="1539" width="7.85546875" style="1" customWidth="1"/>
    <col min="1540" max="1540" width="2.5703125" style="1" customWidth="1"/>
    <col min="1541" max="1541" width="29.28515625" style="1" bestFit="1" customWidth="1"/>
    <col min="1542" max="1542" width="11.42578125" style="1" customWidth="1"/>
    <col min="1543" max="1543" width="2.5703125" style="1" customWidth="1"/>
    <col min="1544" max="1544" width="25.42578125" style="1" customWidth="1"/>
    <col min="1545" max="1545" width="12.140625" style="1" customWidth="1"/>
    <col min="1546" max="1546" width="2.28515625" style="1" customWidth="1"/>
    <col min="1547" max="1547" width="35.5703125" style="1" customWidth="1"/>
    <col min="1548" max="1548" width="12" style="1" customWidth="1"/>
    <col min="1549" max="1549" width="2.7109375" style="1" customWidth="1"/>
    <col min="1550" max="1550" width="32" style="1" bestFit="1" customWidth="1"/>
    <col min="1551" max="1551" width="11.42578125" style="1" bestFit="1" customWidth="1"/>
    <col min="1552" max="1792" width="9.140625" style="1"/>
    <col min="1793" max="1793" width="1.7109375" style="1" customWidth="1"/>
    <col min="1794" max="1794" width="22.140625" style="1" customWidth="1"/>
    <col min="1795" max="1795" width="7.85546875" style="1" customWidth="1"/>
    <col min="1796" max="1796" width="2.5703125" style="1" customWidth="1"/>
    <col min="1797" max="1797" width="29.28515625" style="1" bestFit="1" customWidth="1"/>
    <col min="1798" max="1798" width="11.42578125" style="1" customWidth="1"/>
    <col min="1799" max="1799" width="2.5703125" style="1" customWidth="1"/>
    <col min="1800" max="1800" width="25.42578125" style="1" customWidth="1"/>
    <col min="1801" max="1801" width="12.140625" style="1" customWidth="1"/>
    <col min="1802" max="1802" width="2.28515625" style="1" customWidth="1"/>
    <col min="1803" max="1803" width="35.5703125" style="1" customWidth="1"/>
    <col min="1804" max="1804" width="12" style="1" customWidth="1"/>
    <col min="1805" max="1805" width="2.7109375" style="1" customWidth="1"/>
    <col min="1806" max="1806" width="32" style="1" bestFit="1" customWidth="1"/>
    <col min="1807" max="1807" width="11.42578125" style="1" bestFit="1" customWidth="1"/>
    <col min="1808" max="2048" width="9.140625" style="1"/>
    <col min="2049" max="2049" width="1.7109375" style="1" customWidth="1"/>
    <col min="2050" max="2050" width="22.140625" style="1" customWidth="1"/>
    <col min="2051" max="2051" width="7.85546875" style="1" customWidth="1"/>
    <col min="2052" max="2052" width="2.5703125" style="1" customWidth="1"/>
    <col min="2053" max="2053" width="29.28515625" style="1" bestFit="1" customWidth="1"/>
    <col min="2054" max="2054" width="11.42578125" style="1" customWidth="1"/>
    <col min="2055" max="2055" width="2.5703125" style="1" customWidth="1"/>
    <col min="2056" max="2056" width="25.42578125" style="1" customWidth="1"/>
    <col min="2057" max="2057" width="12.140625" style="1" customWidth="1"/>
    <col min="2058" max="2058" width="2.28515625" style="1" customWidth="1"/>
    <col min="2059" max="2059" width="35.5703125" style="1" customWidth="1"/>
    <col min="2060" max="2060" width="12" style="1" customWidth="1"/>
    <col min="2061" max="2061" width="2.7109375" style="1" customWidth="1"/>
    <col min="2062" max="2062" width="32" style="1" bestFit="1" customWidth="1"/>
    <col min="2063" max="2063" width="11.42578125" style="1" bestFit="1" customWidth="1"/>
    <col min="2064" max="2304" width="9.140625" style="1"/>
    <col min="2305" max="2305" width="1.7109375" style="1" customWidth="1"/>
    <col min="2306" max="2306" width="22.140625" style="1" customWidth="1"/>
    <col min="2307" max="2307" width="7.85546875" style="1" customWidth="1"/>
    <col min="2308" max="2308" width="2.5703125" style="1" customWidth="1"/>
    <col min="2309" max="2309" width="29.28515625" style="1" bestFit="1" customWidth="1"/>
    <col min="2310" max="2310" width="11.42578125" style="1" customWidth="1"/>
    <col min="2311" max="2311" width="2.5703125" style="1" customWidth="1"/>
    <col min="2312" max="2312" width="25.42578125" style="1" customWidth="1"/>
    <col min="2313" max="2313" width="12.140625" style="1" customWidth="1"/>
    <col min="2314" max="2314" width="2.28515625" style="1" customWidth="1"/>
    <col min="2315" max="2315" width="35.5703125" style="1" customWidth="1"/>
    <col min="2316" max="2316" width="12" style="1" customWidth="1"/>
    <col min="2317" max="2317" width="2.7109375" style="1" customWidth="1"/>
    <col min="2318" max="2318" width="32" style="1" bestFit="1" customWidth="1"/>
    <col min="2319" max="2319" width="11.42578125" style="1" bestFit="1" customWidth="1"/>
    <col min="2320" max="2560" width="9.140625" style="1"/>
    <col min="2561" max="2561" width="1.7109375" style="1" customWidth="1"/>
    <col min="2562" max="2562" width="22.140625" style="1" customWidth="1"/>
    <col min="2563" max="2563" width="7.85546875" style="1" customWidth="1"/>
    <col min="2564" max="2564" width="2.5703125" style="1" customWidth="1"/>
    <col min="2565" max="2565" width="29.28515625" style="1" bestFit="1" customWidth="1"/>
    <col min="2566" max="2566" width="11.42578125" style="1" customWidth="1"/>
    <col min="2567" max="2567" width="2.5703125" style="1" customWidth="1"/>
    <col min="2568" max="2568" width="25.42578125" style="1" customWidth="1"/>
    <col min="2569" max="2569" width="12.140625" style="1" customWidth="1"/>
    <col min="2570" max="2570" width="2.28515625" style="1" customWidth="1"/>
    <col min="2571" max="2571" width="35.5703125" style="1" customWidth="1"/>
    <col min="2572" max="2572" width="12" style="1" customWidth="1"/>
    <col min="2573" max="2573" width="2.7109375" style="1" customWidth="1"/>
    <col min="2574" max="2574" width="32" style="1" bestFit="1" customWidth="1"/>
    <col min="2575" max="2575" width="11.42578125" style="1" bestFit="1" customWidth="1"/>
    <col min="2576" max="2816" width="9.140625" style="1"/>
    <col min="2817" max="2817" width="1.7109375" style="1" customWidth="1"/>
    <col min="2818" max="2818" width="22.140625" style="1" customWidth="1"/>
    <col min="2819" max="2819" width="7.85546875" style="1" customWidth="1"/>
    <col min="2820" max="2820" width="2.5703125" style="1" customWidth="1"/>
    <col min="2821" max="2821" width="29.28515625" style="1" bestFit="1" customWidth="1"/>
    <col min="2822" max="2822" width="11.42578125" style="1" customWidth="1"/>
    <col min="2823" max="2823" width="2.5703125" style="1" customWidth="1"/>
    <col min="2824" max="2824" width="25.42578125" style="1" customWidth="1"/>
    <col min="2825" max="2825" width="12.140625" style="1" customWidth="1"/>
    <col min="2826" max="2826" width="2.28515625" style="1" customWidth="1"/>
    <col min="2827" max="2827" width="35.5703125" style="1" customWidth="1"/>
    <col min="2828" max="2828" width="12" style="1" customWidth="1"/>
    <col min="2829" max="2829" width="2.7109375" style="1" customWidth="1"/>
    <col min="2830" max="2830" width="32" style="1" bestFit="1" customWidth="1"/>
    <col min="2831" max="2831" width="11.42578125" style="1" bestFit="1" customWidth="1"/>
    <col min="2832" max="3072" width="9.140625" style="1"/>
    <col min="3073" max="3073" width="1.7109375" style="1" customWidth="1"/>
    <col min="3074" max="3074" width="22.140625" style="1" customWidth="1"/>
    <col min="3075" max="3075" width="7.85546875" style="1" customWidth="1"/>
    <col min="3076" max="3076" width="2.5703125" style="1" customWidth="1"/>
    <col min="3077" max="3077" width="29.28515625" style="1" bestFit="1" customWidth="1"/>
    <col min="3078" max="3078" width="11.42578125" style="1" customWidth="1"/>
    <col min="3079" max="3079" width="2.5703125" style="1" customWidth="1"/>
    <col min="3080" max="3080" width="25.42578125" style="1" customWidth="1"/>
    <col min="3081" max="3081" width="12.140625" style="1" customWidth="1"/>
    <col min="3082" max="3082" width="2.28515625" style="1" customWidth="1"/>
    <col min="3083" max="3083" width="35.5703125" style="1" customWidth="1"/>
    <col min="3084" max="3084" width="12" style="1" customWidth="1"/>
    <col min="3085" max="3085" width="2.7109375" style="1" customWidth="1"/>
    <col min="3086" max="3086" width="32" style="1" bestFit="1" customWidth="1"/>
    <col min="3087" max="3087" width="11.42578125" style="1" bestFit="1" customWidth="1"/>
    <col min="3088" max="3328" width="9.140625" style="1"/>
    <col min="3329" max="3329" width="1.7109375" style="1" customWidth="1"/>
    <col min="3330" max="3330" width="22.140625" style="1" customWidth="1"/>
    <col min="3331" max="3331" width="7.85546875" style="1" customWidth="1"/>
    <col min="3332" max="3332" width="2.5703125" style="1" customWidth="1"/>
    <col min="3333" max="3333" width="29.28515625" style="1" bestFit="1" customWidth="1"/>
    <col min="3334" max="3334" width="11.42578125" style="1" customWidth="1"/>
    <col min="3335" max="3335" width="2.5703125" style="1" customWidth="1"/>
    <col min="3336" max="3336" width="25.42578125" style="1" customWidth="1"/>
    <col min="3337" max="3337" width="12.140625" style="1" customWidth="1"/>
    <col min="3338" max="3338" width="2.28515625" style="1" customWidth="1"/>
    <col min="3339" max="3339" width="35.5703125" style="1" customWidth="1"/>
    <col min="3340" max="3340" width="12" style="1" customWidth="1"/>
    <col min="3341" max="3341" width="2.7109375" style="1" customWidth="1"/>
    <col min="3342" max="3342" width="32" style="1" bestFit="1" customWidth="1"/>
    <col min="3343" max="3343" width="11.42578125" style="1" bestFit="1" customWidth="1"/>
    <col min="3344" max="3584" width="9.140625" style="1"/>
    <col min="3585" max="3585" width="1.7109375" style="1" customWidth="1"/>
    <col min="3586" max="3586" width="22.140625" style="1" customWidth="1"/>
    <col min="3587" max="3587" width="7.85546875" style="1" customWidth="1"/>
    <col min="3588" max="3588" width="2.5703125" style="1" customWidth="1"/>
    <col min="3589" max="3589" width="29.28515625" style="1" bestFit="1" customWidth="1"/>
    <col min="3590" max="3590" width="11.42578125" style="1" customWidth="1"/>
    <col min="3591" max="3591" width="2.5703125" style="1" customWidth="1"/>
    <col min="3592" max="3592" width="25.42578125" style="1" customWidth="1"/>
    <col min="3593" max="3593" width="12.140625" style="1" customWidth="1"/>
    <col min="3594" max="3594" width="2.28515625" style="1" customWidth="1"/>
    <col min="3595" max="3595" width="35.5703125" style="1" customWidth="1"/>
    <col min="3596" max="3596" width="12" style="1" customWidth="1"/>
    <col min="3597" max="3597" width="2.7109375" style="1" customWidth="1"/>
    <col min="3598" max="3598" width="32" style="1" bestFit="1" customWidth="1"/>
    <col min="3599" max="3599" width="11.42578125" style="1" bestFit="1" customWidth="1"/>
    <col min="3600" max="3840" width="9.140625" style="1"/>
    <col min="3841" max="3841" width="1.7109375" style="1" customWidth="1"/>
    <col min="3842" max="3842" width="22.140625" style="1" customWidth="1"/>
    <col min="3843" max="3843" width="7.85546875" style="1" customWidth="1"/>
    <col min="3844" max="3844" width="2.5703125" style="1" customWidth="1"/>
    <col min="3845" max="3845" width="29.28515625" style="1" bestFit="1" customWidth="1"/>
    <col min="3846" max="3846" width="11.42578125" style="1" customWidth="1"/>
    <col min="3847" max="3847" width="2.5703125" style="1" customWidth="1"/>
    <col min="3848" max="3848" width="25.42578125" style="1" customWidth="1"/>
    <col min="3849" max="3849" width="12.140625" style="1" customWidth="1"/>
    <col min="3850" max="3850" width="2.28515625" style="1" customWidth="1"/>
    <col min="3851" max="3851" width="35.5703125" style="1" customWidth="1"/>
    <col min="3852" max="3852" width="12" style="1" customWidth="1"/>
    <col min="3853" max="3853" width="2.7109375" style="1" customWidth="1"/>
    <col min="3854" max="3854" width="32" style="1" bestFit="1" customWidth="1"/>
    <col min="3855" max="3855" width="11.42578125" style="1" bestFit="1" customWidth="1"/>
    <col min="3856" max="4096" width="9.140625" style="1"/>
    <col min="4097" max="4097" width="1.7109375" style="1" customWidth="1"/>
    <col min="4098" max="4098" width="22.140625" style="1" customWidth="1"/>
    <col min="4099" max="4099" width="7.85546875" style="1" customWidth="1"/>
    <col min="4100" max="4100" width="2.5703125" style="1" customWidth="1"/>
    <col min="4101" max="4101" width="29.28515625" style="1" bestFit="1" customWidth="1"/>
    <col min="4102" max="4102" width="11.42578125" style="1" customWidth="1"/>
    <col min="4103" max="4103" width="2.5703125" style="1" customWidth="1"/>
    <col min="4104" max="4104" width="25.42578125" style="1" customWidth="1"/>
    <col min="4105" max="4105" width="12.140625" style="1" customWidth="1"/>
    <col min="4106" max="4106" width="2.28515625" style="1" customWidth="1"/>
    <col min="4107" max="4107" width="35.5703125" style="1" customWidth="1"/>
    <col min="4108" max="4108" width="12" style="1" customWidth="1"/>
    <col min="4109" max="4109" width="2.7109375" style="1" customWidth="1"/>
    <col min="4110" max="4110" width="32" style="1" bestFit="1" customWidth="1"/>
    <col min="4111" max="4111" width="11.42578125" style="1" bestFit="1" customWidth="1"/>
    <col min="4112" max="4352" width="9.140625" style="1"/>
    <col min="4353" max="4353" width="1.7109375" style="1" customWidth="1"/>
    <col min="4354" max="4354" width="22.140625" style="1" customWidth="1"/>
    <col min="4355" max="4355" width="7.85546875" style="1" customWidth="1"/>
    <col min="4356" max="4356" width="2.5703125" style="1" customWidth="1"/>
    <col min="4357" max="4357" width="29.28515625" style="1" bestFit="1" customWidth="1"/>
    <col min="4358" max="4358" width="11.42578125" style="1" customWidth="1"/>
    <col min="4359" max="4359" width="2.5703125" style="1" customWidth="1"/>
    <col min="4360" max="4360" width="25.42578125" style="1" customWidth="1"/>
    <col min="4361" max="4361" width="12.140625" style="1" customWidth="1"/>
    <col min="4362" max="4362" width="2.28515625" style="1" customWidth="1"/>
    <col min="4363" max="4363" width="35.5703125" style="1" customWidth="1"/>
    <col min="4364" max="4364" width="12" style="1" customWidth="1"/>
    <col min="4365" max="4365" width="2.7109375" style="1" customWidth="1"/>
    <col min="4366" max="4366" width="32" style="1" bestFit="1" customWidth="1"/>
    <col min="4367" max="4367" width="11.42578125" style="1" bestFit="1" customWidth="1"/>
    <col min="4368" max="4608" width="9.140625" style="1"/>
    <col min="4609" max="4609" width="1.7109375" style="1" customWidth="1"/>
    <col min="4610" max="4610" width="22.140625" style="1" customWidth="1"/>
    <col min="4611" max="4611" width="7.85546875" style="1" customWidth="1"/>
    <col min="4612" max="4612" width="2.5703125" style="1" customWidth="1"/>
    <col min="4613" max="4613" width="29.28515625" style="1" bestFit="1" customWidth="1"/>
    <col min="4614" max="4614" width="11.42578125" style="1" customWidth="1"/>
    <col min="4615" max="4615" width="2.5703125" style="1" customWidth="1"/>
    <col min="4616" max="4616" width="25.42578125" style="1" customWidth="1"/>
    <col min="4617" max="4617" width="12.140625" style="1" customWidth="1"/>
    <col min="4618" max="4618" width="2.28515625" style="1" customWidth="1"/>
    <col min="4619" max="4619" width="35.5703125" style="1" customWidth="1"/>
    <col min="4620" max="4620" width="12" style="1" customWidth="1"/>
    <col min="4621" max="4621" width="2.7109375" style="1" customWidth="1"/>
    <col min="4622" max="4622" width="32" style="1" bestFit="1" customWidth="1"/>
    <col min="4623" max="4623" width="11.42578125" style="1" bestFit="1" customWidth="1"/>
    <col min="4624" max="4864" width="9.140625" style="1"/>
    <col min="4865" max="4865" width="1.7109375" style="1" customWidth="1"/>
    <col min="4866" max="4866" width="22.140625" style="1" customWidth="1"/>
    <col min="4867" max="4867" width="7.85546875" style="1" customWidth="1"/>
    <col min="4868" max="4868" width="2.5703125" style="1" customWidth="1"/>
    <col min="4869" max="4869" width="29.28515625" style="1" bestFit="1" customWidth="1"/>
    <col min="4870" max="4870" width="11.42578125" style="1" customWidth="1"/>
    <col min="4871" max="4871" width="2.5703125" style="1" customWidth="1"/>
    <col min="4872" max="4872" width="25.42578125" style="1" customWidth="1"/>
    <col min="4873" max="4873" width="12.140625" style="1" customWidth="1"/>
    <col min="4874" max="4874" width="2.28515625" style="1" customWidth="1"/>
    <col min="4875" max="4875" width="35.5703125" style="1" customWidth="1"/>
    <col min="4876" max="4876" width="12" style="1" customWidth="1"/>
    <col min="4877" max="4877" width="2.7109375" style="1" customWidth="1"/>
    <col min="4878" max="4878" width="32" style="1" bestFit="1" customWidth="1"/>
    <col min="4879" max="4879" width="11.42578125" style="1" bestFit="1" customWidth="1"/>
    <col min="4880" max="5120" width="9.140625" style="1"/>
    <col min="5121" max="5121" width="1.7109375" style="1" customWidth="1"/>
    <col min="5122" max="5122" width="22.140625" style="1" customWidth="1"/>
    <col min="5123" max="5123" width="7.85546875" style="1" customWidth="1"/>
    <col min="5124" max="5124" width="2.5703125" style="1" customWidth="1"/>
    <col min="5125" max="5125" width="29.28515625" style="1" bestFit="1" customWidth="1"/>
    <col min="5126" max="5126" width="11.42578125" style="1" customWidth="1"/>
    <col min="5127" max="5127" width="2.5703125" style="1" customWidth="1"/>
    <col min="5128" max="5128" width="25.42578125" style="1" customWidth="1"/>
    <col min="5129" max="5129" width="12.140625" style="1" customWidth="1"/>
    <col min="5130" max="5130" width="2.28515625" style="1" customWidth="1"/>
    <col min="5131" max="5131" width="35.5703125" style="1" customWidth="1"/>
    <col min="5132" max="5132" width="12" style="1" customWidth="1"/>
    <col min="5133" max="5133" width="2.7109375" style="1" customWidth="1"/>
    <col min="5134" max="5134" width="32" style="1" bestFit="1" customWidth="1"/>
    <col min="5135" max="5135" width="11.42578125" style="1" bestFit="1" customWidth="1"/>
    <col min="5136" max="5376" width="9.140625" style="1"/>
    <col min="5377" max="5377" width="1.7109375" style="1" customWidth="1"/>
    <col min="5378" max="5378" width="22.140625" style="1" customWidth="1"/>
    <col min="5379" max="5379" width="7.85546875" style="1" customWidth="1"/>
    <col min="5380" max="5380" width="2.5703125" style="1" customWidth="1"/>
    <col min="5381" max="5381" width="29.28515625" style="1" bestFit="1" customWidth="1"/>
    <col min="5382" max="5382" width="11.42578125" style="1" customWidth="1"/>
    <col min="5383" max="5383" width="2.5703125" style="1" customWidth="1"/>
    <col min="5384" max="5384" width="25.42578125" style="1" customWidth="1"/>
    <col min="5385" max="5385" width="12.140625" style="1" customWidth="1"/>
    <col min="5386" max="5386" width="2.28515625" style="1" customWidth="1"/>
    <col min="5387" max="5387" width="35.5703125" style="1" customWidth="1"/>
    <col min="5388" max="5388" width="12" style="1" customWidth="1"/>
    <col min="5389" max="5389" width="2.7109375" style="1" customWidth="1"/>
    <col min="5390" max="5390" width="32" style="1" bestFit="1" customWidth="1"/>
    <col min="5391" max="5391" width="11.42578125" style="1" bestFit="1" customWidth="1"/>
    <col min="5392" max="5632" width="9.140625" style="1"/>
    <col min="5633" max="5633" width="1.7109375" style="1" customWidth="1"/>
    <col min="5634" max="5634" width="22.140625" style="1" customWidth="1"/>
    <col min="5635" max="5635" width="7.85546875" style="1" customWidth="1"/>
    <col min="5636" max="5636" width="2.5703125" style="1" customWidth="1"/>
    <col min="5637" max="5637" width="29.28515625" style="1" bestFit="1" customWidth="1"/>
    <col min="5638" max="5638" width="11.42578125" style="1" customWidth="1"/>
    <col min="5639" max="5639" width="2.5703125" style="1" customWidth="1"/>
    <col min="5640" max="5640" width="25.42578125" style="1" customWidth="1"/>
    <col min="5641" max="5641" width="12.140625" style="1" customWidth="1"/>
    <col min="5642" max="5642" width="2.28515625" style="1" customWidth="1"/>
    <col min="5643" max="5643" width="35.5703125" style="1" customWidth="1"/>
    <col min="5644" max="5644" width="12" style="1" customWidth="1"/>
    <col min="5645" max="5645" width="2.7109375" style="1" customWidth="1"/>
    <col min="5646" max="5646" width="32" style="1" bestFit="1" customWidth="1"/>
    <col min="5647" max="5647" width="11.42578125" style="1" bestFit="1" customWidth="1"/>
    <col min="5648" max="5888" width="9.140625" style="1"/>
    <col min="5889" max="5889" width="1.7109375" style="1" customWidth="1"/>
    <col min="5890" max="5890" width="22.140625" style="1" customWidth="1"/>
    <col min="5891" max="5891" width="7.85546875" style="1" customWidth="1"/>
    <col min="5892" max="5892" width="2.5703125" style="1" customWidth="1"/>
    <col min="5893" max="5893" width="29.28515625" style="1" bestFit="1" customWidth="1"/>
    <col min="5894" max="5894" width="11.42578125" style="1" customWidth="1"/>
    <col min="5895" max="5895" width="2.5703125" style="1" customWidth="1"/>
    <col min="5896" max="5896" width="25.42578125" style="1" customWidth="1"/>
    <col min="5897" max="5897" width="12.140625" style="1" customWidth="1"/>
    <col min="5898" max="5898" width="2.28515625" style="1" customWidth="1"/>
    <col min="5899" max="5899" width="35.5703125" style="1" customWidth="1"/>
    <col min="5900" max="5900" width="12" style="1" customWidth="1"/>
    <col min="5901" max="5901" width="2.7109375" style="1" customWidth="1"/>
    <col min="5902" max="5902" width="32" style="1" bestFit="1" customWidth="1"/>
    <col min="5903" max="5903" width="11.42578125" style="1" bestFit="1" customWidth="1"/>
    <col min="5904" max="6144" width="9.140625" style="1"/>
    <col min="6145" max="6145" width="1.7109375" style="1" customWidth="1"/>
    <col min="6146" max="6146" width="22.140625" style="1" customWidth="1"/>
    <col min="6147" max="6147" width="7.85546875" style="1" customWidth="1"/>
    <col min="6148" max="6148" width="2.5703125" style="1" customWidth="1"/>
    <col min="6149" max="6149" width="29.28515625" style="1" bestFit="1" customWidth="1"/>
    <col min="6150" max="6150" width="11.42578125" style="1" customWidth="1"/>
    <col min="6151" max="6151" width="2.5703125" style="1" customWidth="1"/>
    <col min="6152" max="6152" width="25.42578125" style="1" customWidth="1"/>
    <col min="6153" max="6153" width="12.140625" style="1" customWidth="1"/>
    <col min="6154" max="6154" width="2.28515625" style="1" customWidth="1"/>
    <col min="6155" max="6155" width="35.5703125" style="1" customWidth="1"/>
    <col min="6156" max="6156" width="12" style="1" customWidth="1"/>
    <col min="6157" max="6157" width="2.7109375" style="1" customWidth="1"/>
    <col min="6158" max="6158" width="32" style="1" bestFit="1" customWidth="1"/>
    <col min="6159" max="6159" width="11.42578125" style="1" bestFit="1" customWidth="1"/>
    <col min="6160" max="6400" width="9.140625" style="1"/>
    <col min="6401" max="6401" width="1.7109375" style="1" customWidth="1"/>
    <col min="6402" max="6402" width="22.140625" style="1" customWidth="1"/>
    <col min="6403" max="6403" width="7.85546875" style="1" customWidth="1"/>
    <col min="6404" max="6404" width="2.5703125" style="1" customWidth="1"/>
    <col min="6405" max="6405" width="29.28515625" style="1" bestFit="1" customWidth="1"/>
    <col min="6406" max="6406" width="11.42578125" style="1" customWidth="1"/>
    <col min="6407" max="6407" width="2.5703125" style="1" customWidth="1"/>
    <col min="6408" max="6408" width="25.42578125" style="1" customWidth="1"/>
    <col min="6409" max="6409" width="12.140625" style="1" customWidth="1"/>
    <col min="6410" max="6410" width="2.28515625" style="1" customWidth="1"/>
    <col min="6411" max="6411" width="35.5703125" style="1" customWidth="1"/>
    <col min="6412" max="6412" width="12" style="1" customWidth="1"/>
    <col min="6413" max="6413" width="2.7109375" style="1" customWidth="1"/>
    <col min="6414" max="6414" width="32" style="1" bestFit="1" customWidth="1"/>
    <col min="6415" max="6415" width="11.42578125" style="1" bestFit="1" customWidth="1"/>
    <col min="6416" max="6656" width="9.140625" style="1"/>
    <col min="6657" max="6657" width="1.7109375" style="1" customWidth="1"/>
    <col min="6658" max="6658" width="22.140625" style="1" customWidth="1"/>
    <col min="6659" max="6659" width="7.85546875" style="1" customWidth="1"/>
    <col min="6660" max="6660" width="2.5703125" style="1" customWidth="1"/>
    <col min="6661" max="6661" width="29.28515625" style="1" bestFit="1" customWidth="1"/>
    <col min="6662" max="6662" width="11.42578125" style="1" customWidth="1"/>
    <col min="6663" max="6663" width="2.5703125" style="1" customWidth="1"/>
    <col min="6664" max="6664" width="25.42578125" style="1" customWidth="1"/>
    <col min="6665" max="6665" width="12.140625" style="1" customWidth="1"/>
    <col min="6666" max="6666" width="2.28515625" style="1" customWidth="1"/>
    <col min="6667" max="6667" width="35.5703125" style="1" customWidth="1"/>
    <col min="6668" max="6668" width="12" style="1" customWidth="1"/>
    <col min="6669" max="6669" width="2.7109375" style="1" customWidth="1"/>
    <col min="6670" max="6670" width="32" style="1" bestFit="1" customWidth="1"/>
    <col min="6671" max="6671" width="11.42578125" style="1" bestFit="1" customWidth="1"/>
    <col min="6672" max="6912" width="9.140625" style="1"/>
    <col min="6913" max="6913" width="1.7109375" style="1" customWidth="1"/>
    <col min="6914" max="6914" width="22.140625" style="1" customWidth="1"/>
    <col min="6915" max="6915" width="7.85546875" style="1" customWidth="1"/>
    <col min="6916" max="6916" width="2.5703125" style="1" customWidth="1"/>
    <col min="6917" max="6917" width="29.28515625" style="1" bestFit="1" customWidth="1"/>
    <col min="6918" max="6918" width="11.42578125" style="1" customWidth="1"/>
    <col min="6919" max="6919" width="2.5703125" style="1" customWidth="1"/>
    <col min="6920" max="6920" width="25.42578125" style="1" customWidth="1"/>
    <col min="6921" max="6921" width="12.140625" style="1" customWidth="1"/>
    <col min="6922" max="6922" width="2.28515625" style="1" customWidth="1"/>
    <col min="6923" max="6923" width="35.5703125" style="1" customWidth="1"/>
    <col min="6924" max="6924" width="12" style="1" customWidth="1"/>
    <col min="6925" max="6925" width="2.7109375" style="1" customWidth="1"/>
    <col min="6926" max="6926" width="32" style="1" bestFit="1" customWidth="1"/>
    <col min="6927" max="6927" width="11.42578125" style="1" bestFit="1" customWidth="1"/>
    <col min="6928" max="7168" width="9.140625" style="1"/>
    <col min="7169" max="7169" width="1.7109375" style="1" customWidth="1"/>
    <col min="7170" max="7170" width="22.140625" style="1" customWidth="1"/>
    <col min="7171" max="7171" width="7.85546875" style="1" customWidth="1"/>
    <col min="7172" max="7172" width="2.5703125" style="1" customWidth="1"/>
    <col min="7173" max="7173" width="29.28515625" style="1" bestFit="1" customWidth="1"/>
    <col min="7174" max="7174" width="11.42578125" style="1" customWidth="1"/>
    <col min="7175" max="7175" width="2.5703125" style="1" customWidth="1"/>
    <col min="7176" max="7176" width="25.42578125" style="1" customWidth="1"/>
    <col min="7177" max="7177" width="12.140625" style="1" customWidth="1"/>
    <col min="7178" max="7178" width="2.28515625" style="1" customWidth="1"/>
    <col min="7179" max="7179" width="35.5703125" style="1" customWidth="1"/>
    <col min="7180" max="7180" width="12" style="1" customWidth="1"/>
    <col min="7181" max="7181" width="2.7109375" style="1" customWidth="1"/>
    <col min="7182" max="7182" width="32" style="1" bestFit="1" customWidth="1"/>
    <col min="7183" max="7183" width="11.42578125" style="1" bestFit="1" customWidth="1"/>
    <col min="7184" max="7424" width="9.140625" style="1"/>
    <col min="7425" max="7425" width="1.7109375" style="1" customWidth="1"/>
    <col min="7426" max="7426" width="22.140625" style="1" customWidth="1"/>
    <col min="7427" max="7427" width="7.85546875" style="1" customWidth="1"/>
    <col min="7428" max="7428" width="2.5703125" style="1" customWidth="1"/>
    <col min="7429" max="7429" width="29.28515625" style="1" bestFit="1" customWidth="1"/>
    <col min="7430" max="7430" width="11.42578125" style="1" customWidth="1"/>
    <col min="7431" max="7431" width="2.5703125" style="1" customWidth="1"/>
    <col min="7432" max="7432" width="25.42578125" style="1" customWidth="1"/>
    <col min="7433" max="7433" width="12.140625" style="1" customWidth="1"/>
    <col min="7434" max="7434" width="2.28515625" style="1" customWidth="1"/>
    <col min="7435" max="7435" width="35.5703125" style="1" customWidth="1"/>
    <col min="7436" max="7436" width="12" style="1" customWidth="1"/>
    <col min="7437" max="7437" width="2.7109375" style="1" customWidth="1"/>
    <col min="7438" max="7438" width="32" style="1" bestFit="1" customWidth="1"/>
    <col min="7439" max="7439" width="11.42578125" style="1" bestFit="1" customWidth="1"/>
    <col min="7440" max="7680" width="9.140625" style="1"/>
    <col min="7681" max="7681" width="1.7109375" style="1" customWidth="1"/>
    <col min="7682" max="7682" width="22.140625" style="1" customWidth="1"/>
    <col min="7683" max="7683" width="7.85546875" style="1" customWidth="1"/>
    <col min="7684" max="7684" width="2.5703125" style="1" customWidth="1"/>
    <col min="7685" max="7685" width="29.28515625" style="1" bestFit="1" customWidth="1"/>
    <col min="7686" max="7686" width="11.42578125" style="1" customWidth="1"/>
    <col min="7687" max="7687" width="2.5703125" style="1" customWidth="1"/>
    <col min="7688" max="7688" width="25.42578125" style="1" customWidth="1"/>
    <col min="7689" max="7689" width="12.140625" style="1" customWidth="1"/>
    <col min="7690" max="7690" width="2.28515625" style="1" customWidth="1"/>
    <col min="7691" max="7691" width="35.5703125" style="1" customWidth="1"/>
    <col min="7692" max="7692" width="12" style="1" customWidth="1"/>
    <col min="7693" max="7693" width="2.7109375" style="1" customWidth="1"/>
    <col min="7694" max="7694" width="32" style="1" bestFit="1" customWidth="1"/>
    <col min="7695" max="7695" width="11.42578125" style="1" bestFit="1" customWidth="1"/>
    <col min="7696" max="7936" width="9.140625" style="1"/>
    <col min="7937" max="7937" width="1.7109375" style="1" customWidth="1"/>
    <col min="7938" max="7938" width="22.140625" style="1" customWidth="1"/>
    <col min="7939" max="7939" width="7.85546875" style="1" customWidth="1"/>
    <col min="7940" max="7940" width="2.5703125" style="1" customWidth="1"/>
    <col min="7941" max="7941" width="29.28515625" style="1" bestFit="1" customWidth="1"/>
    <col min="7942" max="7942" width="11.42578125" style="1" customWidth="1"/>
    <col min="7943" max="7943" width="2.5703125" style="1" customWidth="1"/>
    <col min="7944" max="7944" width="25.42578125" style="1" customWidth="1"/>
    <col min="7945" max="7945" width="12.140625" style="1" customWidth="1"/>
    <col min="7946" max="7946" width="2.28515625" style="1" customWidth="1"/>
    <col min="7947" max="7947" width="35.5703125" style="1" customWidth="1"/>
    <col min="7948" max="7948" width="12" style="1" customWidth="1"/>
    <col min="7949" max="7949" width="2.7109375" style="1" customWidth="1"/>
    <col min="7950" max="7950" width="32" style="1" bestFit="1" customWidth="1"/>
    <col min="7951" max="7951" width="11.42578125" style="1" bestFit="1" customWidth="1"/>
    <col min="7952" max="8192" width="9.140625" style="1"/>
    <col min="8193" max="8193" width="1.7109375" style="1" customWidth="1"/>
    <col min="8194" max="8194" width="22.140625" style="1" customWidth="1"/>
    <col min="8195" max="8195" width="7.85546875" style="1" customWidth="1"/>
    <col min="8196" max="8196" width="2.5703125" style="1" customWidth="1"/>
    <col min="8197" max="8197" width="29.28515625" style="1" bestFit="1" customWidth="1"/>
    <col min="8198" max="8198" width="11.42578125" style="1" customWidth="1"/>
    <col min="8199" max="8199" width="2.5703125" style="1" customWidth="1"/>
    <col min="8200" max="8200" width="25.42578125" style="1" customWidth="1"/>
    <col min="8201" max="8201" width="12.140625" style="1" customWidth="1"/>
    <col min="8202" max="8202" width="2.28515625" style="1" customWidth="1"/>
    <col min="8203" max="8203" width="35.5703125" style="1" customWidth="1"/>
    <col min="8204" max="8204" width="12" style="1" customWidth="1"/>
    <col min="8205" max="8205" width="2.7109375" style="1" customWidth="1"/>
    <col min="8206" max="8206" width="32" style="1" bestFit="1" customWidth="1"/>
    <col min="8207" max="8207" width="11.42578125" style="1" bestFit="1" customWidth="1"/>
    <col min="8208" max="8448" width="9.140625" style="1"/>
    <col min="8449" max="8449" width="1.7109375" style="1" customWidth="1"/>
    <col min="8450" max="8450" width="22.140625" style="1" customWidth="1"/>
    <col min="8451" max="8451" width="7.85546875" style="1" customWidth="1"/>
    <col min="8452" max="8452" width="2.5703125" style="1" customWidth="1"/>
    <col min="8453" max="8453" width="29.28515625" style="1" bestFit="1" customWidth="1"/>
    <col min="8454" max="8454" width="11.42578125" style="1" customWidth="1"/>
    <col min="8455" max="8455" width="2.5703125" style="1" customWidth="1"/>
    <col min="8456" max="8456" width="25.42578125" style="1" customWidth="1"/>
    <col min="8457" max="8457" width="12.140625" style="1" customWidth="1"/>
    <col min="8458" max="8458" width="2.28515625" style="1" customWidth="1"/>
    <col min="8459" max="8459" width="35.5703125" style="1" customWidth="1"/>
    <col min="8460" max="8460" width="12" style="1" customWidth="1"/>
    <col min="8461" max="8461" width="2.7109375" style="1" customWidth="1"/>
    <col min="8462" max="8462" width="32" style="1" bestFit="1" customWidth="1"/>
    <col min="8463" max="8463" width="11.42578125" style="1" bestFit="1" customWidth="1"/>
    <col min="8464" max="8704" width="9.140625" style="1"/>
    <col min="8705" max="8705" width="1.7109375" style="1" customWidth="1"/>
    <col min="8706" max="8706" width="22.140625" style="1" customWidth="1"/>
    <col min="8707" max="8707" width="7.85546875" style="1" customWidth="1"/>
    <col min="8708" max="8708" width="2.5703125" style="1" customWidth="1"/>
    <col min="8709" max="8709" width="29.28515625" style="1" bestFit="1" customWidth="1"/>
    <col min="8710" max="8710" width="11.42578125" style="1" customWidth="1"/>
    <col min="8711" max="8711" width="2.5703125" style="1" customWidth="1"/>
    <col min="8712" max="8712" width="25.42578125" style="1" customWidth="1"/>
    <col min="8713" max="8713" width="12.140625" style="1" customWidth="1"/>
    <col min="8714" max="8714" width="2.28515625" style="1" customWidth="1"/>
    <col min="8715" max="8715" width="35.5703125" style="1" customWidth="1"/>
    <col min="8716" max="8716" width="12" style="1" customWidth="1"/>
    <col min="8717" max="8717" width="2.7109375" style="1" customWidth="1"/>
    <col min="8718" max="8718" width="32" style="1" bestFit="1" customWidth="1"/>
    <col min="8719" max="8719" width="11.42578125" style="1" bestFit="1" customWidth="1"/>
    <col min="8720" max="8960" width="9.140625" style="1"/>
    <col min="8961" max="8961" width="1.7109375" style="1" customWidth="1"/>
    <col min="8962" max="8962" width="22.140625" style="1" customWidth="1"/>
    <col min="8963" max="8963" width="7.85546875" style="1" customWidth="1"/>
    <col min="8964" max="8964" width="2.5703125" style="1" customWidth="1"/>
    <col min="8965" max="8965" width="29.28515625" style="1" bestFit="1" customWidth="1"/>
    <col min="8966" max="8966" width="11.42578125" style="1" customWidth="1"/>
    <col min="8967" max="8967" width="2.5703125" style="1" customWidth="1"/>
    <col min="8968" max="8968" width="25.42578125" style="1" customWidth="1"/>
    <col min="8969" max="8969" width="12.140625" style="1" customWidth="1"/>
    <col min="8970" max="8970" width="2.28515625" style="1" customWidth="1"/>
    <col min="8971" max="8971" width="35.5703125" style="1" customWidth="1"/>
    <col min="8972" max="8972" width="12" style="1" customWidth="1"/>
    <col min="8973" max="8973" width="2.7109375" style="1" customWidth="1"/>
    <col min="8974" max="8974" width="32" style="1" bestFit="1" customWidth="1"/>
    <col min="8975" max="8975" width="11.42578125" style="1" bestFit="1" customWidth="1"/>
    <col min="8976" max="9216" width="9.140625" style="1"/>
    <col min="9217" max="9217" width="1.7109375" style="1" customWidth="1"/>
    <col min="9218" max="9218" width="22.140625" style="1" customWidth="1"/>
    <col min="9219" max="9219" width="7.85546875" style="1" customWidth="1"/>
    <col min="9220" max="9220" width="2.5703125" style="1" customWidth="1"/>
    <col min="9221" max="9221" width="29.28515625" style="1" bestFit="1" customWidth="1"/>
    <col min="9222" max="9222" width="11.42578125" style="1" customWidth="1"/>
    <col min="9223" max="9223" width="2.5703125" style="1" customWidth="1"/>
    <col min="9224" max="9224" width="25.42578125" style="1" customWidth="1"/>
    <col min="9225" max="9225" width="12.140625" style="1" customWidth="1"/>
    <col min="9226" max="9226" width="2.28515625" style="1" customWidth="1"/>
    <col min="9227" max="9227" width="35.5703125" style="1" customWidth="1"/>
    <col min="9228" max="9228" width="12" style="1" customWidth="1"/>
    <col min="9229" max="9229" width="2.7109375" style="1" customWidth="1"/>
    <col min="9230" max="9230" width="32" style="1" bestFit="1" customWidth="1"/>
    <col min="9231" max="9231" width="11.42578125" style="1" bestFit="1" customWidth="1"/>
    <col min="9232" max="9472" width="9.140625" style="1"/>
    <col min="9473" max="9473" width="1.7109375" style="1" customWidth="1"/>
    <col min="9474" max="9474" width="22.140625" style="1" customWidth="1"/>
    <col min="9475" max="9475" width="7.85546875" style="1" customWidth="1"/>
    <col min="9476" max="9476" width="2.5703125" style="1" customWidth="1"/>
    <col min="9477" max="9477" width="29.28515625" style="1" bestFit="1" customWidth="1"/>
    <col min="9478" max="9478" width="11.42578125" style="1" customWidth="1"/>
    <col min="9479" max="9479" width="2.5703125" style="1" customWidth="1"/>
    <col min="9480" max="9480" width="25.42578125" style="1" customWidth="1"/>
    <col min="9481" max="9481" width="12.140625" style="1" customWidth="1"/>
    <col min="9482" max="9482" width="2.28515625" style="1" customWidth="1"/>
    <col min="9483" max="9483" width="35.5703125" style="1" customWidth="1"/>
    <col min="9484" max="9484" width="12" style="1" customWidth="1"/>
    <col min="9485" max="9485" width="2.7109375" style="1" customWidth="1"/>
    <col min="9486" max="9486" width="32" style="1" bestFit="1" customWidth="1"/>
    <col min="9487" max="9487" width="11.42578125" style="1" bestFit="1" customWidth="1"/>
    <col min="9488" max="9728" width="9.140625" style="1"/>
    <col min="9729" max="9729" width="1.7109375" style="1" customWidth="1"/>
    <col min="9730" max="9730" width="22.140625" style="1" customWidth="1"/>
    <col min="9731" max="9731" width="7.85546875" style="1" customWidth="1"/>
    <col min="9732" max="9732" width="2.5703125" style="1" customWidth="1"/>
    <col min="9733" max="9733" width="29.28515625" style="1" bestFit="1" customWidth="1"/>
    <col min="9734" max="9734" width="11.42578125" style="1" customWidth="1"/>
    <col min="9735" max="9735" width="2.5703125" style="1" customWidth="1"/>
    <col min="9736" max="9736" width="25.42578125" style="1" customWidth="1"/>
    <col min="9737" max="9737" width="12.140625" style="1" customWidth="1"/>
    <col min="9738" max="9738" width="2.28515625" style="1" customWidth="1"/>
    <col min="9739" max="9739" width="35.5703125" style="1" customWidth="1"/>
    <col min="9740" max="9740" width="12" style="1" customWidth="1"/>
    <col min="9741" max="9741" width="2.7109375" style="1" customWidth="1"/>
    <col min="9742" max="9742" width="32" style="1" bestFit="1" customWidth="1"/>
    <col min="9743" max="9743" width="11.42578125" style="1" bestFit="1" customWidth="1"/>
    <col min="9744" max="9984" width="9.140625" style="1"/>
    <col min="9985" max="9985" width="1.7109375" style="1" customWidth="1"/>
    <col min="9986" max="9986" width="22.140625" style="1" customWidth="1"/>
    <col min="9987" max="9987" width="7.85546875" style="1" customWidth="1"/>
    <col min="9988" max="9988" width="2.5703125" style="1" customWidth="1"/>
    <col min="9989" max="9989" width="29.28515625" style="1" bestFit="1" customWidth="1"/>
    <col min="9990" max="9990" width="11.42578125" style="1" customWidth="1"/>
    <col min="9991" max="9991" width="2.5703125" style="1" customWidth="1"/>
    <col min="9992" max="9992" width="25.42578125" style="1" customWidth="1"/>
    <col min="9993" max="9993" width="12.140625" style="1" customWidth="1"/>
    <col min="9994" max="9994" width="2.28515625" style="1" customWidth="1"/>
    <col min="9995" max="9995" width="35.5703125" style="1" customWidth="1"/>
    <col min="9996" max="9996" width="12" style="1" customWidth="1"/>
    <col min="9997" max="9997" width="2.7109375" style="1" customWidth="1"/>
    <col min="9998" max="9998" width="32" style="1" bestFit="1" customWidth="1"/>
    <col min="9999" max="9999" width="11.42578125" style="1" bestFit="1" customWidth="1"/>
    <col min="10000" max="10240" width="9.140625" style="1"/>
    <col min="10241" max="10241" width="1.7109375" style="1" customWidth="1"/>
    <col min="10242" max="10242" width="22.140625" style="1" customWidth="1"/>
    <col min="10243" max="10243" width="7.85546875" style="1" customWidth="1"/>
    <col min="10244" max="10244" width="2.5703125" style="1" customWidth="1"/>
    <col min="10245" max="10245" width="29.28515625" style="1" bestFit="1" customWidth="1"/>
    <col min="10246" max="10246" width="11.42578125" style="1" customWidth="1"/>
    <col min="10247" max="10247" width="2.5703125" style="1" customWidth="1"/>
    <col min="10248" max="10248" width="25.42578125" style="1" customWidth="1"/>
    <col min="10249" max="10249" width="12.140625" style="1" customWidth="1"/>
    <col min="10250" max="10250" width="2.28515625" style="1" customWidth="1"/>
    <col min="10251" max="10251" width="35.5703125" style="1" customWidth="1"/>
    <col min="10252" max="10252" width="12" style="1" customWidth="1"/>
    <col min="10253" max="10253" width="2.7109375" style="1" customWidth="1"/>
    <col min="10254" max="10254" width="32" style="1" bestFit="1" customWidth="1"/>
    <col min="10255" max="10255" width="11.42578125" style="1" bestFit="1" customWidth="1"/>
    <col min="10256" max="10496" width="9.140625" style="1"/>
    <col min="10497" max="10497" width="1.7109375" style="1" customWidth="1"/>
    <col min="10498" max="10498" width="22.140625" style="1" customWidth="1"/>
    <col min="10499" max="10499" width="7.85546875" style="1" customWidth="1"/>
    <col min="10500" max="10500" width="2.5703125" style="1" customWidth="1"/>
    <col min="10501" max="10501" width="29.28515625" style="1" bestFit="1" customWidth="1"/>
    <col min="10502" max="10502" width="11.42578125" style="1" customWidth="1"/>
    <col min="10503" max="10503" width="2.5703125" style="1" customWidth="1"/>
    <col min="10504" max="10504" width="25.42578125" style="1" customWidth="1"/>
    <col min="10505" max="10505" width="12.140625" style="1" customWidth="1"/>
    <col min="10506" max="10506" width="2.28515625" style="1" customWidth="1"/>
    <col min="10507" max="10507" width="35.5703125" style="1" customWidth="1"/>
    <col min="10508" max="10508" width="12" style="1" customWidth="1"/>
    <col min="10509" max="10509" width="2.7109375" style="1" customWidth="1"/>
    <col min="10510" max="10510" width="32" style="1" bestFit="1" customWidth="1"/>
    <col min="10511" max="10511" width="11.42578125" style="1" bestFit="1" customWidth="1"/>
    <col min="10512" max="10752" width="9.140625" style="1"/>
    <col min="10753" max="10753" width="1.7109375" style="1" customWidth="1"/>
    <col min="10754" max="10754" width="22.140625" style="1" customWidth="1"/>
    <col min="10755" max="10755" width="7.85546875" style="1" customWidth="1"/>
    <col min="10756" max="10756" width="2.5703125" style="1" customWidth="1"/>
    <col min="10757" max="10757" width="29.28515625" style="1" bestFit="1" customWidth="1"/>
    <col min="10758" max="10758" width="11.42578125" style="1" customWidth="1"/>
    <col min="10759" max="10759" width="2.5703125" style="1" customWidth="1"/>
    <col min="10760" max="10760" width="25.42578125" style="1" customWidth="1"/>
    <col min="10761" max="10761" width="12.140625" style="1" customWidth="1"/>
    <col min="10762" max="10762" width="2.28515625" style="1" customWidth="1"/>
    <col min="10763" max="10763" width="35.5703125" style="1" customWidth="1"/>
    <col min="10764" max="10764" width="12" style="1" customWidth="1"/>
    <col min="10765" max="10765" width="2.7109375" style="1" customWidth="1"/>
    <col min="10766" max="10766" width="32" style="1" bestFit="1" customWidth="1"/>
    <col min="10767" max="10767" width="11.42578125" style="1" bestFit="1" customWidth="1"/>
    <col min="10768" max="11008" width="9.140625" style="1"/>
    <col min="11009" max="11009" width="1.7109375" style="1" customWidth="1"/>
    <col min="11010" max="11010" width="22.140625" style="1" customWidth="1"/>
    <col min="11011" max="11011" width="7.85546875" style="1" customWidth="1"/>
    <col min="11012" max="11012" width="2.5703125" style="1" customWidth="1"/>
    <col min="11013" max="11013" width="29.28515625" style="1" bestFit="1" customWidth="1"/>
    <col min="11014" max="11014" width="11.42578125" style="1" customWidth="1"/>
    <col min="11015" max="11015" width="2.5703125" style="1" customWidth="1"/>
    <col min="11016" max="11016" width="25.42578125" style="1" customWidth="1"/>
    <col min="11017" max="11017" width="12.140625" style="1" customWidth="1"/>
    <col min="11018" max="11018" width="2.28515625" style="1" customWidth="1"/>
    <col min="11019" max="11019" width="35.5703125" style="1" customWidth="1"/>
    <col min="11020" max="11020" width="12" style="1" customWidth="1"/>
    <col min="11021" max="11021" width="2.7109375" style="1" customWidth="1"/>
    <col min="11022" max="11022" width="32" style="1" bestFit="1" customWidth="1"/>
    <col min="11023" max="11023" width="11.42578125" style="1" bestFit="1" customWidth="1"/>
    <col min="11024" max="11264" width="9.140625" style="1"/>
    <col min="11265" max="11265" width="1.7109375" style="1" customWidth="1"/>
    <col min="11266" max="11266" width="22.140625" style="1" customWidth="1"/>
    <col min="11267" max="11267" width="7.85546875" style="1" customWidth="1"/>
    <col min="11268" max="11268" width="2.5703125" style="1" customWidth="1"/>
    <col min="11269" max="11269" width="29.28515625" style="1" bestFit="1" customWidth="1"/>
    <col min="11270" max="11270" width="11.42578125" style="1" customWidth="1"/>
    <col min="11271" max="11271" width="2.5703125" style="1" customWidth="1"/>
    <col min="11272" max="11272" width="25.42578125" style="1" customWidth="1"/>
    <col min="11273" max="11273" width="12.140625" style="1" customWidth="1"/>
    <col min="11274" max="11274" width="2.28515625" style="1" customWidth="1"/>
    <col min="11275" max="11275" width="35.5703125" style="1" customWidth="1"/>
    <col min="11276" max="11276" width="12" style="1" customWidth="1"/>
    <col min="11277" max="11277" width="2.7109375" style="1" customWidth="1"/>
    <col min="11278" max="11278" width="32" style="1" bestFit="1" customWidth="1"/>
    <col min="11279" max="11279" width="11.42578125" style="1" bestFit="1" customWidth="1"/>
    <col min="11280" max="11520" width="9.140625" style="1"/>
    <col min="11521" max="11521" width="1.7109375" style="1" customWidth="1"/>
    <col min="11522" max="11522" width="22.140625" style="1" customWidth="1"/>
    <col min="11523" max="11523" width="7.85546875" style="1" customWidth="1"/>
    <col min="11524" max="11524" width="2.5703125" style="1" customWidth="1"/>
    <col min="11525" max="11525" width="29.28515625" style="1" bestFit="1" customWidth="1"/>
    <col min="11526" max="11526" width="11.42578125" style="1" customWidth="1"/>
    <col min="11527" max="11527" width="2.5703125" style="1" customWidth="1"/>
    <col min="11528" max="11528" width="25.42578125" style="1" customWidth="1"/>
    <col min="11529" max="11529" width="12.140625" style="1" customWidth="1"/>
    <col min="11530" max="11530" width="2.28515625" style="1" customWidth="1"/>
    <col min="11531" max="11531" width="35.5703125" style="1" customWidth="1"/>
    <col min="11532" max="11532" width="12" style="1" customWidth="1"/>
    <col min="11533" max="11533" width="2.7109375" style="1" customWidth="1"/>
    <col min="11534" max="11534" width="32" style="1" bestFit="1" customWidth="1"/>
    <col min="11535" max="11535" width="11.42578125" style="1" bestFit="1" customWidth="1"/>
    <col min="11536" max="11776" width="9.140625" style="1"/>
    <col min="11777" max="11777" width="1.7109375" style="1" customWidth="1"/>
    <col min="11778" max="11778" width="22.140625" style="1" customWidth="1"/>
    <col min="11779" max="11779" width="7.85546875" style="1" customWidth="1"/>
    <col min="11780" max="11780" width="2.5703125" style="1" customWidth="1"/>
    <col min="11781" max="11781" width="29.28515625" style="1" bestFit="1" customWidth="1"/>
    <col min="11782" max="11782" width="11.42578125" style="1" customWidth="1"/>
    <col min="11783" max="11783" width="2.5703125" style="1" customWidth="1"/>
    <col min="11784" max="11784" width="25.42578125" style="1" customWidth="1"/>
    <col min="11785" max="11785" width="12.140625" style="1" customWidth="1"/>
    <col min="11786" max="11786" width="2.28515625" style="1" customWidth="1"/>
    <col min="11787" max="11787" width="35.5703125" style="1" customWidth="1"/>
    <col min="11788" max="11788" width="12" style="1" customWidth="1"/>
    <col min="11789" max="11789" width="2.7109375" style="1" customWidth="1"/>
    <col min="11790" max="11790" width="32" style="1" bestFit="1" customWidth="1"/>
    <col min="11791" max="11791" width="11.42578125" style="1" bestFit="1" customWidth="1"/>
    <col min="11792" max="12032" width="9.140625" style="1"/>
    <col min="12033" max="12033" width="1.7109375" style="1" customWidth="1"/>
    <col min="12034" max="12034" width="22.140625" style="1" customWidth="1"/>
    <col min="12035" max="12035" width="7.85546875" style="1" customWidth="1"/>
    <col min="12036" max="12036" width="2.5703125" style="1" customWidth="1"/>
    <col min="12037" max="12037" width="29.28515625" style="1" bestFit="1" customWidth="1"/>
    <col min="12038" max="12038" width="11.42578125" style="1" customWidth="1"/>
    <col min="12039" max="12039" width="2.5703125" style="1" customWidth="1"/>
    <col min="12040" max="12040" width="25.42578125" style="1" customWidth="1"/>
    <col min="12041" max="12041" width="12.140625" style="1" customWidth="1"/>
    <col min="12042" max="12042" width="2.28515625" style="1" customWidth="1"/>
    <col min="12043" max="12043" width="35.5703125" style="1" customWidth="1"/>
    <col min="12044" max="12044" width="12" style="1" customWidth="1"/>
    <col min="12045" max="12045" width="2.7109375" style="1" customWidth="1"/>
    <col min="12046" max="12046" width="32" style="1" bestFit="1" customWidth="1"/>
    <col min="12047" max="12047" width="11.42578125" style="1" bestFit="1" customWidth="1"/>
    <col min="12048" max="12288" width="9.140625" style="1"/>
    <col min="12289" max="12289" width="1.7109375" style="1" customWidth="1"/>
    <col min="12290" max="12290" width="22.140625" style="1" customWidth="1"/>
    <col min="12291" max="12291" width="7.85546875" style="1" customWidth="1"/>
    <col min="12292" max="12292" width="2.5703125" style="1" customWidth="1"/>
    <col min="12293" max="12293" width="29.28515625" style="1" bestFit="1" customWidth="1"/>
    <col min="12294" max="12294" width="11.42578125" style="1" customWidth="1"/>
    <col min="12295" max="12295" width="2.5703125" style="1" customWidth="1"/>
    <col min="12296" max="12296" width="25.42578125" style="1" customWidth="1"/>
    <col min="12297" max="12297" width="12.140625" style="1" customWidth="1"/>
    <col min="12298" max="12298" width="2.28515625" style="1" customWidth="1"/>
    <col min="12299" max="12299" width="35.5703125" style="1" customWidth="1"/>
    <col min="12300" max="12300" width="12" style="1" customWidth="1"/>
    <col min="12301" max="12301" width="2.7109375" style="1" customWidth="1"/>
    <col min="12302" max="12302" width="32" style="1" bestFit="1" customWidth="1"/>
    <col min="12303" max="12303" width="11.42578125" style="1" bestFit="1" customWidth="1"/>
    <col min="12304" max="12544" width="9.140625" style="1"/>
    <col min="12545" max="12545" width="1.7109375" style="1" customWidth="1"/>
    <col min="12546" max="12546" width="22.140625" style="1" customWidth="1"/>
    <col min="12547" max="12547" width="7.85546875" style="1" customWidth="1"/>
    <col min="12548" max="12548" width="2.5703125" style="1" customWidth="1"/>
    <col min="12549" max="12549" width="29.28515625" style="1" bestFit="1" customWidth="1"/>
    <col min="12550" max="12550" width="11.42578125" style="1" customWidth="1"/>
    <col min="12551" max="12551" width="2.5703125" style="1" customWidth="1"/>
    <col min="12552" max="12552" width="25.42578125" style="1" customWidth="1"/>
    <col min="12553" max="12553" width="12.140625" style="1" customWidth="1"/>
    <col min="12554" max="12554" width="2.28515625" style="1" customWidth="1"/>
    <col min="12555" max="12555" width="35.5703125" style="1" customWidth="1"/>
    <col min="12556" max="12556" width="12" style="1" customWidth="1"/>
    <col min="12557" max="12557" width="2.7109375" style="1" customWidth="1"/>
    <col min="12558" max="12558" width="32" style="1" bestFit="1" customWidth="1"/>
    <col min="12559" max="12559" width="11.42578125" style="1" bestFit="1" customWidth="1"/>
    <col min="12560" max="12800" width="9.140625" style="1"/>
    <col min="12801" max="12801" width="1.7109375" style="1" customWidth="1"/>
    <col min="12802" max="12802" width="22.140625" style="1" customWidth="1"/>
    <col min="12803" max="12803" width="7.85546875" style="1" customWidth="1"/>
    <col min="12804" max="12804" width="2.5703125" style="1" customWidth="1"/>
    <col min="12805" max="12805" width="29.28515625" style="1" bestFit="1" customWidth="1"/>
    <col min="12806" max="12806" width="11.42578125" style="1" customWidth="1"/>
    <col min="12807" max="12807" width="2.5703125" style="1" customWidth="1"/>
    <col min="12808" max="12808" width="25.42578125" style="1" customWidth="1"/>
    <col min="12809" max="12809" width="12.140625" style="1" customWidth="1"/>
    <col min="12810" max="12810" width="2.28515625" style="1" customWidth="1"/>
    <col min="12811" max="12811" width="35.5703125" style="1" customWidth="1"/>
    <col min="12812" max="12812" width="12" style="1" customWidth="1"/>
    <col min="12813" max="12813" width="2.7109375" style="1" customWidth="1"/>
    <col min="12814" max="12814" width="32" style="1" bestFit="1" customWidth="1"/>
    <col min="12815" max="12815" width="11.42578125" style="1" bestFit="1" customWidth="1"/>
    <col min="12816" max="13056" width="9.140625" style="1"/>
    <col min="13057" max="13057" width="1.7109375" style="1" customWidth="1"/>
    <col min="13058" max="13058" width="22.140625" style="1" customWidth="1"/>
    <col min="13059" max="13059" width="7.85546875" style="1" customWidth="1"/>
    <col min="13060" max="13060" width="2.5703125" style="1" customWidth="1"/>
    <col min="13061" max="13061" width="29.28515625" style="1" bestFit="1" customWidth="1"/>
    <col min="13062" max="13062" width="11.42578125" style="1" customWidth="1"/>
    <col min="13063" max="13063" width="2.5703125" style="1" customWidth="1"/>
    <col min="13064" max="13064" width="25.42578125" style="1" customWidth="1"/>
    <col min="13065" max="13065" width="12.140625" style="1" customWidth="1"/>
    <col min="13066" max="13066" width="2.28515625" style="1" customWidth="1"/>
    <col min="13067" max="13067" width="35.5703125" style="1" customWidth="1"/>
    <col min="13068" max="13068" width="12" style="1" customWidth="1"/>
    <col min="13069" max="13069" width="2.7109375" style="1" customWidth="1"/>
    <col min="13070" max="13070" width="32" style="1" bestFit="1" customWidth="1"/>
    <col min="13071" max="13071" width="11.42578125" style="1" bestFit="1" customWidth="1"/>
    <col min="13072" max="13312" width="9.140625" style="1"/>
    <col min="13313" max="13313" width="1.7109375" style="1" customWidth="1"/>
    <col min="13314" max="13314" width="22.140625" style="1" customWidth="1"/>
    <col min="13315" max="13315" width="7.85546875" style="1" customWidth="1"/>
    <col min="13316" max="13316" width="2.5703125" style="1" customWidth="1"/>
    <col min="13317" max="13317" width="29.28515625" style="1" bestFit="1" customWidth="1"/>
    <col min="13318" max="13318" width="11.42578125" style="1" customWidth="1"/>
    <col min="13319" max="13319" width="2.5703125" style="1" customWidth="1"/>
    <col min="13320" max="13320" width="25.42578125" style="1" customWidth="1"/>
    <col min="13321" max="13321" width="12.140625" style="1" customWidth="1"/>
    <col min="13322" max="13322" width="2.28515625" style="1" customWidth="1"/>
    <col min="13323" max="13323" width="35.5703125" style="1" customWidth="1"/>
    <col min="13324" max="13324" width="12" style="1" customWidth="1"/>
    <col min="13325" max="13325" width="2.7109375" style="1" customWidth="1"/>
    <col min="13326" max="13326" width="32" style="1" bestFit="1" customWidth="1"/>
    <col min="13327" max="13327" width="11.42578125" style="1" bestFit="1" customWidth="1"/>
    <col min="13328" max="13568" width="9.140625" style="1"/>
    <col min="13569" max="13569" width="1.7109375" style="1" customWidth="1"/>
    <col min="13570" max="13570" width="22.140625" style="1" customWidth="1"/>
    <col min="13571" max="13571" width="7.85546875" style="1" customWidth="1"/>
    <col min="13572" max="13572" width="2.5703125" style="1" customWidth="1"/>
    <col min="13573" max="13573" width="29.28515625" style="1" bestFit="1" customWidth="1"/>
    <col min="13574" max="13574" width="11.42578125" style="1" customWidth="1"/>
    <col min="13575" max="13575" width="2.5703125" style="1" customWidth="1"/>
    <col min="13576" max="13576" width="25.42578125" style="1" customWidth="1"/>
    <col min="13577" max="13577" width="12.140625" style="1" customWidth="1"/>
    <col min="13578" max="13578" width="2.28515625" style="1" customWidth="1"/>
    <col min="13579" max="13579" width="35.5703125" style="1" customWidth="1"/>
    <col min="13580" max="13580" width="12" style="1" customWidth="1"/>
    <col min="13581" max="13581" width="2.7109375" style="1" customWidth="1"/>
    <col min="13582" max="13582" width="32" style="1" bestFit="1" customWidth="1"/>
    <col min="13583" max="13583" width="11.42578125" style="1" bestFit="1" customWidth="1"/>
    <col min="13584" max="13824" width="9.140625" style="1"/>
    <col min="13825" max="13825" width="1.7109375" style="1" customWidth="1"/>
    <col min="13826" max="13826" width="22.140625" style="1" customWidth="1"/>
    <col min="13827" max="13827" width="7.85546875" style="1" customWidth="1"/>
    <col min="13828" max="13828" width="2.5703125" style="1" customWidth="1"/>
    <col min="13829" max="13829" width="29.28515625" style="1" bestFit="1" customWidth="1"/>
    <col min="13830" max="13830" width="11.42578125" style="1" customWidth="1"/>
    <col min="13831" max="13831" width="2.5703125" style="1" customWidth="1"/>
    <col min="13832" max="13832" width="25.42578125" style="1" customWidth="1"/>
    <col min="13833" max="13833" width="12.140625" style="1" customWidth="1"/>
    <col min="13834" max="13834" width="2.28515625" style="1" customWidth="1"/>
    <col min="13835" max="13835" width="35.5703125" style="1" customWidth="1"/>
    <col min="13836" max="13836" width="12" style="1" customWidth="1"/>
    <col min="13837" max="13837" width="2.7109375" style="1" customWidth="1"/>
    <col min="13838" max="13838" width="32" style="1" bestFit="1" customWidth="1"/>
    <col min="13839" max="13839" width="11.42578125" style="1" bestFit="1" customWidth="1"/>
    <col min="13840" max="14080" width="9.140625" style="1"/>
    <col min="14081" max="14081" width="1.7109375" style="1" customWidth="1"/>
    <col min="14082" max="14082" width="22.140625" style="1" customWidth="1"/>
    <col min="14083" max="14083" width="7.85546875" style="1" customWidth="1"/>
    <col min="14084" max="14084" width="2.5703125" style="1" customWidth="1"/>
    <col min="14085" max="14085" width="29.28515625" style="1" bestFit="1" customWidth="1"/>
    <col min="14086" max="14086" width="11.42578125" style="1" customWidth="1"/>
    <col min="14087" max="14087" width="2.5703125" style="1" customWidth="1"/>
    <col min="14088" max="14088" width="25.42578125" style="1" customWidth="1"/>
    <col min="14089" max="14089" width="12.140625" style="1" customWidth="1"/>
    <col min="14090" max="14090" width="2.28515625" style="1" customWidth="1"/>
    <col min="14091" max="14091" width="35.5703125" style="1" customWidth="1"/>
    <col min="14092" max="14092" width="12" style="1" customWidth="1"/>
    <col min="14093" max="14093" width="2.7109375" style="1" customWidth="1"/>
    <col min="14094" max="14094" width="32" style="1" bestFit="1" customWidth="1"/>
    <col min="14095" max="14095" width="11.42578125" style="1" bestFit="1" customWidth="1"/>
    <col min="14096" max="14336" width="9.140625" style="1"/>
    <col min="14337" max="14337" width="1.7109375" style="1" customWidth="1"/>
    <col min="14338" max="14338" width="22.140625" style="1" customWidth="1"/>
    <col min="14339" max="14339" width="7.85546875" style="1" customWidth="1"/>
    <col min="14340" max="14340" width="2.5703125" style="1" customWidth="1"/>
    <col min="14341" max="14341" width="29.28515625" style="1" bestFit="1" customWidth="1"/>
    <col min="14342" max="14342" width="11.42578125" style="1" customWidth="1"/>
    <col min="14343" max="14343" width="2.5703125" style="1" customWidth="1"/>
    <col min="14344" max="14344" width="25.42578125" style="1" customWidth="1"/>
    <col min="14345" max="14345" width="12.140625" style="1" customWidth="1"/>
    <col min="14346" max="14346" width="2.28515625" style="1" customWidth="1"/>
    <col min="14347" max="14347" width="35.5703125" style="1" customWidth="1"/>
    <col min="14348" max="14348" width="12" style="1" customWidth="1"/>
    <col min="14349" max="14349" width="2.7109375" style="1" customWidth="1"/>
    <col min="14350" max="14350" width="32" style="1" bestFit="1" customWidth="1"/>
    <col min="14351" max="14351" width="11.42578125" style="1" bestFit="1" customWidth="1"/>
    <col min="14352" max="14592" width="9.140625" style="1"/>
    <col min="14593" max="14593" width="1.7109375" style="1" customWidth="1"/>
    <col min="14594" max="14594" width="22.140625" style="1" customWidth="1"/>
    <col min="14595" max="14595" width="7.85546875" style="1" customWidth="1"/>
    <col min="14596" max="14596" width="2.5703125" style="1" customWidth="1"/>
    <col min="14597" max="14597" width="29.28515625" style="1" bestFit="1" customWidth="1"/>
    <col min="14598" max="14598" width="11.42578125" style="1" customWidth="1"/>
    <col min="14599" max="14599" width="2.5703125" style="1" customWidth="1"/>
    <col min="14600" max="14600" width="25.42578125" style="1" customWidth="1"/>
    <col min="14601" max="14601" width="12.140625" style="1" customWidth="1"/>
    <col min="14602" max="14602" width="2.28515625" style="1" customWidth="1"/>
    <col min="14603" max="14603" width="35.5703125" style="1" customWidth="1"/>
    <col min="14604" max="14604" width="12" style="1" customWidth="1"/>
    <col min="14605" max="14605" width="2.7109375" style="1" customWidth="1"/>
    <col min="14606" max="14606" width="32" style="1" bestFit="1" customWidth="1"/>
    <col min="14607" max="14607" width="11.42578125" style="1" bestFit="1" customWidth="1"/>
    <col min="14608" max="14848" width="9.140625" style="1"/>
    <col min="14849" max="14849" width="1.7109375" style="1" customWidth="1"/>
    <col min="14850" max="14850" width="22.140625" style="1" customWidth="1"/>
    <col min="14851" max="14851" width="7.85546875" style="1" customWidth="1"/>
    <col min="14852" max="14852" width="2.5703125" style="1" customWidth="1"/>
    <col min="14853" max="14853" width="29.28515625" style="1" bestFit="1" customWidth="1"/>
    <col min="14854" max="14854" width="11.42578125" style="1" customWidth="1"/>
    <col min="14855" max="14855" width="2.5703125" style="1" customWidth="1"/>
    <col min="14856" max="14856" width="25.42578125" style="1" customWidth="1"/>
    <col min="14857" max="14857" width="12.140625" style="1" customWidth="1"/>
    <col min="14858" max="14858" width="2.28515625" style="1" customWidth="1"/>
    <col min="14859" max="14859" width="35.5703125" style="1" customWidth="1"/>
    <col min="14860" max="14860" width="12" style="1" customWidth="1"/>
    <col min="14861" max="14861" width="2.7109375" style="1" customWidth="1"/>
    <col min="14862" max="14862" width="32" style="1" bestFit="1" customWidth="1"/>
    <col min="14863" max="14863" width="11.42578125" style="1" bestFit="1" customWidth="1"/>
    <col min="14864" max="15104" width="9.140625" style="1"/>
    <col min="15105" max="15105" width="1.7109375" style="1" customWidth="1"/>
    <col min="15106" max="15106" width="22.140625" style="1" customWidth="1"/>
    <col min="15107" max="15107" width="7.85546875" style="1" customWidth="1"/>
    <col min="15108" max="15108" width="2.5703125" style="1" customWidth="1"/>
    <col min="15109" max="15109" width="29.28515625" style="1" bestFit="1" customWidth="1"/>
    <col min="15110" max="15110" width="11.42578125" style="1" customWidth="1"/>
    <col min="15111" max="15111" width="2.5703125" style="1" customWidth="1"/>
    <col min="15112" max="15112" width="25.42578125" style="1" customWidth="1"/>
    <col min="15113" max="15113" width="12.140625" style="1" customWidth="1"/>
    <col min="15114" max="15114" width="2.28515625" style="1" customWidth="1"/>
    <col min="15115" max="15115" width="35.5703125" style="1" customWidth="1"/>
    <col min="15116" max="15116" width="12" style="1" customWidth="1"/>
    <col min="15117" max="15117" width="2.7109375" style="1" customWidth="1"/>
    <col min="15118" max="15118" width="32" style="1" bestFit="1" customWidth="1"/>
    <col min="15119" max="15119" width="11.42578125" style="1" bestFit="1" customWidth="1"/>
    <col min="15120" max="15360" width="9.140625" style="1"/>
    <col min="15361" max="15361" width="1.7109375" style="1" customWidth="1"/>
    <col min="15362" max="15362" width="22.140625" style="1" customWidth="1"/>
    <col min="15363" max="15363" width="7.85546875" style="1" customWidth="1"/>
    <col min="15364" max="15364" width="2.5703125" style="1" customWidth="1"/>
    <col min="15365" max="15365" width="29.28515625" style="1" bestFit="1" customWidth="1"/>
    <col min="15366" max="15366" width="11.42578125" style="1" customWidth="1"/>
    <col min="15367" max="15367" width="2.5703125" style="1" customWidth="1"/>
    <col min="15368" max="15368" width="25.42578125" style="1" customWidth="1"/>
    <col min="15369" max="15369" width="12.140625" style="1" customWidth="1"/>
    <col min="15370" max="15370" width="2.28515625" style="1" customWidth="1"/>
    <col min="15371" max="15371" width="35.5703125" style="1" customWidth="1"/>
    <col min="15372" max="15372" width="12" style="1" customWidth="1"/>
    <col min="15373" max="15373" width="2.7109375" style="1" customWidth="1"/>
    <col min="15374" max="15374" width="32" style="1" bestFit="1" customWidth="1"/>
    <col min="15375" max="15375" width="11.42578125" style="1" bestFit="1" customWidth="1"/>
    <col min="15376" max="15616" width="9.140625" style="1"/>
    <col min="15617" max="15617" width="1.7109375" style="1" customWidth="1"/>
    <col min="15618" max="15618" width="22.140625" style="1" customWidth="1"/>
    <col min="15619" max="15619" width="7.85546875" style="1" customWidth="1"/>
    <col min="15620" max="15620" width="2.5703125" style="1" customWidth="1"/>
    <col min="15621" max="15621" width="29.28515625" style="1" bestFit="1" customWidth="1"/>
    <col min="15622" max="15622" width="11.42578125" style="1" customWidth="1"/>
    <col min="15623" max="15623" width="2.5703125" style="1" customWidth="1"/>
    <col min="15624" max="15624" width="25.42578125" style="1" customWidth="1"/>
    <col min="15625" max="15625" width="12.140625" style="1" customWidth="1"/>
    <col min="15626" max="15626" width="2.28515625" style="1" customWidth="1"/>
    <col min="15627" max="15627" width="35.5703125" style="1" customWidth="1"/>
    <col min="15628" max="15628" width="12" style="1" customWidth="1"/>
    <col min="15629" max="15629" width="2.7109375" style="1" customWidth="1"/>
    <col min="15630" max="15630" width="32" style="1" bestFit="1" customWidth="1"/>
    <col min="15631" max="15631" width="11.42578125" style="1" bestFit="1" customWidth="1"/>
    <col min="15632" max="15872" width="9.140625" style="1"/>
    <col min="15873" max="15873" width="1.7109375" style="1" customWidth="1"/>
    <col min="15874" max="15874" width="22.140625" style="1" customWidth="1"/>
    <col min="15875" max="15875" width="7.85546875" style="1" customWidth="1"/>
    <col min="15876" max="15876" width="2.5703125" style="1" customWidth="1"/>
    <col min="15877" max="15877" width="29.28515625" style="1" bestFit="1" customWidth="1"/>
    <col min="15878" max="15878" width="11.42578125" style="1" customWidth="1"/>
    <col min="15879" max="15879" width="2.5703125" style="1" customWidth="1"/>
    <col min="15880" max="15880" width="25.42578125" style="1" customWidth="1"/>
    <col min="15881" max="15881" width="12.140625" style="1" customWidth="1"/>
    <col min="15882" max="15882" width="2.28515625" style="1" customWidth="1"/>
    <col min="15883" max="15883" width="35.5703125" style="1" customWidth="1"/>
    <col min="15884" max="15884" width="12" style="1" customWidth="1"/>
    <col min="15885" max="15885" width="2.7109375" style="1" customWidth="1"/>
    <col min="15886" max="15886" width="32" style="1" bestFit="1" customWidth="1"/>
    <col min="15887" max="15887" width="11.42578125" style="1" bestFit="1" customWidth="1"/>
    <col min="15888" max="16128" width="9.140625" style="1"/>
    <col min="16129" max="16129" width="1.7109375" style="1" customWidth="1"/>
    <col min="16130" max="16130" width="22.140625" style="1" customWidth="1"/>
    <col min="16131" max="16131" width="7.85546875" style="1" customWidth="1"/>
    <col min="16132" max="16132" width="2.5703125" style="1" customWidth="1"/>
    <col min="16133" max="16133" width="29.28515625" style="1" bestFit="1" customWidth="1"/>
    <col min="16134" max="16134" width="11.42578125" style="1" customWidth="1"/>
    <col min="16135" max="16135" width="2.5703125" style="1" customWidth="1"/>
    <col min="16136" max="16136" width="25.42578125" style="1" customWidth="1"/>
    <col min="16137" max="16137" width="12.140625" style="1" customWidth="1"/>
    <col min="16138" max="16138" width="2.28515625" style="1" customWidth="1"/>
    <col min="16139" max="16139" width="35.5703125" style="1" customWidth="1"/>
    <col min="16140" max="16140" width="12" style="1" customWidth="1"/>
    <col min="16141" max="16141" width="2.7109375" style="1" customWidth="1"/>
    <col min="16142" max="16142" width="32" style="1" bestFit="1" customWidth="1"/>
    <col min="16143" max="16143" width="11.42578125" style="1" bestFit="1" customWidth="1"/>
    <col min="16144" max="16384" width="9.140625" style="1"/>
  </cols>
  <sheetData>
    <row r="1" spans="1:25" x14ac:dyDescent="0.25">
      <c r="B1" s="2" t="s">
        <v>261</v>
      </c>
      <c r="C1" s="108" t="str">
        <f>[1]!RCHGetElementNumber(Ticker,13863)</f>
        <v>The Toronto-Dominion Bank</v>
      </c>
      <c r="D1" s="109"/>
      <c r="E1" s="109"/>
      <c r="F1" s="109"/>
      <c r="G1" s="3"/>
      <c r="H1" s="110" t="str">
        <f>"Industry Group = " &amp; [1]!RCHGetElementNumber(Ticker,850)</f>
        <v>Industry Group = Banks - Foreign</v>
      </c>
      <c r="I1" s="111"/>
      <c r="J1" s="111"/>
      <c r="K1" s="111"/>
      <c r="L1" s="3"/>
      <c r="M1" s="4"/>
      <c r="N1" s="104" t="str">
        <f>"Sector = "&amp; PROPER([1]!RCHGetElementNumber(Ticker,2152))</f>
        <v>Sector = Banks</v>
      </c>
      <c r="O1" s="105"/>
      <c r="P1" s="5"/>
      <c r="Q1" s="5"/>
      <c r="R1" s="5"/>
      <c r="S1" s="5"/>
      <c r="T1" s="5"/>
    </row>
    <row r="2" spans="1:25" ht="15" customHeight="1" x14ac:dyDescent="0.25">
      <c r="A2" s="6"/>
      <c r="B2" s="7" t="s">
        <v>0</v>
      </c>
      <c r="C2" s="89">
        <f>[1]!RCHGetElementNumber(Ticker,15)</f>
        <v>56.61</v>
      </c>
      <c r="D2" s="9"/>
      <c r="E2" s="96" t="s">
        <v>1</v>
      </c>
      <c r="F2" s="96"/>
      <c r="G2" s="10"/>
      <c r="K2" s="106" t="s">
        <v>2</v>
      </c>
      <c r="L2" s="107"/>
      <c r="M2" s="6"/>
      <c r="N2" s="96" t="s">
        <v>3</v>
      </c>
      <c r="O2" s="96"/>
      <c r="P2" s="10"/>
      <c r="Q2" s="100" t="s">
        <v>4</v>
      </c>
      <c r="R2" s="100"/>
      <c r="S2" s="100"/>
      <c r="T2" s="101"/>
    </row>
    <row r="3" spans="1:25" ht="15" customHeight="1" x14ac:dyDescent="0.25">
      <c r="A3" s="6"/>
      <c r="B3" s="7" t="s">
        <v>5</v>
      </c>
      <c r="C3" s="17">
        <f>[1]!RCHGetElementNumber(Ticker,17)</f>
        <v>0.52999879999999999</v>
      </c>
      <c r="D3" s="11"/>
      <c r="E3" s="7" t="s">
        <v>6</v>
      </c>
      <c r="F3" s="8">
        <f>[1]!RCHGetElementNumber(Ticker,814)</f>
        <v>56.55</v>
      </c>
      <c r="G3" s="12"/>
      <c r="J3" s="12"/>
      <c r="K3" s="7" t="s">
        <v>7</v>
      </c>
      <c r="L3" s="13">
        <f>[1]!RCHGetElementNumber(Ticker,1243)</f>
        <v>-0.1235</v>
      </c>
      <c r="M3" s="12"/>
      <c r="N3" s="7" t="s">
        <v>8</v>
      </c>
      <c r="O3" s="14"/>
      <c r="P3" s="10"/>
      <c r="Q3" t="str">
        <f>[1]!RCHGetElementNumber(Ticker,853)</f>
        <v>10/2024</v>
      </c>
      <c r="R3" s="15" t="s">
        <v>9</v>
      </c>
      <c r="S3" t="str">
        <f>[1]!RCHGetElementNumber(Ticker,865)</f>
        <v>10/2024</v>
      </c>
      <c r="T3" s="15" t="s">
        <v>10</v>
      </c>
    </row>
    <row r="4" spans="1:25" ht="15" customHeight="1" x14ac:dyDescent="0.25">
      <c r="A4" s="6"/>
      <c r="B4" s="7" t="s">
        <v>11</v>
      </c>
      <c r="C4" s="112">
        <f>[1]!RCHGetElementNumber(Ticker,52)</f>
        <v>9.4507624999999994E-3</v>
      </c>
      <c r="D4" s="16"/>
      <c r="E4" s="7" t="s">
        <v>12</v>
      </c>
      <c r="F4" s="17">
        <f>[1]!RCHGetElementNumber(Ticker,807)</f>
        <v>56.9</v>
      </c>
      <c r="G4" s="12"/>
      <c r="J4" s="12"/>
      <c r="K4" s="7" t="s">
        <v>13</v>
      </c>
      <c r="L4" s="13">
        <f>[1]!RCHGetElementNumber(Ticker,1218)</f>
        <v>-2.5999999999999999E-3</v>
      </c>
      <c r="M4" s="12"/>
      <c r="N4" s="7" t="s">
        <v>14</v>
      </c>
      <c r="O4" s="18" t="str">
        <f>[1]!RCHGetElementNumber(Ticker,950)</f>
        <v>10/31/2023</v>
      </c>
      <c r="P4" s="10"/>
      <c r="Q4" t="s">
        <v>15</v>
      </c>
      <c r="R4" s="15">
        <f>[1]!RCHGetElementNumber(Ticker,854)</f>
        <v>1.28</v>
      </c>
      <c r="S4" t="s">
        <v>15</v>
      </c>
      <c r="T4" s="15">
        <f>[1]!RCHGetElementNumber(Ticker,866)</f>
        <v>5.67</v>
      </c>
    </row>
    <row r="5" spans="1:25" ht="15" customHeight="1" x14ac:dyDescent="0.25">
      <c r="A5" s="6"/>
      <c r="B5" s="7" t="s">
        <v>16</v>
      </c>
      <c r="C5" s="8">
        <f>[1]!RCHGetElementNumber(Ticker,15)</f>
        <v>56.61</v>
      </c>
      <c r="D5" s="19"/>
      <c r="E5" s="7" t="s">
        <v>17</v>
      </c>
      <c r="F5" s="17">
        <f>[1]!RCHGetElementNumber(Ticker,808)</f>
        <v>57.16</v>
      </c>
      <c r="G5" s="12"/>
      <c r="J5" s="12"/>
      <c r="K5" s="7" t="s">
        <v>18</v>
      </c>
      <c r="L5" s="13">
        <f>[1]!RCHGetElementNumber(Ticker,1223)</f>
        <v>3.8999999999999998E-3</v>
      </c>
      <c r="M5" s="12"/>
      <c r="N5" s="7" t="s">
        <v>19</v>
      </c>
      <c r="O5" s="18" t="str">
        <f>[1]!RCHGetElementNumber(Ticker,951)</f>
        <v>7/31/2024</v>
      </c>
      <c r="P5" s="10"/>
      <c r="Q5" t="s">
        <v>20</v>
      </c>
      <c r="R5" s="15">
        <f>[1]!RCHGetElementNumber(Ticker,855)</f>
        <v>1.4</v>
      </c>
      <c r="S5" t="s">
        <v>20</v>
      </c>
      <c r="T5" s="15">
        <f>[1]!RCHGetElementNumber(Ticker,867)</f>
        <v>5.87</v>
      </c>
      <c r="Y5" s="20"/>
    </row>
    <row r="6" spans="1:25" ht="15" customHeight="1" x14ac:dyDescent="0.25">
      <c r="A6" s="6"/>
      <c r="B6" s="7" t="s">
        <v>20</v>
      </c>
      <c r="C6" s="8">
        <f>[1]!RCHGetElementNumber(Ticker,19)</f>
        <v>56.804000000000002</v>
      </c>
      <c r="D6" s="19"/>
      <c r="E6" s="7" t="s">
        <v>21</v>
      </c>
      <c r="F6" s="17">
        <f>[1]!RCHGetElementNumber(Ticker,809)</f>
        <v>56.29</v>
      </c>
      <c r="G6" s="12"/>
      <c r="J6" s="12"/>
      <c r="K6" s="7" t="s">
        <v>22</v>
      </c>
      <c r="L6" s="13">
        <f>[1]!RCHGetElementNumber(Ticker,1228)</f>
        <v>-6.4100000000000004E-2</v>
      </c>
      <c r="M6" s="12"/>
      <c r="N6" s="7" t="s">
        <v>23</v>
      </c>
      <c r="O6" s="18" t="str">
        <f>[1]!RCHGetElementNumber(Ticker,1285)</f>
        <v>Dec 5, 2024</v>
      </c>
      <c r="P6" s="10"/>
      <c r="Q6" t="s">
        <v>24</v>
      </c>
      <c r="R6" s="15">
        <f>[1]!RCHGetElementNumber(Ticker,856)</f>
        <v>1.35</v>
      </c>
      <c r="S6" t="s">
        <v>24</v>
      </c>
      <c r="T6" s="15">
        <f>[1]!RCHGetElementNumber(Ticker,868)</f>
        <v>5.8</v>
      </c>
    </row>
    <row r="7" spans="1:25" ht="15" customHeight="1" x14ac:dyDescent="0.25">
      <c r="A7" s="6"/>
      <c r="B7" s="7" t="s">
        <v>15</v>
      </c>
      <c r="C7" s="8">
        <f>[1]!RCHGetElementNumber(Ticker,15)</f>
        <v>56.61</v>
      </c>
      <c r="D7" s="21"/>
      <c r="E7" s="7" t="s">
        <v>25</v>
      </c>
      <c r="F7" s="17">
        <f>[1]!RCHGetElementNumber(Ticker,810)</f>
        <v>55.94</v>
      </c>
      <c r="G7" s="12"/>
      <c r="J7" s="12"/>
      <c r="K7" s="7" t="s">
        <v>26</v>
      </c>
      <c r="L7" s="13">
        <f>[1]!RCHGetElementNumber(Ticker,1233)</f>
        <v>3.5499999999999997E-2</v>
      </c>
      <c r="M7" s="12"/>
      <c r="N7" s="7" t="s">
        <v>27</v>
      </c>
      <c r="O7" s="14"/>
      <c r="P7" s="10"/>
      <c r="Q7" t="s">
        <v>28</v>
      </c>
      <c r="R7" s="15">
        <f>[1]!RCHGetElementNumber(Ticker,857)</f>
        <v>1.35</v>
      </c>
      <c r="S7" t="s">
        <v>28</v>
      </c>
      <c r="T7" s="15">
        <f>[1]!RCHGetElementNumber(Ticker,869)</f>
        <v>5.92</v>
      </c>
    </row>
    <row r="8" spans="1:25" ht="15" customHeight="1" x14ac:dyDescent="0.25">
      <c r="A8" s="6"/>
      <c r="B8" s="7" t="s">
        <v>29</v>
      </c>
      <c r="C8" s="25">
        <f>[1]!RCHGetElementNumber(Ticker,21)</f>
        <v>912269</v>
      </c>
      <c r="D8" s="21"/>
      <c r="E8" s="96" t="s">
        <v>30</v>
      </c>
      <c r="F8" s="96"/>
      <c r="G8" s="12"/>
      <c r="J8" s="12"/>
      <c r="K8" s="22"/>
      <c r="L8" s="22"/>
      <c r="M8" s="12"/>
      <c r="N8" s="7" t="s">
        <v>31</v>
      </c>
      <c r="O8" s="23">
        <f>[1]!RCHGetElementNumber(Ticker,952)</f>
        <v>0.15720000000000001</v>
      </c>
      <c r="P8" s="10"/>
      <c r="Q8" t="s">
        <v>32</v>
      </c>
      <c r="R8" s="24">
        <f>[1]!RCHGetElementNumber(Ticker,858)</f>
        <v>0</v>
      </c>
      <c r="S8" t="s">
        <v>32</v>
      </c>
      <c r="T8" s="24">
        <f>[1]!RCHGetElementNumber(Ticker,870)</f>
        <v>-2.0299999999999999E-2</v>
      </c>
    </row>
    <row r="9" spans="1:25" ht="15" customHeight="1" x14ac:dyDescent="0.25">
      <c r="A9" s="6"/>
      <c r="B9" s="7" t="s">
        <v>33</v>
      </c>
      <c r="C9" s="25">
        <f>[1]!RCHGetElementNumber(Ticker,980)</f>
        <v>1840</v>
      </c>
      <c r="D9" s="21"/>
      <c r="E9" s="26" t="s">
        <v>34</v>
      </c>
      <c r="F9" s="27">
        <f>[1]!RCHGetElementNumber(Ticker,2185)</f>
        <v>0.56000000000000005</v>
      </c>
      <c r="G9" s="12"/>
      <c r="J9" s="12"/>
      <c r="K9" s="96" t="s">
        <v>35</v>
      </c>
      <c r="L9" s="96"/>
      <c r="M9" s="12"/>
      <c r="N9" s="7" t="s">
        <v>36</v>
      </c>
      <c r="O9" s="23">
        <f>[1]!RCHGetElementNumber(Ticker,953)</f>
        <v>5.3900000000000003E-2</v>
      </c>
      <c r="P9" s="10"/>
      <c r="Q9" t="str">
        <f>[1]!RCHGetElementNumber(Ticker,859)</f>
        <v>1/2025</v>
      </c>
      <c r="R9" s="15" t="s">
        <v>9</v>
      </c>
      <c r="S9" t="str">
        <f>[1]!RCHGetElementNumber(Ticker,871)</f>
        <v>10/2025</v>
      </c>
      <c r="T9" s="15"/>
    </row>
    <row r="10" spans="1:25" ht="15" customHeight="1" x14ac:dyDescent="0.25">
      <c r="A10" s="6"/>
      <c r="B10" s="7" t="s">
        <v>37</v>
      </c>
      <c r="C10" s="25">
        <f>[1]!RCHGetElementNumber(Ticker,979)</f>
        <v>2640</v>
      </c>
      <c r="D10" s="21"/>
      <c r="E10" s="26" t="s">
        <v>38</v>
      </c>
      <c r="F10" s="28">
        <f>[1]!RCHGetElementNumber(Ticker,975)</f>
        <v>65.12</v>
      </c>
      <c r="G10" s="12"/>
      <c r="J10" s="12"/>
      <c r="K10" s="7" t="s">
        <v>39</v>
      </c>
      <c r="L10" s="29">
        <f>[1]!RCHGetElementNumber(Ticker,27)</f>
        <v>88.706999999999994</v>
      </c>
      <c r="M10" s="12"/>
      <c r="N10" s="7" t="s">
        <v>40</v>
      </c>
      <c r="O10" s="14"/>
      <c r="P10" s="10"/>
      <c r="Q10" t="s">
        <v>15</v>
      </c>
      <c r="R10" s="15" t="str">
        <f>[1]!RCHGetElementNumber($B$1,860)</f>
        <v>NA</v>
      </c>
      <c r="S10" t="s">
        <v>15</v>
      </c>
      <c r="T10" s="15">
        <f>[1]!RCHGetElementNumber($B$1,872)</f>
        <v>5.71</v>
      </c>
    </row>
    <row r="11" spans="1:25" ht="15" customHeight="1" x14ac:dyDescent="0.25">
      <c r="B11" s="7" t="s">
        <v>41</v>
      </c>
      <c r="C11" s="8" t="str">
        <f>[1]!RCHGetElementNumber(Ticker,832)</f>
        <v>Below</v>
      </c>
      <c r="D11" s="30"/>
      <c r="E11" s="26" t="s">
        <v>42</v>
      </c>
      <c r="F11" s="28">
        <f>[1]!RCHGetElementNumber(Ticker,976)</f>
        <v>53.52</v>
      </c>
      <c r="G11" s="12"/>
      <c r="J11" s="12"/>
      <c r="K11" s="7" t="s">
        <v>43</v>
      </c>
      <c r="L11" s="31">
        <f>(L10-C2)/C2</f>
        <v>0.56698463169051394</v>
      </c>
      <c r="M11" s="12"/>
      <c r="N11" s="7" t="s">
        <v>44</v>
      </c>
      <c r="O11" s="23">
        <f>[1]!RCHGetElementNumber(Ticker,954)</f>
        <v>4.3E-3</v>
      </c>
      <c r="P11" s="10"/>
      <c r="Q11" t="s">
        <v>20</v>
      </c>
      <c r="R11" s="15" t="str">
        <f t="array" ref="R11">[1]!RCHGetElementNumber($B$1,861)</f>
        <v>NA</v>
      </c>
      <c r="S11" t="s">
        <v>20</v>
      </c>
      <c r="T11" s="15">
        <f>[1]!RCHGetElementNumber($B$1,873)</f>
        <v>6.22</v>
      </c>
      <c r="Y11" s="20"/>
    </row>
    <row r="12" spans="1:25" ht="15" customHeight="1" x14ac:dyDescent="0.25">
      <c r="B12" s="7" t="s">
        <v>45</v>
      </c>
      <c r="C12" s="8" t="str">
        <f>[1]!RCHGetElementNumber(Ticker,831)</f>
        <v>Below</v>
      </c>
      <c r="D12" s="30"/>
      <c r="E12" s="26" t="s">
        <v>46</v>
      </c>
      <c r="F12" s="28">
        <f>[1]!RCHGetElementNumber(Ticker,977)</f>
        <v>59.63</v>
      </c>
      <c r="G12" s="12"/>
      <c r="H12" s="22"/>
      <c r="I12" s="22"/>
      <c r="J12" s="12"/>
      <c r="K12" s="7" t="s">
        <v>47</v>
      </c>
      <c r="L12" s="29">
        <f>[1]!RCHGetElementNumber(Ticker,849)</f>
        <v>63.41</v>
      </c>
      <c r="M12" s="12"/>
      <c r="N12" s="7" t="s">
        <v>48</v>
      </c>
      <c r="O12" s="23">
        <f t="array" ref="O12">[1]!RCHGetElementNumber(Ticker,955)</f>
        <v>7.3300000000000004E-2</v>
      </c>
      <c r="P12" s="10"/>
      <c r="Q12" t="s">
        <v>24</v>
      </c>
      <c r="R12" s="15" t="str">
        <f>[1]!RCHGetElementNumber($B$1,862)</f>
        <v>NA</v>
      </c>
      <c r="S12" t="s">
        <v>24</v>
      </c>
      <c r="T12" s="15">
        <f>[1]!RCHGetElementNumber($B$1,874)</f>
        <v>5.99</v>
      </c>
    </row>
    <row r="13" spans="1:25" ht="15" customHeight="1" x14ac:dyDescent="0.25">
      <c r="D13" s="30"/>
      <c r="E13" s="26" t="s">
        <v>49</v>
      </c>
      <c r="F13" s="28">
        <f>[1]!RCHGetElementNumber(Ticker,978)</f>
        <v>58.29</v>
      </c>
      <c r="G13" s="12"/>
      <c r="H13" s="96" t="s">
        <v>50</v>
      </c>
      <c r="I13" s="96"/>
      <c r="J13" s="12"/>
      <c r="K13" s="7" t="s">
        <v>51</v>
      </c>
      <c r="L13" s="31">
        <f>(L12-C2)/C2</f>
        <v>0.12012012012012008</v>
      </c>
      <c r="M13" s="12"/>
      <c r="N13" s="7" t="s">
        <v>52</v>
      </c>
      <c r="O13" s="14"/>
      <c r="P13" s="10"/>
      <c r="Q13" t="s">
        <v>28</v>
      </c>
      <c r="R13" s="15">
        <f>[1]!RCHGetElementNumber($B$1,863)</f>
        <v>1.47</v>
      </c>
      <c r="S13" t="s">
        <v>28</v>
      </c>
      <c r="T13" s="15">
        <f>[1]!RCHGetElementNumber($B$1,875)</f>
        <v>5.8</v>
      </c>
    </row>
    <row r="14" spans="1:25" ht="15" customHeight="1" x14ac:dyDescent="0.4">
      <c r="B14" s="22"/>
      <c r="C14" s="33"/>
      <c r="E14" s="35"/>
      <c r="F14" s="36"/>
      <c r="G14" s="6"/>
      <c r="H14" s="7" t="s">
        <v>53</v>
      </c>
      <c r="I14" s="25">
        <f>[1]!RCHGetElementNumber(Ticker,981)</f>
        <v>1750000</v>
      </c>
      <c r="J14" s="10"/>
      <c r="K14" s="35"/>
      <c r="L14" s="35"/>
      <c r="M14" s="6"/>
      <c r="N14" s="7" t="s">
        <v>54</v>
      </c>
      <c r="O14" s="37">
        <f>[1]!RCHGetElementNumber(Ticker,956)</f>
        <v>52310000</v>
      </c>
      <c r="P14" s="10"/>
      <c r="Q14" t="s">
        <v>32</v>
      </c>
      <c r="R14" s="24" t="str">
        <f>[1]!RCHGetElementNumber($B$1,864)</f>
        <v>NA</v>
      </c>
      <c r="S14" t="s">
        <v>32</v>
      </c>
      <c r="T14" s="24">
        <f>[1]!RCHGetElementNumber($B$1,876)</f>
        <v>3.3599999999999998E-2</v>
      </c>
      <c r="Y14" s="38" t="str">
        <f t="array" ref="Y14">[1]!RCHGetHTMLTable("https://www.zacks.com/stock/quote/TSLA/detailed-earning-estimates","Magnitude - Consensus Estimate Trend",1)</f>
        <v/>
      </c>
    </row>
    <row r="15" spans="1:25" ht="15" customHeight="1" x14ac:dyDescent="0.4">
      <c r="A15" s="6"/>
      <c r="B15" s="96" t="s">
        <v>55</v>
      </c>
      <c r="C15" s="96"/>
      <c r="D15" s="39"/>
      <c r="E15" s="96" t="s">
        <v>56</v>
      </c>
      <c r="F15" s="96"/>
      <c r="G15" s="12"/>
      <c r="H15" s="7" t="s">
        <v>57</v>
      </c>
      <c r="I15" s="25">
        <f>[1]!RCHGetElementNumber(Ticker,982)</f>
        <v>1700000</v>
      </c>
      <c r="J15" s="12"/>
      <c r="K15" s="96" t="s">
        <v>58</v>
      </c>
      <c r="L15" s="96"/>
      <c r="M15" s="12"/>
      <c r="N15" s="7" t="s">
        <v>59</v>
      </c>
      <c r="O15" s="40">
        <f>[1]!RCHGetElementNumber(Ticker,957)</f>
        <v>29.5</v>
      </c>
      <c r="P15" s="10"/>
    </row>
    <row r="16" spans="1:25" ht="15" customHeight="1" x14ac:dyDescent="0.4">
      <c r="A16" s="6"/>
      <c r="B16" s="7" t="s">
        <v>55</v>
      </c>
      <c r="C16" s="8">
        <f>[1]!RCHGetElementNumber(Ticker,543)</f>
        <v>6</v>
      </c>
      <c r="D16" s="39"/>
      <c r="E16" s="7" t="s">
        <v>60</v>
      </c>
      <c r="F16" s="8" t="str">
        <f>[1]!RCHGetElementNumber(Ticker,2162)</f>
        <v>B</v>
      </c>
      <c r="G16" s="12"/>
      <c r="H16" s="7" t="s">
        <v>61</v>
      </c>
      <c r="I16" s="41">
        <f>[1]!RCHGetElementNumber(Ticker,983)</f>
        <v>8.9999999999999998E-4</v>
      </c>
      <c r="J16" s="12"/>
      <c r="K16" s="7" t="s">
        <v>62</v>
      </c>
      <c r="L16" s="31">
        <f>[1]!RCHGetElementNumber(Ticker,2187)</f>
        <v>0.05</v>
      </c>
      <c r="M16" s="12"/>
      <c r="N16" s="7" t="s">
        <v>63</v>
      </c>
      <c r="O16" s="23">
        <f>[1]!RCHGetElementNumber(Ticker,958)</f>
        <v>7.9000000000000001E-2</v>
      </c>
      <c r="P16" s="10"/>
      <c r="Q16" s="42" t="s">
        <v>64</v>
      </c>
      <c r="R16" s="43"/>
      <c r="S16" s="43"/>
      <c r="T16" s="44"/>
    </row>
    <row r="17" spans="1:20" ht="15" customHeight="1" x14ac:dyDescent="0.4">
      <c r="A17" s="6"/>
      <c r="B17" s="7" t="s">
        <v>65</v>
      </c>
      <c r="C17" s="8">
        <f>[1]!RCHGetElementNumber(Ticker,544)</f>
        <v>6</v>
      </c>
      <c r="D17" s="11"/>
      <c r="E17" s="7" t="s">
        <v>66</v>
      </c>
      <c r="F17" s="8">
        <f>[1]!RCHGetElementNumber(Ticker,2159)</f>
        <v>70</v>
      </c>
      <c r="G17" s="12"/>
      <c r="H17" s="7" t="s">
        <v>67</v>
      </c>
      <c r="I17" s="41">
        <f>[1]!RCHGetElementNumber(Ticker,984)</f>
        <v>0.59609999999999996</v>
      </c>
      <c r="J17" s="12"/>
      <c r="K17" s="7" t="s">
        <v>68</v>
      </c>
      <c r="L17" s="45">
        <f>[1]!RCHGetElementNumber(Ticker,2189)</f>
        <v>-0.02</v>
      </c>
      <c r="M17" s="12"/>
      <c r="N17" s="7" t="s">
        <v>69</v>
      </c>
      <c r="O17" s="37">
        <f>[1]!RCHGetElementNumber(Ticker,959)</f>
        <v>0</v>
      </c>
      <c r="P17" s="10"/>
      <c r="Q17" s="46" t="s">
        <v>70</v>
      </c>
      <c r="R17" s="47"/>
      <c r="S17" s="48"/>
      <c r="T17" s="49">
        <f>[1]!RCHGetElementNumber(Ticker,785)</f>
        <v>2455085</v>
      </c>
    </row>
    <row r="18" spans="1:20" ht="15" customHeight="1" x14ac:dyDescent="0.4">
      <c r="A18" s="6"/>
      <c r="B18" s="7" t="s">
        <v>71</v>
      </c>
      <c r="C18" s="8">
        <f>[1]!RCHGetElementNumber(Ticker,545)</f>
        <v>5</v>
      </c>
      <c r="D18" s="11"/>
      <c r="E18" s="7" t="s">
        <v>72</v>
      </c>
      <c r="F18" s="8">
        <f>[1]!RCHGetElementNumber(Ticker,2154)</f>
        <v>67</v>
      </c>
      <c r="G18" s="12"/>
      <c r="H18" s="7" t="s">
        <v>73</v>
      </c>
      <c r="I18" s="25">
        <f>[1]!RCHGetElementNumber(Ticker,985)</f>
        <v>49950</v>
      </c>
      <c r="J18" s="12"/>
      <c r="K18" s="7" t="s">
        <v>74</v>
      </c>
      <c r="L18" s="45">
        <f>[1]!RCHGetElementNumber(Ticker,2188)</f>
        <v>0</v>
      </c>
      <c r="M18" s="12"/>
      <c r="N18" s="7" t="s">
        <v>75</v>
      </c>
      <c r="O18" s="37">
        <f>[1]!RCHGetElementNumber(Ticker,960)</f>
        <v>0</v>
      </c>
      <c r="P18" s="10"/>
      <c r="Q18" s="46" t="s">
        <v>76</v>
      </c>
      <c r="R18" s="47"/>
      <c r="S18" s="48"/>
      <c r="T18" s="49">
        <f>[1]!RCHGetElementNumber(Ticker,786)</f>
        <v>2669231</v>
      </c>
    </row>
    <row r="19" spans="1:20" ht="15" customHeight="1" x14ac:dyDescent="0.4">
      <c r="A19" s="6"/>
      <c r="B19" s="7" t="s">
        <v>77</v>
      </c>
      <c r="C19" s="8">
        <f>[1]!RCHGetElementNumber(Ticker,546)</f>
        <v>5</v>
      </c>
      <c r="D19" s="11"/>
      <c r="E19" s="7" t="s">
        <v>78</v>
      </c>
      <c r="F19" s="8">
        <f>[1]!RCHGetElementNumber(Ticker,2155)</f>
        <v>17</v>
      </c>
      <c r="G19" s="12"/>
      <c r="H19" s="7" t="s">
        <v>79</v>
      </c>
      <c r="I19" s="8">
        <f>[1]!RCHGetElementNumber(Ticker,986)</f>
        <v>5.31</v>
      </c>
      <c r="J19" s="12"/>
      <c r="K19" s="7" t="s">
        <v>80</v>
      </c>
      <c r="L19" s="8" t="str">
        <f>[1]!RCHGetElementNumber(Ticker,2165)</f>
        <v>Fail</v>
      </c>
      <c r="M19" s="12"/>
      <c r="N19" s="7" t="s">
        <v>81</v>
      </c>
      <c r="O19" s="37">
        <f>[1]!RCHGetElementNumber(Ticker,961)</f>
        <v>7690000</v>
      </c>
      <c r="P19" s="10"/>
      <c r="Q19" s="46" t="s">
        <v>82</v>
      </c>
      <c r="R19" s="47"/>
      <c r="S19" s="48"/>
      <c r="T19" s="49" t="str">
        <f>[1]!RCHGetElementNumber(Ticker,788)</f>
        <v>Increasing</v>
      </c>
    </row>
    <row r="20" spans="1:20" ht="15" customHeight="1" x14ac:dyDescent="0.4">
      <c r="A20" s="6"/>
      <c r="B20" s="7" t="s">
        <v>83</v>
      </c>
      <c r="C20" s="8" t="str">
        <f>[1]!RCHGetElementNumber(Ticker,547)</f>
        <v>F</v>
      </c>
      <c r="D20" s="11"/>
      <c r="E20" s="7" t="s">
        <v>84</v>
      </c>
      <c r="F20" s="8" t="str">
        <f>[1]!RCHGetElementNumber(Ticker,2156)</f>
        <v>MS</v>
      </c>
      <c r="G20" s="12"/>
      <c r="H20" s="7" t="s">
        <v>85</v>
      </c>
      <c r="I20" s="41">
        <f>[1]!RCHGetElementNumber(Ticker,987)</f>
        <v>0</v>
      </c>
      <c r="J20" s="12"/>
      <c r="K20" s="7" t="s">
        <v>86</v>
      </c>
      <c r="L20" s="31">
        <f>[1]!RCHGetElementNumber(Ticker,13895)</f>
        <v>5.8700000000000002E-2</v>
      </c>
      <c r="M20" s="12"/>
      <c r="N20" s="7" t="s">
        <v>87</v>
      </c>
      <c r="O20" s="40">
        <f>[1]!RCHGetElementNumber(Ticker,962)</f>
        <v>3.1</v>
      </c>
      <c r="P20" s="10"/>
      <c r="Q20" s="46" t="s">
        <v>88</v>
      </c>
      <c r="R20" s="47"/>
      <c r="S20" s="48"/>
      <c r="T20" s="49" t="str">
        <f>[1]!RCHGetElementNumber(Ticker,791)</f>
        <v>Decreasing</v>
      </c>
    </row>
    <row r="21" spans="1:20" ht="15" customHeight="1" x14ac:dyDescent="0.4">
      <c r="A21" s="6"/>
      <c r="B21" s="7" t="s">
        <v>89</v>
      </c>
      <c r="C21" s="8" t="str">
        <f>[1]!RCHGetElementNumber(Ticker,548)</f>
        <v>A</v>
      </c>
      <c r="D21" s="50"/>
      <c r="E21" s="35"/>
      <c r="F21" s="36"/>
      <c r="G21" s="6"/>
      <c r="H21" s="7" t="s">
        <v>90</v>
      </c>
      <c r="I21" s="25">
        <f>[1]!RCHGetElementNumber(Ticker,988)</f>
        <v>32110</v>
      </c>
      <c r="J21" s="12"/>
      <c r="K21" s="7" t="s">
        <v>91</v>
      </c>
      <c r="L21" s="31">
        <f>[1]!RCHGetElementNumber(Ticker,876)</f>
        <v>3.3599999999999998E-2</v>
      </c>
      <c r="M21" s="12"/>
      <c r="N21" s="7" t="s">
        <v>92</v>
      </c>
      <c r="O21" s="23">
        <f>[1]!RCHGetElementNumber(Ticker,963)</f>
        <v>0</v>
      </c>
      <c r="P21" s="10"/>
      <c r="Q21" s="46" t="s">
        <v>93</v>
      </c>
      <c r="R21" s="47"/>
      <c r="S21" s="48"/>
      <c r="T21" s="49" t="str">
        <f>[1]!RCHGetElementNumber(Ticker,794)</f>
        <v>Decreasing</v>
      </c>
    </row>
    <row r="22" spans="1:20" ht="15" customHeight="1" x14ac:dyDescent="0.4">
      <c r="A22" s="6"/>
      <c r="B22" s="7" t="s">
        <v>94</v>
      </c>
      <c r="C22" s="8" t="str">
        <f>[1]!RCHGetElementNumber(Ticker,549)</f>
        <v>C</v>
      </c>
      <c r="D22" s="11"/>
      <c r="E22" s="96" t="s">
        <v>95</v>
      </c>
      <c r="F22" s="96"/>
      <c r="G22" s="10"/>
      <c r="K22" s="35"/>
      <c r="L22" s="35"/>
      <c r="M22" s="6"/>
      <c r="N22" s="7" t="s">
        <v>96</v>
      </c>
      <c r="O22" s="14"/>
      <c r="P22" s="10"/>
      <c r="Q22" s="46" t="s">
        <v>97</v>
      </c>
      <c r="R22" s="47"/>
      <c r="S22" s="48"/>
      <c r="T22" s="51" t="str">
        <f>[1]!RCHGetElementNumber(Ticker,800)</f>
        <v>None</v>
      </c>
    </row>
    <row r="23" spans="1:20" ht="15" customHeight="1" x14ac:dyDescent="0.4">
      <c r="A23" s="6"/>
      <c r="B23" s="7" t="s">
        <v>98</v>
      </c>
      <c r="C23" s="8" t="str">
        <f>[1]!RCHGetElementNumber(Ticker,550)</f>
        <v>C</v>
      </c>
      <c r="D23" s="11"/>
      <c r="E23" s="7" t="s">
        <v>99</v>
      </c>
      <c r="F23" s="29">
        <f>[1]!RCHGetElementNumber(Ticker,826)</f>
        <v>61</v>
      </c>
      <c r="G23" s="10"/>
      <c r="H23" s="102" t="s">
        <v>100</v>
      </c>
      <c r="I23" s="103"/>
      <c r="J23" s="6"/>
      <c r="K23" s="96" t="s">
        <v>101</v>
      </c>
      <c r="L23" s="96"/>
      <c r="M23" s="12"/>
      <c r="N23" s="7" t="s">
        <v>102</v>
      </c>
      <c r="O23" s="37">
        <f>[1]!RCHGetElementNumber(Ticker,964)</f>
        <v>552440000</v>
      </c>
      <c r="P23" s="10"/>
      <c r="Q23" s="46" t="s">
        <v>103</v>
      </c>
      <c r="R23" s="47"/>
      <c r="S23" s="48"/>
      <c r="T23" s="51" t="str">
        <f>[1]!RCHGetElementNumber(Ticker,803)</f>
        <v>Yes</v>
      </c>
    </row>
    <row r="24" spans="1:20" ht="15" customHeight="1" x14ac:dyDescent="0.4">
      <c r="A24" s="6"/>
      <c r="B24" s="7" t="s">
        <v>104</v>
      </c>
      <c r="C24" s="8">
        <f>[1]!RCHGetElementNumber(Ticker,551)</f>
        <v>80</v>
      </c>
      <c r="D24" s="11"/>
      <c r="E24" s="52" t="s">
        <v>105</v>
      </c>
      <c r="F24" s="29">
        <f>[1]!RCHGetElementNumber(Ticker,824)</f>
        <v>52</v>
      </c>
      <c r="G24" s="10"/>
      <c r="H24" s="53" t="s">
        <v>106</v>
      </c>
      <c r="I24" s="54">
        <f>[1]!RCHGetElementNumber(Ticker,4924)</f>
        <v>2.93</v>
      </c>
      <c r="J24" s="6"/>
      <c r="K24" s="7" t="s">
        <v>107</v>
      </c>
      <c r="L24" s="25">
        <f>[1]!RCHGetElementNumber(Ticker,941)</f>
        <v>98430000</v>
      </c>
      <c r="M24" s="12"/>
      <c r="N24" s="7" t="s">
        <v>108</v>
      </c>
      <c r="O24" s="40">
        <f>[1]!RCHGetElementNumber(Ticker,965)</f>
        <v>316.06</v>
      </c>
      <c r="P24" s="10"/>
      <c r="Q24" s="46" t="s">
        <v>109</v>
      </c>
      <c r="R24" s="47"/>
      <c r="S24" s="48"/>
      <c r="T24" s="55">
        <f>[1]!RCHGetElementNumber(Ticker,815)</f>
        <v>0.88</v>
      </c>
    </row>
    <row r="25" spans="1:20" ht="15" customHeight="1" x14ac:dyDescent="0.4">
      <c r="A25" s="6"/>
      <c r="B25" s="7" t="s">
        <v>110</v>
      </c>
      <c r="C25" s="8">
        <f>[1]!RCHGetElementNumber(Ticker,552)</f>
        <v>20</v>
      </c>
      <c r="D25" s="50"/>
      <c r="E25" s="56"/>
      <c r="F25" s="57"/>
      <c r="H25" s="53" t="s">
        <v>111</v>
      </c>
      <c r="I25" s="41">
        <f>[1]!RCHGetElementNumber(Ticker,4925)</f>
        <v>5.2299999999999999E-2</v>
      </c>
      <c r="J25" s="6"/>
      <c r="K25" s="7" t="s">
        <v>112</v>
      </c>
      <c r="L25" s="25">
        <f>[1]!RCHGetElementNumber(Ticker,942)</f>
        <v>0</v>
      </c>
      <c r="M25" s="12"/>
      <c r="N25" s="7" t="s">
        <v>113</v>
      </c>
      <c r="O25" s="37">
        <f>[1]!RCHGetElementNumber(Ticker,966)</f>
        <v>457750000</v>
      </c>
      <c r="P25" s="10"/>
      <c r="Q25" s="46" t="s">
        <v>114</v>
      </c>
      <c r="R25" s="47"/>
      <c r="S25" s="48"/>
      <c r="T25" s="55">
        <f>[1]!RCHGetElementNumber(Ticker,816)</f>
        <v>1.05</v>
      </c>
    </row>
    <row r="26" spans="1:20" ht="15" customHeight="1" x14ac:dyDescent="0.4">
      <c r="B26" s="35"/>
      <c r="C26" s="36"/>
      <c r="E26" s="22"/>
      <c r="F26" s="33"/>
      <c r="H26" s="53" t="s">
        <v>115</v>
      </c>
      <c r="I26" s="90">
        <f>[1]!RCHGetElementNumber(Ticker,4926)</f>
        <v>4.0199999999999996</v>
      </c>
      <c r="J26" s="6"/>
      <c r="K26" s="7" t="s">
        <v>116</v>
      </c>
      <c r="L26" s="86">
        <f>[1]!RCHGetElementNumber(Ticker,943)</f>
        <v>18.11</v>
      </c>
      <c r="M26" s="12"/>
      <c r="N26" s="7" t="s">
        <v>117</v>
      </c>
      <c r="O26" s="58">
        <f>[1]!RCHGetElementNumber(Ticker,967)</f>
        <v>0</v>
      </c>
      <c r="P26" s="10"/>
      <c r="Q26" s="46" t="s">
        <v>118</v>
      </c>
      <c r="R26" s="47"/>
      <c r="S26" s="48"/>
      <c r="T26" s="55">
        <f>[1]!RCHGetElementNumber(Ticker,817)</f>
        <v>0.88</v>
      </c>
    </row>
    <row r="27" spans="1:20" ht="15" customHeight="1" x14ac:dyDescent="0.4">
      <c r="A27" s="6"/>
      <c r="B27" s="96" t="s">
        <v>119</v>
      </c>
      <c r="C27" s="96"/>
      <c r="D27" s="11"/>
      <c r="E27" s="96" t="s">
        <v>120</v>
      </c>
      <c r="F27" s="96"/>
      <c r="G27" s="12"/>
      <c r="H27" s="53" t="s">
        <v>121</v>
      </c>
      <c r="I27" s="41">
        <f>[1]!RCHGetElementNumber(Ticker,4927)</f>
        <v>7.168331E-2</v>
      </c>
      <c r="J27" s="12"/>
      <c r="K27" s="7" t="s">
        <v>122</v>
      </c>
      <c r="L27" s="86">
        <f>[1]!RCHGetElementNumber(Ticker,944)</f>
        <v>9.7200000000000006</v>
      </c>
      <c r="M27" s="12"/>
      <c r="N27" s="7" t="s">
        <v>123</v>
      </c>
      <c r="O27" s="58">
        <f>[1]!RCHGetElementNumber(Ticker,968)</f>
        <v>0</v>
      </c>
      <c r="P27" s="10"/>
      <c r="Q27" s="46" t="s">
        <v>124</v>
      </c>
      <c r="R27" s="47"/>
      <c r="S27" s="48"/>
      <c r="T27" s="55">
        <f>[1]!RCHGetElementNumber(Ticker,818)</f>
        <v>1.03</v>
      </c>
    </row>
    <row r="28" spans="1:20" ht="15" customHeight="1" x14ac:dyDescent="0.4">
      <c r="A28" s="6"/>
      <c r="B28" s="7" t="s">
        <v>125</v>
      </c>
      <c r="C28" s="7" t="str">
        <f>[1]!RCHGetElementNumber($B$1,848)</f>
        <v>4-Sell</v>
      </c>
      <c r="D28" s="11"/>
      <c r="E28" s="7" t="s">
        <v>126</v>
      </c>
      <c r="F28" s="45">
        <f>[1]!RCHGetElementNumber(Ticker,1261)</f>
        <v>0.50760000000000005</v>
      </c>
      <c r="G28" s="12"/>
      <c r="H28" s="53" t="s">
        <v>127</v>
      </c>
      <c r="I28" s="86">
        <f>[1]!RCHGetElementNumber(Ticker,4928)</f>
        <v>4.32</v>
      </c>
      <c r="J28" s="12"/>
      <c r="K28" s="7" t="s">
        <v>128</v>
      </c>
      <c r="L28" s="17">
        <f>[1]!RCHGetElementNumber(Ticker,945)</f>
        <v>0</v>
      </c>
      <c r="M28" s="12"/>
      <c r="N28" s="7" t="s">
        <v>129</v>
      </c>
      <c r="O28" s="40">
        <f>[1]!RCHGetElementNumber(Ticker,969)</f>
        <v>60.85</v>
      </c>
      <c r="P28" s="10"/>
      <c r="Q28" s="46" t="s">
        <v>130</v>
      </c>
      <c r="R28" s="47"/>
      <c r="S28" s="48"/>
      <c r="T28" s="55">
        <f>[1]!RCHGetElementNumber(Ticker,819)</f>
        <v>0.88</v>
      </c>
    </row>
    <row r="29" spans="1:20" ht="15" customHeight="1" x14ac:dyDescent="0.4">
      <c r="A29" s="6"/>
      <c r="B29" s="7" t="s">
        <v>131</v>
      </c>
      <c r="C29" s="8" t="str">
        <f>[1]!RCHGetElementNumber(Ticker,847)</f>
        <v>F</v>
      </c>
      <c r="D29" s="11"/>
      <c r="E29" s="7" t="s">
        <v>132</v>
      </c>
      <c r="F29" s="45">
        <f>[1]!RCHGetElementNumber(Ticker,1266)</f>
        <v>0.4521</v>
      </c>
      <c r="G29" s="12"/>
      <c r="H29" s="53" t="s">
        <v>133</v>
      </c>
      <c r="I29" s="41">
        <f>[1]!RCHGetElementNumber(Ticker,4929)</f>
        <v>0.93059999999999998</v>
      </c>
      <c r="J29" s="12"/>
      <c r="K29" s="7" t="s">
        <v>134</v>
      </c>
      <c r="L29" s="17">
        <f>[1]!RCHGetElementNumber(Ticker,946)</f>
        <v>2.48</v>
      </c>
      <c r="M29" s="12"/>
      <c r="N29" s="7" t="s">
        <v>135</v>
      </c>
      <c r="O29" s="58"/>
      <c r="P29" s="10"/>
      <c r="Q29" s="46" t="s">
        <v>136</v>
      </c>
      <c r="R29" s="47"/>
      <c r="S29" s="48"/>
      <c r="T29" s="55">
        <f>[1]!RCHGetElementNumber(Ticker,820)</f>
        <v>1.03</v>
      </c>
    </row>
    <row r="30" spans="1:20" ht="15" customHeight="1" x14ac:dyDescent="0.4">
      <c r="A30" s="6"/>
      <c r="B30" s="7" t="s">
        <v>137</v>
      </c>
      <c r="C30" s="8" t="str">
        <f>[1]!RCHGetElementNumber($B$1,844)</f>
        <v>F</v>
      </c>
      <c r="D30" s="11"/>
      <c r="E30" s="7" t="s">
        <v>138</v>
      </c>
      <c r="F30" s="45">
        <f>[1]!RCHGetElementNumber(Ticker,1271)</f>
        <v>0.43669999999999998</v>
      </c>
      <c r="G30" s="12"/>
      <c r="H30" s="53" t="s">
        <v>139</v>
      </c>
      <c r="I30" s="59" t="str">
        <f>[1]!RCHGetElementNumber(Ticker,991)</f>
        <v>10/31/2024</v>
      </c>
      <c r="J30" s="12"/>
      <c r="K30" s="7" t="s">
        <v>140</v>
      </c>
      <c r="L30" s="17">
        <f>[1]!RCHGetElementNumber(Ticker,947)</f>
        <v>1.36</v>
      </c>
      <c r="M30" s="12"/>
      <c r="N30" s="7" t="s">
        <v>141</v>
      </c>
      <c r="O30" s="37">
        <f>[1]!RCHGetElementNumber(Ticker,970)</f>
        <v>-74990000</v>
      </c>
      <c r="P30" s="10"/>
      <c r="Q30" s="46" t="s">
        <v>142</v>
      </c>
      <c r="R30" s="47"/>
      <c r="S30" s="48"/>
      <c r="T30" s="51" t="str">
        <f>[1]!RCHGetElementNumber(Ticker,833)</f>
        <v>Medium</v>
      </c>
    </row>
    <row r="31" spans="1:20" ht="15" customHeight="1" x14ac:dyDescent="0.25">
      <c r="A31" s="6"/>
      <c r="B31" s="7" t="s">
        <v>143</v>
      </c>
      <c r="C31" s="8" t="str">
        <f>[1]!RCHGetElementNumber(Ticker,845)</f>
        <v>F</v>
      </c>
      <c r="D31" s="11"/>
      <c r="E31" s="7" t="s">
        <v>144</v>
      </c>
      <c r="F31" s="45">
        <f>[1]!RCHGetElementNumber(Ticker,1276)</f>
        <v>0.46279999999999999</v>
      </c>
      <c r="G31" s="12"/>
      <c r="H31" s="53" t="s">
        <v>145</v>
      </c>
      <c r="I31" s="59" t="str">
        <f>[1]!RCHGetElementNumber(Ticker,992)</f>
        <v>10/10/2024</v>
      </c>
      <c r="J31" s="12"/>
      <c r="K31" s="7" t="s">
        <v>146</v>
      </c>
      <c r="L31" s="17">
        <f>[1]!RCHGetElementNumber(Ticker,948)</f>
        <v>6.48</v>
      </c>
      <c r="M31" s="12"/>
      <c r="N31" s="7" t="s">
        <v>147</v>
      </c>
      <c r="O31" s="37">
        <f>[1]!RCHGetElementNumber(Ticker,971)</f>
        <v>0</v>
      </c>
      <c r="P31" s="10"/>
      <c r="Q31" s="97" t="s">
        <v>148</v>
      </c>
      <c r="R31" s="98"/>
      <c r="S31" s="99"/>
      <c r="T31" s="51" t="str">
        <f>[1]!RCHGetElementNumber(Ticker,834)</f>
        <v>Medium</v>
      </c>
    </row>
    <row r="32" spans="1:20" ht="15" customHeight="1" x14ac:dyDescent="0.25">
      <c r="A32" s="6"/>
      <c r="B32" s="7" t="s">
        <v>149</v>
      </c>
      <c r="C32" s="8" t="str">
        <f>[1]!RCHGetElementNumber(Ticker,846)</f>
        <v>F</v>
      </c>
      <c r="D32" s="11"/>
      <c r="E32" s="7" t="s">
        <v>150</v>
      </c>
      <c r="F32" s="45">
        <f>[1]!RCHGetElementNumber(Ticker,1281)</f>
        <v>0.47899999999999998</v>
      </c>
      <c r="G32" s="12"/>
      <c r="H32" s="53" t="s">
        <v>151</v>
      </c>
      <c r="I32" s="59" t="str">
        <f>[1]!RCHGetElementNumber(Ticker,993)</f>
        <v>2:1</v>
      </c>
      <c r="J32" s="12"/>
      <c r="K32" s="7" t="s">
        <v>152</v>
      </c>
      <c r="L32" s="17">
        <f>[1]!RCHGetElementNumber(Ticker,949)</f>
        <v>0</v>
      </c>
      <c r="M32" s="10"/>
      <c r="N32" s="56"/>
      <c r="O32" s="56"/>
    </row>
    <row r="33" spans="1:15" ht="15" customHeight="1" x14ac:dyDescent="0.25">
      <c r="A33" s="6"/>
      <c r="B33" s="7" t="s">
        <v>153</v>
      </c>
      <c r="C33" s="8">
        <f>[1]!RCHGetElementNumber(Ticker,851)</f>
        <v>75</v>
      </c>
      <c r="D33" s="50"/>
      <c r="E33" s="56"/>
      <c r="F33" s="57"/>
      <c r="G33" s="6"/>
      <c r="H33" s="53" t="s">
        <v>154</v>
      </c>
      <c r="I33" s="59" t="str">
        <f>[1]!RCHGetElementNumber(Ticker,940)</f>
        <v>2/3/2014</v>
      </c>
      <c r="J33" s="10"/>
      <c r="N33" s="87" t="s">
        <v>255</v>
      </c>
    </row>
    <row r="34" spans="1:15" x14ac:dyDescent="0.25">
      <c r="A34" s="6"/>
      <c r="B34" s="7" t="s">
        <v>155</v>
      </c>
      <c r="C34" s="8"/>
      <c r="D34" s="50"/>
      <c r="G34" s="6"/>
      <c r="J34" s="10"/>
      <c r="N34" s="1" t="s">
        <v>256</v>
      </c>
      <c r="O34" s="88">
        <f>C2-F10</f>
        <v>-8.5100000000000051</v>
      </c>
    </row>
    <row r="35" spans="1:15" x14ac:dyDescent="0.25">
      <c r="A35" s="6"/>
      <c r="B35" s="7" t="str">
        <f>[1]!RCHGetElementNumber($B$1,852)</f>
        <v>Top 30% (75 out of 250)</v>
      </c>
      <c r="C35" s="8"/>
      <c r="D35" s="50"/>
      <c r="G35" s="6"/>
      <c r="J35" s="10"/>
      <c r="N35" s="1" t="s">
        <v>257</v>
      </c>
      <c r="O35" s="88">
        <f>C2-F11</f>
        <v>3.0899999999999963</v>
      </c>
    </row>
    <row r="36" spans="1:15" x14ac:dyDescent="0.25">
      <c r="A36" s="6"/>
      <c r="B36" s="7" t="s">
        <v>156</v>
      </c>
      <c r="C36" s="8" t="str">
        <f>[1]!RCHGetElementNumber(Ticker,13870)</f>
        <v>NA</v>
      </c>
      <c r="D36" s="50"/>
      <c r="J36" s="10"/>
    </row>
    <row r="37" spans="1:15" x14ac:dyDescent="0.25">
      <c r="J37" s="10"/>
    </row>
    <row r="38" spans="1:15" x14ac:dyDescent="0.25">
      <c r="I38" s="56"/>
    </row>
    <row r="39" spans="1:15" x14ac:dyDescent="0.25">
      <c r="N39" s="60"/>
      <c r="O39" s="60"/>
    </row>
    <row r="40" spans="1:15" x14ac:dyDescent="0.25">
      <c r="D40" s="84"/>
      <c r="F40" s="85"/>
    </row>
    <row r="41" spans="1:15" x14ac:dyDescent="0.25">
      <c r="E41" s="1" t="s">
        <v>258</v>
      </c>
      <c r="F41" s="91"/>
      <c r="G41" s="6"/>
      <c r="K41"/>
    </row>
    <row r="42" spans="1:15" x14ac:dyDescent="0.25">
      <c r="E42" s="1" t="s">
        <v>259</v>
      </c>
      <c r="G42" s="6"/>
      <c r="K42"/>
    </row>
    <row r="43" spans="1:15" x14ac:dyDescent="0.25">
      <c r="E43" s="1" t="s">
        <v>260</v>
      </c>
      <c r="H43" s="56"/>
      <c r="K43"/>
    </row>
    <row r="44" spans="1:15" x14ac:dyDescent="0.25">
      <c r="K44"/>
    </row>
    <row r="45" spans="1:15" ht="14.65" x14ac:dyDescent="0.4">
      <c r="K45"/>
    </row>
    <row r="46" spans="1:15" ht="14.65" x14ac:dyDescent="0.4">
      <c r="K46"/>
    </row>
    <row r="52" spans="11:12" ht="21.4" customHeight="1" x14ac:dyDescent="0.25"/>
    <row r="54" spans="11:12" x14ac:dyDescent="0.25">
      <c r="K54"/>
    </row>
    <row r="55" spans="11:12" x14ac:dyDescent="0.25">
      <c r="K55"/>
    </row>
    <row r="56" spans="11:12" x14ac:dyDescent="0.25">
      <c r="K56"/>
    </row>
    <row r="57" spans="11:12" x14ac:dyDescent="0.25">
      <c r="K57"/>
    </row>
    <row r="58" spans="11:12" x14ac:dyDescent="0.25">
      <c r="K58"/>
    </row>
    <row r="59" spans="11:12" x14ac:dyDescent="0.25">
      <c r="K59"/>
    </row>
    <row r="60" spans="11:12" x14ac:dyDescent="0.25">
      <c r="K60"/>
    </row>
    <row r="61" spans="11:12" x14ac:dyDescent="0.25">
      <c r="K61" s="92" t="s">
        <v>157</v>
      </c>
      <c r="L61" s="93"/>
    </row>
    <row r="62" spans="11:12" x14ac:dyDescent="0.25">
      <c r="K62" s="1" t="s">
        <v>254</v>
      </c>
      <c r="L62" s="32" t="str">
        <f>[1]!RCHGetElementNumber(Ticker, 804)</f>
        <v>Bullish</v>
      </c>
    </row>
    <row r="63" spans="11:12" x14ac:dyDescent="0.25">
      <c r="K63" s="1" t="s">
        <v>158</v>
      </c>
      <c r="L63" s="32" t="str">
        <f>[1]!RCHGetElementNumber(Ticker, 806)</f>
        <v>Bearish</v>
      </c>
    </row>
    <row r="64" spans="11:12" x14ac:dyDescent="0.25">
      <c r="K64" s="1" t="s">
        <v>159</v>
      </c>
      <c r="L64" s="32" t="str">
        <f>[1]!RCHGetElementNumber(Ticker, 805)</f>
        <v>Bullish</v>
      </c>
    </row>
    <row r="65" spans="5:12" x14ac:dyDescent="0.25">
      <c r="K65" s="1" t="s">
        <v>160</v>
      </c>
      <c r="L65" s="32" t="e">
        <v>#NAME?</v>
      </c>
    </row>
    <row r="66" spans="5:12" x14ac:dyDescent="0.25">
      <c r="K66" s="1" t="s">
        <v>161</v>
      </c>
      <c r="L66" s="32" t="e">
        <v>#NAME?</v>
      </c>
    </row>
    <row r="67" spans="5:12" x14ac:dyDescent="0.25">
      <c r="G67" s="61"/>
      <c r="K67" s="1" t="s">
        <v>162</v>
      </c>
      <c r="L67" s="32" t="e">
        <v>#NAME?</v>
      </c>
    </row>
    <row r="68" spans="5:12" x14ac:dyDescent="0.25">
      <c r="K68" s="1" t="s">
        <v>163</v>
      </c>
      <c r="L68" s="62" t="e">
        <v>#NAME?</v>
      </c>
    </row>
    <row r="69" spans="5:12" x14ac:dyDescent="0.25">
      <c r="E69" s="1" t="s">
        <v>164</v>
      </c>
      <c r="F69" s="32" t="e">
        <v>#NAME?</v>
      </c>
      <c r="K69" s="1" t="s">
        <v>165</v>
      </c>
      <c r="L69" s="62" t="e">
        <v>#NAME?</v>
      </c>
    </row>
    <row r="70" spans="5:12" x14ac:dyDescent="0.25">
      <c r="E70" s="1" t="s">
        <v>166</v>
      </c>
      <c r="F70" s="62" t="e">
        <v>#NAME?</v>
      </c>
      <c r="K70" s="1" t="s">
        <v>167</v>
      </c>
      <c r="L70" s="32" t="e">
        <v>#NAME?</v>
      </c>
    </row>
    <row r="71" spans="5:12" x14ac:dyDescent="0.25">
      <c r="E71" s="1" t="s">
        <v>168</v>
      </c>
      <c r="F71" s="62" t="e">
        <v>#NAME?</v>
      </c>
      <c r="K71" s="1" t="s">
        <v>169</v>
      </c>
      <c r="L71" s="32" t="e">
        <v>#NAME?</v>
      </c>
    </row>
    <row r="72" spans="5:12" x14ac:dyDescent="0.25">
      <c r="K72" s="92" t="s">
        <v>170</v>
      </c>
      <c r="L72" s="93"/>
    </row>
    <row r="73" spans="5:12" x14ac:dyDescent="0.25">
      <c r="E73" s="1" t="s">
        <v>171</v>
      </c>
      <c r="F73" s="32" t="e">
        <v>#NAME?</v>
      </c>
      <c r="K73" s="1" t="s">
        <v>172</v>
      </c>
      <c r="L73" s="32" t="e">
        <v>#NAME?</v>
      </c>
    </row>
    <row r="74" spans="5:12" x14ac:dyDescent="0.25">
      <c r="E74" s="1" t="s">
        <v>173</v>
      </c>
      <c r="F74" s="32" t="e">
        <v>#NAME?</v>
      </c>
      <c r="K74" s="1" t="s">
        <v>174</v>
      </c>
      <c r="L74" s="32" t="e">
        <v>#NAME?</v>
      </c>
    </row>
    <row r="75" spans="5:12" x14ac:dyDescent="0.25">
      <c r="K75" s="1" t="s">
        <v>175</v>
      </c>
      <c r="L75" s="32" t="e">
        <v>#NAME?</v>
      </c>
    </row>
    <row r="76" spans="5:12" x14ac:dyDescent="0.25">
      <c r="K76" s="1" t="s">
        <v>176</v>
      </c>
      <c r="L76" s="32" t="e">
        <v>#NAME?</v>
      </c>
    </row>
    <row r="77" spans="5:12" x14ac:dyDescent="0.25">
      <c r="E77" s="1" t="s">
        <v>177</v>
      </c>
      <c r="F77" s="32" t="e">
        <v>#NAME?</v>
      </c>
      <c r="K77" s="1" t="s">
        <v>178</v>
      </c>
      <c r="L77" s="32" t="e">
        <v>#NAME?</v>
      </c>
    </row>
    <row r="78" spans="5:12" x14ac:dyDescent="0.25">
      <c r="K78" s="1" t="s">
        <v>179</v>
      </c>
      <c r="L78" s="32" t="e">
        <v>#NAME?</v>
      </c>
    </row>
    <row r="79" spans="5:12" x14ac:dyDescent="0.25">
      <c r="E79" s="1" t="s">
        <v>180</v>
      </c>
      <c r="F79" s="32" t="e">
        <v>#NAME?</v>
      </c>
      <c r="K79" s="1" t="s">
        <v>181</v>
      </c>
      <c r="L79" s="63" t="e">
        <v>#NAME?</v>
      </c>
    </row>
    <row r="80" spans="5:12" x14ac:dyDescent="0.25">
      <c r="E80" s="1" t="s">
        <v>182</v>
      </c>
      <c r="F80" s="32" t="e">
        <v>#NAME?</v>
      </c>
      <c r="K80" s="1" t="s">
        <v>183</v>
      </c>
      <c r="L80" s="32" t="e">
        <v>#NAME?</v>
      </c>
    </row>
    <row r="81" spans="5:12" x14ac:dyDescent="0.25">
      <c r="E81" s="1" t="s">
        <v>60</v>
      </c>
      <c r="F81" s="32" t="e">
        <v>#NAME?</v>
      </c>
      <c r="K81" s="1" t="s">
        <v>184</v>
      </c>
      <c r="L81" s="32" t="e">
        <v>#NAME?</v>
      </c>
    </row>
    <row r="82" spans="5:12" x14ac:dyDescent="0.25">
      <c r="E82" s="1" t="s">
        <v>185</v>
      </c>
      <c r="F82" s="32" t="e">
        <v>#NAME?</v>
      </c>
      <c r="K82" s="92" t="s">
        <v>186</v>
      </c>
      <c r="L82" s="93"/>
    </row>
    <row r="83" spans="5:12" x14ac:dyDescent="0.25">
      <c r="E83" s="1" t="s">
        <v>187</v>
      </c>
      <c r="F83" s="32" t="e">
        <v>#NAME?</v>
      </c>
      <c r="K83" s="1" t="s">
        <v>188</v>
      </c>
      <c r="L83" s="64" t="e">
        <v>#NAME?</v>
      </c>
    </row>
    <row r="84" spans="5:12" x14ac:dyDescent="0.25">
      <c r="E84" s="1" t="s">
        <v>189</v>
      </c>
      <c r="F84" s="32" t="e">
        <v>#NAME?</v>
      </c>
      <c r="K84" s="1" t="s">
        <v>190</v>
      </c>
      <c r="L84" s="64" t="e">
        <v>#NAME?</v>
      </c>
    </row>
    <row r="85" spans="5:12" x14ac:dyDescent="0.25">
      <c r="E85" s="1" t="s">
        <v>191</v>
      </c>
      <c r="F85" s="32" t="e">
        <v>#NAME?</v>
      </c>
      <c r="K85" s="1" t="s">
        <v>192</v>
      </c>
      <c r="L85" s="64" t="e">
        <v>#NAME?</v>
      </c>
    </row>
    <row r="86" spans="5:12" x14ac:dyDescent="0.25">
      <c r="E86" s="1" t="s">
        <v>193</v>
      </c>
      <c r="F86" s="32" t="e">
        <v>#NAME?</v>
      </c>
      <c r="K86" s="1" t="s">
        <v>194</v>
      </c>
      <c r="L86" s="64" t="e">
        <v>#NAME?</v>
      </c>
    </row>
    <row r="87" spans="5:12" x14ac:dyDescent="0.25">
      <c r="K87" s="1" t="s">
        <v>195</v>
      </c>
      <c r="L87" s="64" t="e">
        <v>#NAME?</v>
      </c>
    </row>
    <row r="88" spans="5:12" x14ac:dyDescent="0.25">
      <c r="K88" s="1" t="s">
        <v>196</v>
      </c>
      <c r="L88" s="64" t="e">
        <v>#NAME?</v>
      </c>
    </row>
    <row r="89" spans="5:12" x14ac:dyDescent="0.25">
      <c r="E89" s="1" t="s">
        <v>197</v>
      </c>
      <c r="F89" s="32" t="e">
        <v>#NAME?</v>
      </c>
      <c r="K89" s="1" t="s">
        <v>198</v>
      </c>
      <c r="L89" s="62" t="e">
        <v>#NAME?</v>
      </c>
    </row>
    <row r="90" spans="5:12" x14ac:dyDescent="0.25">
      <c r="E90" s="1" t="s">
        <v>199</v>
      </c>
      <c r="F90" s="32" t="e">
        <v>#NAME?</v>
      </c>
      <c r="K90"/>
    </row>
    <row r="91" spans="5:12" x14ac:dyDescent="0.25">
      <c r="E91" s="1" t="s">
        <v>200</v>
      </c>
      <c r="F91" s="32" t="e">
        <v>#NAME?</v>
      </c>
      <c r="K91" s="92" t="s">
        <v>201</v>
      </c>
      <c r="L91" s="93"/>
    </row>
    <row r="92" spans="5:12" x14ac:dyDescent="0.25">
      <c r="E92" s="1" t="s">
        <v>202</v>
      </c>
      <c r="F92" s="32" t="e">
        <v>#NAME?</v>
      </c>
      <c r="K92" s="94" t="s">
        <v>203</v>
      </c>
      <c r="L92" s="95"/>
    </row>
    <row r="93" spans="5:12" x14ac:dyDescent="0.25">
      <c r="E93" s="1" t="s">
        <v>204</v>
      </c>
      <c r="F93" s="32" t="e">
        <v>#NAME?</v>
      </c>
      <c r="K93" s="1" t="s">
        <v>205</v>
      </c>
      <c r="L93" s="65" t="e">
        <v>#NAME?</v>
      </c>
    </row>
    <row r="94" spans="5:12" x14ac:dyDescent="0.25">
      <c r="E94" s="1" t="s">
        <v>206</v>
      </c>
      <c r="F94" s="62" t="e">
        <v>#NAME?</v>
      </c>
      <c r="K94" s="1" t="s">
        <v>207</v>
      </c>
      <c r="L94" s="65" t="e">
        <v>#NAME?</v>
      </c>
    </row>
    <row r="95" spans="5:12" x14ac:dyDescent="0.25">
      <c r="E95" s="1" t="s">
        <v>208</v>
      </c>
      <c r="F95" s="32" t="e">
        <v>#NAME?</v>
      </c>
      <c r="K95" s="1" t="s">
        <v>209</v>
      </c>
      <c r="L95" s="65" t="e">
        <v>#NAME?</v>
      </c>
    </row>
    <row r="96" spans="5:12" ht="15.75" thickBot="1" x14ac:dyDescent="0.3">
      <c r="E96" s="1" t="s">
        <v>210</v>
      </c>
      <c r="F96" s="62" t="e">
        <v>#NAME?</v>
      </c>
      <c r="K96" s="66" t="s">
        <v>211</v>
      </c>
      <c r="L96" s="67" t="e">
        <v>#NAME?</v>
      </c>
    </row>
    <row r="97" spans="5:12" ht="15.75" thickTop="1" x14ac:dyDescent="0.25">
      <c r="E97" s="1" t="s">
        <v>212</v>
      </c>
      <c r="F97" s="62" t="e">
        <v>#NAME?</v>
      </c>
      <c r="K97" s="56" t="s">
        <v>213</v>
      </c>
      <c r="L97" s="68" t="e">
        <v>#NAME?</v>
      </c>
    </row>
    <row r="98" spans="5:12" x14ac:dyDescent="0.25">
      <c r="E98" s="1" t="s">
        <v>214</v>
      </c>
      <c r="F98" s="1"/>
      <c r="K98" s="1" t="s">
        <v>215</v>
      </c>
      <c r="L98" s="65" t="e">
        <v>#NAME?</v>
      </c>
    </row>
    <row r="99" spans="5:12" x14ac:dyDescent="0.25">
      <c r="E99" s="1" t="s">
        <v>216</v>
      </c>
      <c r="F99" s="32" t="e">
        <v>#NAME?</v>
      </c>
      <c r="K99" s="1" t="s">
        <v>217</v>
      </c>
      <c r="L99" s="65" t="e">
        <v>#NAME?</v>
      </c>
    </row>
    <row r="100" spans="5:12" ht="15.75" thickBot="1" x14ac:dyDescent="0.3">
      <c r="K100" s="66" t="s">
        <v>218</v>
      </c>
      <c r="L100" s="67" t="e">
        <v>#NAME?</v>
      </c>
    </row>
    <row r="101" spans="5:12" ht="15.75" thickTop="1" x14ac:dyDescent="0.25">
      <c r="K101" s="56" t="s">
        <v>219</v>
      </c>
      <c r="L101" s="68" t="e">
        <v>#NAME?</v>
      </c>
    </row>
    <row r="102" spans="5:12" x14ac:dyDescent="0.25">
      <c r="K102" s="1" t="s">
        <v>220</v>
      </c>
      <c r="L102" s="65" t="e">
        <v>#NAME?</v>
      </c>
    </row>
    <row r="103" spans="5:12" x14ac:dyDescent="0.25">
      <c r="E103" s="1" t="s">
        <v>221</v>
      </c>
      <c r="F103" s="32" t="e">
        <v>#NAME?</v>
      </c>
      <c r="K103" s="1" t="s">
        <v>222</v>
      </c>
      <c r="L103" s="65" t="e">
        <v>#NAME?</v>
      </c>
    </row>
    <row r="104" spans="5:12" ht="15.75" thickBot="1" x14ac:dyDescent="0.3">
      <c r="E104" s="1" t="s">
        <v>223</v>
      </c>
      <c r="F104" s="62" t="e">
        <v>#NAME?</v>
      </c>
      <c r="K104" s="66" t="s">
        <v>224</v>
      </c>
      <c r="L104" s="67" t="e">
        <v>#NAME?</v>
      </c>
    </row>
    <row r="105" spans="5:12" ht="15.75" thickTop="1" x14ac:dyDescent="0.25">
      <c r="E105" s="1" t="s">
        <v>225</v>
      </c>
      <c r="F105" s="62" t="e">
        <v>#NAME?</v>
      </c>
      <c r="K105" s="56" t="s">
        <v>226</v>
      </c>
      <c r="L105" s="68" t="e">
        <v>#NAME?</v>
      </c>
    </row>
    <row r="106" spans="5:12" x14ac:dyDescent="0.25">
      <c r="E106" s="1" t="s">
        <v>227</v>
      </c>
      <c r="F106" s="32" t="e">
        <v>#NAME?</v>
      </c>
      <c r="K106" s="1" t="s">
        <v>228</v>
      </c>
      <c r="L106" s="65" t="e">
        <v>#NAME?</v>
      </c>
    </row>
    <row r="107" spans="5:12" x14ac:dyDescent="0.25">
      <c r="E107" s="1" t="s">
        <v>229</v>
      </c>
      <c r="F107" s="32" t="e">
        <v>#NAME?</v>
      </c>
      <c r="K107" s="1" t="s">
        <v>230</v>
      </c>
      <c r="L107" s="65" t="e">
        <v>#NAME?</v>
      </c>
    </row>
    <row r="108" spans="5:12" ht="15.75" thickBot="1" x14ac:dyDescent="0.3">
      <c r="E108" s="1" t="s">
        <v>231</v>
      </c>
      <c r="F108" s="32" t="e">
        <v>#NAME?</v>
      </c>
      <c r="K108" s="66" t="s">
        <v>232</v>
      </c>
      <c r="L108" s="67" t="e">
        <v>#NAME?</v>
      </c>
    </row>
    <row r="109" spans="5:12" ht="15.75" thickTop="1" x14ac:dyDescent="0.25">
      <c r="K109" s="56" t="s">
        <v>233</v>
      </c>
      <c r="L109" s="68" t="e">
        <v>#NAME?</v>
      </c>
    </row>
    <row r="110" spans="5:12" x14ac:dyDescent="0.25">
      <c r="K110" s="1" t="s">
        <v>234</v>
      </c>
      <c r="L110" s="65" t="e">
        <v>#NAME?</v>
      </c>
    </row>
    <row r="111" spans="5:12" x14ac:dyDescent="0.25">
      <c r="K111" s="1" t="s">
        <v>235</v>
      </c>
      <c r="L111" s="65" t="e">
        <v>#NAME?</v>
      </c>
    </row>
    <row r="112" spans="5:12" x14ac:dyDescent="0.25">
      <c r="K112" s="1" t="s">
        <v>236</v>
      </c>
      <c r="L112" s="65" t="e">
        <v>#NAME?</v>
      </c>
    </row>
    <row r="200" spans="4:4" x14ac:dyDescent="0.25">
      <c r="D200" s="1"/>
    </row>
    <row r="201" spans="4:4" x14ac:dyDescent="0.25">
      <c r="D201" s="1"/>
    </row>
    <row r="202" spans="4:4" x14ac:dyDescent="0.25">
      <c r="D202" s="1"/>
    </row>
    <row r="203" spans="4:4" x14ac:dyDescent="0.25">
      <c r="D203" s="1"/>
    </row>
    <row r="204" spans="4:4" x14ac:dyDescent="0.25">
      <c r="D204" s="1"/>
    </row>
    <row r="205" spans="4:4" x14ac:dyDescent="0.25">
      <c r="D205" s="1"/>
    </row>
    <row r="206" spans="4:4" x14ac:dyDescent="0.25">
      <c r="D206" s="1"/>
    </row>
    <row r="207" spans="4:4" x14ac:dyDescent="0.25">
      <c r="D207" s="1"/>
    </row>
    <row r="208" spans="4:4" x14ac:dyDescent="0.25">
      <c r="D208" s="1"/>
    </row>
    <row r="209" spans="4:4" x14ac:dyDescent="0.25">
      <c r="D209" s="1"/>
    </row>
    <row r="210" spans="4:4" x14ac:dyDescent="0.25">
      <c r="D210" s="1"/>
    </row>
    <row r="211" spans="4:4" x14ac:dyDescent="0.25">
      <c r="D211" s="1"/>
    </row>
    <row r="212" spans="4:4" x14ac:dyDescent="0.25">
      <c r="D212" s="1"/>
    </row>
    <row r="213" spans="4:4" x14ac:dyDescent="0.25">
      <c r="D213" s="1"/>
    </row>
    <row r="214" spans="4:4" x14ac:dyDescent="0.25">
      <c r="D214" s="1"/>
    </row>
    <row r="215" spans="4:4" x14ac:dyDescent="0.25">
      <c r="D215" s="1"/>
    </row>
    <row r="216" spans="4:4" x14ac:dyDescent="0.25">
      <c r="D216" s="1"/>
    </row>
    <row r="217" spans="4:4" x14ac:dyDescent="0.25">
      <c r="D217" s="1"/>
    </row>
    <row r="218" spans="4:4" x14ac:dyDescent="0.25">
      <c r="D218" s="1"/>
    </row>
    <row r="219" spans="4:4" x14ac:dyDescent="0.25">
      <c r="D219" s="1"/>
    </row>
  </sheetData>
  <mergeCells count="24">
    <mergeCell ref="N1:O1"/>
    <mergeCell ref="E2:F2"/>
    <mergeCell ref="K2:L2"/>
    <mergeCell ref="N2:O2"/>
    <mergeCell ref="B15:C15"/>
    <mergeCell ref="E15:F15"/>
    <mergeCell ref="K15:L15"/>
    <mergeCell ref="C1:F1"/>
    <mergeCell ref="H1:K1"/>
    <mergeCell ref="Q31:S31"/>
    <mergeCell ref="Q2:T2"/>
    <mergeCell ref="E8:F8"/>
    <mergeCell ref="K9:L9"/>
    <mergeCell ref="H13:I13"/>
    <mergeCell ref="E22:F22"/>
    <mergeCell ref="H23:I23"/>
    <mergeCell ref="K23:L23"/>
    <mergeCell ref="K91:L91"/>
    <mergeCell ref="K92:L92"/>
    <mergeCell ref="B27:C27"/>
    <mergeCell ref="E27:F27"/>
    <mergeCell ref="K61:L61"/>
    <mergeCell ref="K72:L72"/>
    <mergeCell ref="K82:L82"/>
  </mergeCells>
  <conditionalFormatting sqref="L93:L112">
    <cfRule type="colorScale" priority="13">
      <colorScale>
        <cfvo type="min"/>
        <cfvo type="percentile" val="50"/>
        <cfvo type="max"/>
        <color rgb="FF63BE7B"/>
        <color rgb="FFFFEB84"/>
        <color rgb="FFF8696B"/>
      </colorScale>
    </cfRule>
  </conditionalFormatting>
  <conditionalFormatting sqref="F28:F32">
    <cfRule type="colorScale" priority="10">
      <colorScale>
        <cfvo type="min"/>
        <cfvo type="percentile" val="50"/>
        <cfvo type="max"/>
        <color rgb="FFF8696B"/>
        <color rgb="FFFFEB84"/>
        <color rgb="FF63BE7B"/>
      </colorScale>
    </cfRule>
  </conditionalFormatting>
  <conditionalFormatting sqref="F12:F13">
    <cfRule type="cellIs" dxfId="8" priority="9" operator="greaterThan">
      <formula>$C$2</formula>
    </cfRule>
  </conditionalFormatting>
  <conditionalFormatting sqref="F10">
    <cfRule type="cellIs" dxfId="7" priority="8" operator="equal">
      <formula>$C$2</formula>
    </cfRule>
  </conditionalFormatting>
  <conditionalFormatting sqref="C29:C32">
    <cfRule type="cellIs" dxfId="6" priority="3" operator="equal">
      <formula>"F"</formula>
    </cfRule>
    <cfRule type="cellIs" dxfId="5" priority="4" operator="equal">
      <formula>"B"</formula>
    </cfRule>
    <cfRule type="cellIs" dxfId="4" priority="5" operator="equal">
      <formula>"A"</formula>
    </cfRule>
    <cfRule type="cellIs" dxfId="3" priority="6" operator="equal">
      <formula>"C"</formula>
    </cfRule>
    <cfRule type="cellIs" dxfId="2" priority="7" operator="equal">
      <formula>"D"</formula>
    </cfRule>
  </conditionalFormatting>
  <conditionalFormatting sqref="O34:O35">
    <cfRule type="cellIs" dxfId="1" priority="1" operator="lessThan">
      <formula>0</formula>
    </cfRule>
    <cfRule type="cellIs" dxfId="0" priority="2" operator="greaterThan">
      <formula>0</formula>
    </cfRule>
  </conditionalFormatting>
  <hyperlinks>
    <hyperlink ref="Y14" r:id="rId1" display="https://www.zacks.com/stock/quote/TSLA/detailed-earning-estimates"/>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32"/>
  <sheetViews>
    <sheetView workbookViewId="0">
      <selection activeCell="B4" sqref="B4"/>
    </sheetView>
  </sheetViews>
  <sheetFormatPr defaultColWidth="9.28515625" defaultRowHeight="15" x14ac:dyDescent="0.25"/>
  <cols>
    <col min="1" max="1" width="9.42578125" style="74" bestFit="1" customWidth="1"/>
    <col min="2" max="2" width="10.42578125" style="78" bestFit="1" customWidth="1"/>
    <col min="3" max="20" width="9.28515625" style="72"/>
    <col min="21" max="22" width="10.42578125" style="72" bestFit="1" customWidth="1"/>
    <col min="23" max="16384" width="9.28515625" style="72"/>
  </cols>
  <sheetData>
    <row r="1" spans="1:22" ht="14.65" x14ac:dyDescent="0.4">
      <c r="A1" s="73" t="str">
        <f>Ticker</f>
        <v>TD</v>
      </c>
      <c r="B1" s="76"/>
      <c r="D1" s="72" t="str">
        <f>[1]!RCHGetElementNumber(Ticker,13863)</f>
        <v>The Toronto-Dominion Bank</v>
      </c>
      <c r="E1" s="72" t="str">
        <f>[1]!RCHGetElementNumber(Ticker,13863)</f>
        <v>The Toronto-Dominion Bank</v>
      </c>
      <c r="F1" s="72" t="str">
        <f ca="1">F32</f>
        <v/>
      </c>
      <c r="H1" s="81"/>
      <c r="J1" s="72">
        <f ca="1">MIN(E:E)</f>
        <v>0</v>
      </c>
    </row>
    <row r="3" spans="1:22" ht="14.65" x14ac:dyDescent="0.4">
      <c r="B3" s="78" t="str">
        <f t="array" aca="1" ref="B3:F32" ca="1">[1]!smfGetYahooHistory(V8,V9,V10,V11,V12,V13,V14,V15,V16)</f>
        <v>Date</v>
      </c>
      <c r="C3" s="72" t="str">
        <f ca="1"/>
        <v>Open</v>
      </c>
      <c r="D3" s="72" t="str">
        <f ca="1"/>
        <v>High</v>
      </c>
      <c r="E3" s="72" t="str">
        <f ca="1"/>
        <v>Low</v>
      </c>
      <c r="F3" s="72" t="str">
        <f ca="1"/>
        <v>AdjClose</v>
      </c>
      <c r="G3" s="72" t="s">
        <v>238</v>
      </c>
      <c r="J3" s="75" t="s">
        <v>250</v>
      </c>
    </row>
    <row r="4" spans="1:22" ht="14.65" x14ac:dyDescent="0.4">
      <c r="A4" s="74">
        <v>-28</v>
      </c>
      <c r="B4" s="78" t="str">
        <f ca="1"/>
        <v/>
      </c>
      <c r="C4" s="72" t="str">
        <f ca="1"/>
        <v/>
      </c>
      <c r="D4" s="72" t="str">
        <f ca="1"/>
        <v/>
      </c>
      <c r="E4" s="72" t="str">
        <f ca="1"/>
        <v/>
      </c>
      <c r="F4" s="72" t="str">
        <f ca="1"/>
        <v/>
      </c>
    </row>
    <row r="5" spans="1:22" ht="14.65" x14ac:dyDescent="0.4">
      <c r="A5" s="74">
        <v>-27</v>
      </c>
      <c r="B5" s="78" t="str">
        <f ca="1"/>
        <v/>
      </c>
      <c r="C5" s="72" t="str">
        <f ca="1"/>
        <v/>
      </c>
      <c r="D5" s="72" t="str">
        <f ca="1"/>
        <v/>
      </c>
      <c r="E5" s="72" t="str">
        <f ca="1"/>
        <v/>
      </c>
      <c r="F5" s="72" t="str">
        <f ca="1"/>
        <v/>
      </c>
    </row>
    <row r="6" spans="1:22" ht="14.65" x14ac:dyDescent="0.4">
      <c r="A6" s="74">
        <v>-26</v>
      </c>
      <c r="B6" s="78" t="str">
        <f ca="1"/>
        <v/>
      </c>
      <c r="C6" s="72" t="str">
        <f ca="1"/>
        <v/>
      </c>
      <c r="D6" s="72" t="str">
        <f ca="1"/>
        <v/>
      </c>
      <c r="E6" s="72" t="str">
        <f ca="1"/>
        <v/>
      </c>
      <c r="F6" s="72" t="str">
        <f ca="1"/>
        <v/>
      </c>
    </row>
    <row r="7" spans="1:22" x14ac:dyDescent="0.25">
      <c r="A7" s="74">
        <v>-25</v>
      </c>
      <c r="B7" s="78" t="str">
        <f ca="1"/>
        <v/>
      </c>
      <c r="C7" s="72" t="str">
        <f ca="1"/>
        <v/>
      </c>
      <c r="D7" s="72" t="str">
        <f ca="1"/>
        <v/>
      </c>
      <c r="E7" s="72" t="str">
        <f ca="1"/>
        <v/>
      </c>
      <c r="F7" s="72" t="str">
        <f ca="1"/>
        <v/>
      </c>
    </row>
    <row r="8" spans="1:22" x14ac:dyDescent="0.25">
      <c r="A8" s="74">
        <v>-24</v>
      </c>
      <c r="B8" s="78" t="str">
        <f ca="1"/>
        <v/>
      </c>
      <c r="C8" s="72" t="str">
        <f ca="1"/>
        <v/>
      </c>
      <c r="D8" s="72" t="str">
        <f ca="1"/>
        <v/>
      </c>
      <c r="E8" s="72" t="str">
        <f ca="1"/>
        <v/>
      </c>
      <c r="F8" s="72" t="str">
        <f ca="1"/>
        <v/>
      </c>
      <c r="U8" s="77" t="s">
        <v>239</v>
      </c>
      <c r="V8" s="83" t="str">
        <f>A1</f>
        <v>TD</v>
      </c>
    </row>
    <row r="9" spans="1:22" x14ac:dyDescent="0.25">
      <c r="A9" s="74">
        <v>-23</v>
      </c>
      <c r="B9" s="78" t="str">
        <f ca="1"/>
        <v/>
      </c>
      <c r="C9" s="72" t="str">
        <f ca="1"/>
        <v/>
      </c>
      <c r="D9" s="72" t="str">
        <f ca="1"/>
        <v/>
      </c>
      <c r="E9" s="72" t="str">
        <f ca="1"/>
        <v/>
      </c>
      <c r="F9" s="72" t="str">
        <f ca="1"/>
        <v/>
      </c>
      <c r="G9" s="72" t="e">
        <f ca="1">AVERAGE(F4:F9)</f>
        <v>#DIV/0!</v>
      </c>
      <c r="U9" s="77" t="s">
        <v>240</v>
      </c>
      <c r="V9" s="80">
        <f ca="1">V10-60</f>
        <v>45550</v>
      </c>
    </row>
    <row r="10" spans="1:22" x14ac:dyDescent="0.25">
      <c r="A10" s="74">
        <v>-22</v>
      </c>
      <c r="B10" s="78" t="str">
        <f ca="1"/>
        <v/>
      </c>
      <c r="C10" s="72" t="str">
        <f ca="1"/>
        <v/>
      </c>
      <c r="D10" s="72" t="str">
        <f ca="1"/>
        <v/>
      </c>
      <c r="E10" s="72" t="str">
        <f ca="1"/>
        <v/>
      </c>
      <c r="F10" s="72" t="str">
        <f ca="1"/>
        <v/>
      </c>
      <c r="G10" s="72" t="e">
        <f t="shared" ref="G10:G32" ca="1" si="0">AVERAGE(F5:F10)</f>
        <v>#DIV/0!</v>
      </c>
      <c r="U10" s="77" t="s">
        <v>241</v>
      </c>
      <c r="V10" s="80">
        <f ca="1">TODAY()</f>
        <v>45610</v>
      </c>
    </row>
    <row r="11" spans="1:22" x14ac:dyDescent="0.25">
      <c r="A11" s="74">
        <v>-21</v>
      </c>
      <c r="B11" s="78" t="str">
        <f ca="1"/>
        <v/>
      </c>
      <c r="C11" s="72" t="str">
        <f ca="1"/>
        <v/>
      </c>
      <c r="D11" s="72" t="str">
        <f ca="1"/>
        <v/>
      </c>
      <c r="E11" s="72" t="str">
        <f ca="1"/>
        <v/>
      </c>
      <c r="F11" s="72" t="str">
        <f ca="1"/>
        <v/>
      </c>
      <c r="G11" s="72" t="e">
        <f t="shared" ca="1" si="0"/>
        <v>#DIV/0!</v>
      </c>
      <c r="U11" s="77" t="s">
        <v>242</v>
      </c>
      <c r="V11" s="79" t="s">
        <v>243</v>
      </c>
    </row>
    <row r="12" spans="1:22" x14ac:dyDescent="0.25">
      <c r="A12" s="74">
        <v>-20</v>
      </c>
      <c r="B12" s="78" t="str">
        <f ca="1"/>
        <v/>
      </c>
      <c r="C12" s="72" t="str">
        <f ca="1"/>
        <v/>
      </c>
      <c r="D12" s="72" t="str">
        <f ca="1"/>
        <v/>
      </c>
      <c r="E12" s="72" t="str">
        <f ca="1"/>
        <v/>
      </c>
      <c r="F12" s="72" t="str">
        <f ca="1"/>
        <v/>
      </c>
      <c r="G12" s="72" t="e">
        <f t="shared" ca="1" si="0"/>
        <v>#DIV/0!</v>
      </c>
      <c r="U12" s="77" t="s">
        <v>244</v>
      </c>
      <c r="V12" s="79" t="s">
        <v>249</v>
      </c>
    </row>
    <row r="13" spans="1:22" x14ac:dyDescent="0.25">
      <c r="A13" s="74">
        <v>-19</v>
      </c>
      <c r="B13" s="78" t="str">
        <f ca="1"/>
        <v/>
      </c>
      <c r="C13" s="72" t="str">
        <f ca="1"/>
        <v/>
      </c>
      <c r="D13" s="72" t="str">
        <f ca="1"/>
        <v/>
      </c>
      <c r="E13" s="72" t="str">
        <f ca="1"/>
        <v/>
      </c>
      <c r="F13" s="72" t="str">
        <f ca="1"/>
        <v/>
      </c>
      <c r="G13" s="72" t="e">
        <f t="shared" ca="1" si="0"/>
        <v>#DIV/0!</v>
      </c>
      <c r="U13" s="77" t="s">
        <v>245</v>
      </c>
      <c r="V13" s="79">
        <v>1</v>
      </c>
    </row>
    <row r="14" spans="1:22" x14ac:dyDescent="0.25">
      <c r="A14" s="74">
        <v>-18</v>
      </c>
      <c r="B14" s="78" t="str">
        <f ca="1"/>
        <v/>
      </c>
      <c r="C14" s="72" t="str">
        <f ca="1"/>
        <v/>
      </c>
      <c r="D14" s="72" t="str">
        <f ca="1"/>
        <v/>
      </c>
      <c r="E14" s="72" t="str">
        <f ca="1"/>
        <v/>
      </c>
      <c r="F14" s="72" t="str">
        <f ca="1"/>
        <v/>
      </c>
      <c r="G14" s="72" t="e">
        <f t="shared" ca="1" si="0"/>
        <v>#DIV/0!</v>
      </c>
      <c r="U14" s="77" t="s">
        <v>246</v>
      </c>
      <c r="V14" s="79">
        <v>1</v>
      </c>
    </row>
    <row r="15" spans="1:22" x14ac:dyDescent="0.25">
      <c r="A15" s="74">
        <v>-17</v>
      </c>
      <c r="B15" s="78" t="str">
        <f ca="1"/>
        <v/>
      </c>
      <c r="C15" s="72" t="str">
        <f ca="1"/>
        <v/>
      </c>
      <c r="D15" s="72" t="str">
        <f ca="1"/>
        <v/>
      </c>
      <c r="E15" s="72" t="str">
        <f ca="1"/>
        <v/>
      </c>
      <c r="F15" s="72" t="str">
        <f ca="1"/>
        <v/>
      </c>
      <c r="G15" s="72" t="e">
        <f t="shared" ca="1" si="0"/>
        <v>#DIV/0!</v>
      </c>
      <c r="U15" s="77" t="s">
        <v>247</v>
      </c>
      <c r="V15" s="79"/>
    </row>
    <row r="16" spans="1:22" x14ac:dyDescent="0.25">
      <c r="A16" s="74">
        <v>-16</v>
      </c>
      <c r="B16" s="78" t="str">
        <f ca="1"/>
        <v/>
      </c>
      <c r="C16" s="72" t="str">
        <f ca="1"/>
        <v/>
      </c>
      <c r="D16" s="72" t="str">
        <f ca="1"/>
        <v/>
      </c>
      <c r="E16" s="72" t="str">
        <f ca="1"/>
        <v/>
      </c>
      <c r="F16" s="72" t="str">
        <f ca="1"/>
        <v/>
      </c>
      <c r="G16" s="72" t="e">
        <f t="shared" ca="1" si="0"/>
        <v>#DIV/0!</v>
      </c>
      <c r="U16" s="77" t="s">
        <v>248</v>
      </c>
      <c r="V16" s="79"/>
    </row>
    <row r="17" spans="1:21" x14ac:dyDescent="0.25">
      <c r="A17" s="74">
        <v>-15</v>
      </c>
      <c r="B17" s="78" t="str">
        <f ca="1"/>
        <v/>
      </c>
      <c r="C17" s="72" t="str">
        <f ca="1"/>
        <v/>
      </c>
      <c r="D17" s="72" t="str">
        <f ca="1"/>
        <v/>
      </c>
      <c r="E17" s="72" t="str">
        <f ca="1"/>
        <v/>
      </c>
      <c r="F17" s="72" t="str">
        <f ca="1"/>
        <v/>
      </c>
      <c r="G17" s="72" t="e">
        <f t="shared" ca="1" si="0"/>
        <v>#DIV/0!</v>
      </c>
    </row>
    <row r="18" spans="1:21" x14ac:dyDescent="0.25">
      <c r="A18" s="74">
        <v>-14</v>
      </c>
      <c r="B18" s="78" t="str">
        <f ca="1"/>
        <v/>
      </c>
      <c r="C18" s="72" t="str">
        <f ca="1"/>
        <v/>
      </c>
      <c r="D18" s="72" t="str">
        <f ca="1"/>
        <v/>
      </c>
      <c r="E18" s="72" t="str">
        <f ca="1"/>
        <v/>
      </c>
      <c r="F18" s="72" t="str">
        <f ca="1"/>
        <v/>
      </c>
      <c r="G18" s="72" t="e">
        <f t="shared" ca="1" si="0"/>
        <v>#DIV/0!</v>
      </c>
    </row>
    <row r="19" spans="1:21" ht="14.65" x14ac:dyDescent="0.4">
      <c r="A19" s="74">
        <v>-13</v>
      </c>
      <c r="B19" s="78" t="str">
        <f ca="1"/>
        <v/>
      </c>
      <c r="C19" s="72" t="str">
        <f ca="1"/>
        <v/>
      </c>
      <c r="D19" s="72" t="str">
        <f ca="1"/>
        <v/>
      </c>
      <c r="E19" s="72" t="str">
        <f ca="1"/>
        <v/>
      </c>
      <c r="F19" s="72" t="str">
        <f ca="1"/>
        <v/>
      </c>
      <c r="G19" s="72" t="e">
        <f t="shared" ca="1" si="0"/>
        <v>#DIV/0!</v>
      </c>
      <c r="U19" s="75"/>
    </row>
    <row r="20" spans="1:21" ht="14.65" x14ac:dyDescent="0.4">
      <c r="A20" s="74">
        <v>-12</v>
      </c>
      <c r="B20" s="78" t="str">
        <f ca="1"/>
        <v/>
      </c>
      <c r="C20" s="72" t="str">
        <f ca="1"/>
        <v/>
      </c>
      <c r="D20" s="72" t="str">
        <f ca="1"/>
        <v/>
      </c>
      <c r="E20" s="72" t="str">
        <f ca="1"/>
        <v/>
      </c>
      <c r="F20" s="72" t="str">
        <f ca="1"/>
        <v/>
      </c>
      <c r="G20" s="72" t="e">
        <f t="shared" ca="1" si="0"/>
        <v>#DIV/0!</v>
      </c>
    </row>
    <row r="21" spans="1:21" ht="14.65" x14ac:dyDescent="0.4">
      <c r="A21" s="74">
        <v>-11</v>
      </c>
      <c r="B21" s="78" t="str">
        <f ca="1"/>
        <v/>
      </c>
      <c r="C21" s="72" t="str">
        <f ca="1"/>
        <v/>
      </c>
      <c r="D21" s="72" t="str">
        <f ca="1"/>
        <v/>
      </c>
      <c r="E21" s="72" t="str">
        <f ca="1"/>
        <v/>
      </c>
      <c r="F21" s="72" t="str">
        <f ca="1"/>
        <v/>
      </c>
      <c r="G21" s="72" t="e">
        <f t="shared" ca="1" si="0"/>
        <v>#DIV/0!</v>
      </c>
    </row>
    <row r="22" spans="1:21" ht="14.65" x14ac:dyDescent="0.4">
      <c r="A22" s="74">
        <v>-10</v>
      </c>
      <c r="B22" s="78" t="str">
        <f ca="1"/>
        <v/>
      </c>
      <c r="C22" s="72" t="str">
        <f ca="1"/>
        <v/>
      </c>
      <c r="D22" s="72" t="str">
        <f ca="1"/>
        <v/>
      </c>
      <c r="E22" s="72" t="str">
        <f ca="1"/>
        <v/>
      </c>
      <c r="F22" s="72" t="str">
        <f ca="1"/>
        <v/>
      </c>
      <c r="G22" s="72" t="e">
        <f t="shared" ca="1" si="0"/>
        <v>#DIV/0!</v>
      </c>
    </row>
    <row r="23" spans="1:21" ht="14.65" x14ac:dyDescent="0.4">
      <c r="A23" s="74">
        <v>-9</v>
      </c>
      <c r="B23" s="78" t="str">
        <f ca="1"/>
        <v/>
      </c>
      <c r="C23" s="72" t="str">
        <f ca="1"/>
        <v/>
      </c>
      <c r="D23" s="72" t="str">
        <f ca="1"/>
        <v/>
      </c>
      <c r="E23" s="72" t="str">
        <f ca="1"/>
        <v/>
      </c>
      <c r="F23" s="72" t="str">
        <f ca="1"/>
        <v/>
      </c>
      <c r="G23" s="72" t="e">
        <f t="shared" ca="1" si="0"/>
        <v>#DIV/0!</v>
      </c>
    </row>
    <row r="24" spans="1:21" ht="14.65" x14ac:dyDescent="0.4">
      <c r="A24" s="74">
        <v>-8</v>
      </c>
      <c r="B24" s="78" t="str">
        <f ca="1"/>
        <v/>
      </c>
      <c r="C24" s="72" t="str">
        <f ca="1"/>
        <v/>
      </c>
      <c r="D24" s="72" t="str">
        <f ca="1"/>
        <v/>
      </c>
      <c r="E24" s="72" t="str">
        <f ca="1"/>
        <v/>
      </c>
      <c r="F24" s="72" t="str">
        <f ca="1"/>
        <v/>
      </c>
      <c r="G24" s="72" t="e">
        <f t="shared" ca="1" si="0"/>
        <v>#DIV/0!</v>
      </c>
    </row>
    <row r="25" spans="1:21" ht="14.65" x14ac:dyDescent="0.4">
      <c r="A25" s="74">
        <v>-7</v>
      </c>
      <c r="B25" s="78" t="str">
        <f ca="1"/>
        <v/>
      </c>
      <c r="C25" s="72" t="str">
        <f ca="1"/>
        <v/>
      </c>
      <c r="D25" s="72" t="str">
        <f ca="1"/>
        <v/>
      </c>
      <c r="E25" s="72" t="str">
        <f ca="1"/>
        <v/>
      </c>
      <c r="F25" s="72" t="str">
        <f ca="1"/>
        <v/>
      </c>
      <c r="G25" s="72" t="e">
        <f t="shared" ca="1" si="0"/>
        <v>#DIV/0!</v>
      </c>
    </row>
    <row r="26" spans="1:21" ht="14.65" x14ac:dyDescent="0.4">
      <c r="A26" s="74">
        <v>-6</v>
      </c>
      <c r="B26" s="78" t="str">
        <f ca="1"/>
        <v/>
      </c>
      <c r="C26" s="72" t="str">
        <f ca="1"/>
        <v/>
      </c>
      <c r="D26" s="72" t="str">
        <f ca="1"/>
        <v/>
      </c>
      <c r="E26" s="72" t="str">
        <f ca="1"/>
        <v/>
      </c>
      <c r="F26" s="72" t="str">
        <f ca="1"/>
        <v/>
      </c>
      <c r="G26" s="72" t="e">
        <f t="shared" ca="1" si="0"/>
        <v>#DIV/0!</v>
      </c>
    </row>
    <row r="27" spans="1:21" ht="14.65" x14ac:dyDescent="0.4">
      <c r="A27" s="74">
        <v>-5</v>
      </c>
      <c r="B27" s="78" t="str">
        <f ca="1"/>
        <v/>
      </c>
      <c r="C27" s="72" t="str">
        <f ca="1"/>
        <v/>
      </c>
      <c r="D27" s="72" t="str">
        <f ca="1"/>
        <v/>
      </c>
      <c r="E27" s="72" t="str">
        <f ca="1"/>
        <v/>
      </c>
      <c r="F27" s="72" t="str">
        <f ca="1"/>
        <v/>
      </c>
      <c r="G27" s="72" t="e">
        <f t="shared" ca="1" si="0"/>
        <v>#DIV/0!</v>
      </c>
    </row>
    <row r="28" spans="1:21" ht="14.65" x14ac:dyDescent="0.4">
      <c r="A28" s="74">
        <v>-4</v>
      </c>
      <c r="B28" s="78" t="str">
        <f ca="1"/>
        <v/>
      </c>
      <c r="C28" s="72" t="str">
        <f ca="1"/>
        <v/>
      </c>
      <c r="D28" s="72" t="str">
        <f ca="1"/>
        <v/>
      </c>
      <c r="E28" s="72" t="str">
        <f ca="1"/>
        <v/>
      </c>
      <c r="F28" s="72" t="str">
        <f ca="1"/>
        <v/>
      </c>
      <c r="G28" s="72" t="e">
        <f t="shared" ca="1" si="0"/>
        <v>#DIV/0!</v>
      </c>
    </row>
    <row r="29" spans="1:21" ht="14.65" x14ac:dyDescent="0.4">
      <c r="A29" s="74">
        <v>-3</v>
      </c>
      <c r="B29" s="78" t="str">
        <f ca="1"/>
        <v/>
      </c>
      <c r="C29" s="72" t="str">
        <f ca="1"/>
        <v/>
      </c>
      <c r="D29" s="72" t="str">
        <f ca="1"/>
        <v/>
      </c>
      <c r="E29" s="72" t="str">
        <f ca="1"/>
        <v/>
      </c>
      <c r="F29" s="72" t="str">
        <f ca="1"/>
        <v/>
      </c>
      <c r="G29" s="72" t="e">
        <f t="shared" ca="1" si="0"/>
        <v>#DIV/0!</v>
      </c>
    </row>
    <row r="30" spans="1:21" ht="14.65" x14ac:dyDescent="0.4">
      <c r="A30" s="74">
        <v>-2</v>
      </c>
      <c r="B30" s="78" t="str">
        <f ca="1"/>
        <v/>
      </c>
      <c r="C30" s="72" t="str">
        <f ca="1"/>
        <v/>
      </c>
      <c r="D30" s="72" t="str">
        <f ca="1"/>
        <v/>
      </c>
      <c r="E30" s="72" t="str">
        <f ca="1"/>
        <v/>
      </c>
      <c r="F30" s="72" t="str">
        <f ca="1"/>
        <v/>
      </c>
      <c r="G30" s="72" t="e">
        <f t="shared" ca="1" si="0"/>
        <v>#DIV/0!</v>
      </c>
    </row>
    <row r="31" spans="1:21" ht="14.65" x14ac:dyDescent="0.4">
      <c r="A31" s="74">
        <v>-1</v>
      </c>
      <c r="B31" s="78" t="str">
        <f ca="1"/>
        <v/>
      </c>
      <c r="C31" s="72" t="str">
        <f ca="1"/>
        <v/>
      </c>
      <c r="D31" s="72" t="str">
        <f ca="1"/>
        <v/>
      </c>
      <c r="E31" s="72" t="str">
        <f ca="1"/>
        <v/>
      </c>
      <c r="F31" s="72" t="str">
        <f ca="1"/>
        <v/>
      </c>
      <c r="G31" s="72" t="e">
        <f t="shared" ca="1" si="0"/>
        <v>#DIV/0!</v>
      </c>
    </row>
    <row r="32" spans="1:21" ht="14.65" x14ac:dyDescent="0.4">
      <c r="A32" s="74">
        <v>0</v>
      </c>
      <c r="B32" s="78" t="str">
        <f ca="1"/>
        <v/>
      </c>
      <c r="C32" s="72" t="str">
        <f ca="1"/>
        <v/>
      </c>
      <c r="D32" s="72" t="str">
        <f ca="1"/>
        <v/>
      </c>
      <c r="E32" s="72" t="str">
        <f ca="1"/>
        <v/>
      </c>
      <c r="F32" s="72" t="str">
        <f ca="1"/>
        <v/>
      </c>
      <c r="G32" s="72" t="e">
        <f t="shared" ca="1" si="0"/>
        <v>#DIV/0!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119"/>
  <sheetViews>
    <sheetView workbookViewId="0">
      <selection activeCell="I34" sqref="I34"/>
    </sheetView>
  </sheetViews>
  <sheetFormatPr defaultRowHeight="15" x14ac:dyDescent="0.25"/>
  <cols>
    <col min="2" max="2" width="9.7109375" bestFit="1" customWidth="1"/>
    <col min="3" max="3" width="11.7109375" customWidth="1"/>
    <col min="4" max="6" width="9.28515625" bestFit="1" customWidth="1"/>
  </cols>
  <sheetData>
    <row r="1" spans="1:13" x14ac:dyDescent="0.25">
      <c r="A1" t="str">
        <f>Ticker</f>
        <v>TD</v>
      </c>
      <c r="B1" s="82"/>
      <c r="D1" s="69" t="str">
        <f>Ticker</f>
        <v>TD</v>
      </c>
      <c r="E1" s="69"/>
      <c r="G1" t="str">
        <f t="array" ref="G1">[1]!RCHGetElementNumber(Ticker,13863)</f>
        <v>The Toronto-Dominion Bank</v>
      </c>
    </row>
    <row r="2" spans="1:13" x14ac:dyDescent="0.25">
      <c r="M2" t="s">
        <v>252</v>
      </c>
    </row>
    <row r="3" spans="1:13" x14ac:dyDescent="0.25">
      <c r="B3" t="s">
        <v>251</v>
      </c>
      <c r="M3" t="s">
        <v>253</v>
      </c>
    </row>
    <row r="4" spans="1:13" x14ac:dyDescent="0.25">
      <c r="B4">
        <v>1</v>
      </c>
      <c r="C4">
        <v>2</v>
      </c>
      <c r="D4">
        <v>3</v>
      </c>
      <c r="E4">
        <v>4</v>
      </c>
      <c r="F4">
        <v>5</v>
      </c>
    </row>
    <row r="5" spans="1:13" x14ac:dyDescent="0.25">
      <c r="A5">
        <v>1</v>
      </c>
    </row>
    <row r="6" spans="1:13" x14ac:dyDescent="0.25">
      <c r="A6">
        <v>2</v>
      </c>
      <c r="C6" s="60" t="str">
        <f t="array" ref="C6">[1]!RCHGetTableCell("https://www.zacks.com/stock/quote/" &amp; A1&amp;"/detailed-earning-estimates",B$4,"Magnitude - Consensus Estimate Trend",,,,$A6)</f>
        <v>Current</v>
      </c>
      <c r="D6" s="60">
        <f t="array" ref="D6">[1]!RCHGetTableCell("https://www.zacks.com/stock/quote/" &amp; A1&amp;"/detailed-earning-estimates",C$4,"Magnitude - Consensus Estimate Trend",,,,$A6)</f>
        <v>1.35</v>
      </c>
      <c r="E6" s="60" t="str">
        <f t="array" ref="E6">[1]!RCHGetTableCell("https://www.zacks.com/stock/quote/" &amp; A1&amp;"/detailed-earning-estimates",D$4,"Magnitude - Consensus Estimate Trend",,,,$A6)</f>
        <v>NA</v>
      </c>
      <c r="F6" s="60">
        <f t="array" ref="F6">[1]!RCHGetTableCell("https://www.zacks.com/stock/quote/" &amp; A1&amp;"/detailed-earning-estimates",E$4,"Magnitude - Consensus Estimate Trend",,,,$A6)</f>
        <v>5.8</v>
      </c>
      <c r="G6" s="60">
        <f t="array" ref="G6">[1]!RCHGetTableCell("https://www.zacks.com/stock/quote/" &amp; A1&amp;"/detailed-earning-estimates",F$4,"Magnitude - Consensus Estimate Trend",,,,$A6)</f>
        <v>5.99</v>
      </c>
    </row>
    <row r="7" spans="1:13" x14ac:dyDescent="0.25">
      <c r="A7">
        <v>3</v>
      </c>
      <c r="C7" s="60" t="str">
        <f t="array" ref="C7">[1]!RCHGetTableCell("https://www.zacks.com/stock/quote/" &amp; A1&amp;"/detailed-earning-estimates",B$4,"Magnitude - Consensus Estimate Trend",,,,$A7)</f>
        <v>7 Days Ago</v>
      </c>
      <c r="D7" s="60">
        <f t="array" ref="D7">[1]!RCHGetTableCell("https://www.zacks.com/stock/quote/" &amp; A1&amp;"/detailed-earning-estimates",C$4,"Magnitude - Consensus Estimate Trend",,,,$A7)</f>
        <v>1.35</v>
      </c>
      <c r="E7" s="60" t="str">
        <f t="array" ref="E7">[1]!RCHGetTableCell("https://www.zacks.com/stock/quote/" &amp; A1&amp;"/detailed-earning-estimates",D$4,"Magnitude - Consensus Estimate Trend",,,,$A7)</f>
        <v>NA</v>
      </c>
      <c r="F7" s="60">
        <f t="array" ref="F7">[1]!RCHGetTableCell("https://www.zacks.com/stock/quote/" &amp; A1&amp;"/detailed-earning-estimates",E$4,"Magnitude - Consensus Estimate Trend",,,,$A7)</f>
        <v>5.8</v>
      </c>
      <c r="G7" s="60">
        <f t="array" ref="G7">[1]!RCHGetTableCell("https://www.zacks.com/stock/quote/" &amp; A1&amp;"/detailed-earning-estimates",F$4,"Magnitude - Consensus Estimate Trend",,,,$A7)</f>
        <v>5.99</v>
      </c>
    </row>
    <row r="8" spans="1:13" x14ac:dyDescent="0.25">
      <c r="A8">
        <v>4</v>
      </c>
      <c r="C8" s="60" t="str">
        <f t="array" ref="C8">[1]!RCHGetTableCell("https://www.zacks.com/stock/quote/" &amp; A1&amp;"/detailed-earning-estimates",B$4,"Magnitude - Consensus Estimate Trend",,,,$A8)</f>
        <v>30 Days Ago</v>
      </c>
      <c r="D8" s="60">
        <f t="array" ref="D8">[1]!RCHGetTableCell("https://www.zacks.com/stock/quote/" &amp; A1&amp;"/detailed-earning-estimates",C$4,"Magnitude - Consensus Estimate Trend",,,,$A8)</f>
        <v>1.36</v>
      </c>
      <c r="E8" s="60" t="str">
        <f t="array" ref="E8">[1]!RCHGetTableCell("https://www.zacks.com/stock/quote/" &amp; A1&amp;"/detailed-earning-estimates",D$4,"Magnitude - Consensus Estimate Trend",,,,$A8)</f>
        <v>NA</v>
      </c>
      <c r="F8" s="60">
        <f t="array" ref="F8">[1]!RCHGetTableCell("https://www.zacks.com/stock/quote/" &amp; A1&amp;"/detailed-earning-estimates",E$4,"Magnitude - Consensus Estimate Trend",,,,$A8)</f>
        <v>5.85</v>
      </c>
      <c r="G8" s="60">
        <f t="array" ref="G8">[1]!RCHGetTableCell("https://www.zacks.com/stock/quote/" &amp; A1&amp;"/detailed-earning-estimates",F$4,"Magnitude - Consensus Estimate Trend",,,,$A8)</f>
        <v>6.05</v>
      </c>
    </row>
    <row r="9" spans="1:13" x14ac:dyDescent="0.25">
      <c r="A9">
        <v>5</v>
      </c>
      <c r="C9" s="60" t="str">
        <f t="array" ref="C9">[1]!RCHGetTableCell("https://www.zacks.com/stock/quote/" &amp; A1&amp;"/detailed-earning-estimates",B$4,"Magnitude - Consensus Estimate Trend",,,,$A9)</f>
        <v>60 Days Ago</v>
      </c>
      <c r="D9" s="60">
        <f t="array" ref="D9">[1]!RCHGetTableCell("https://www.zacks.com/stock/quote/" &amp; A1&amp;"/detailed-earning-estimates",C$4,"Magnitude - Consensus Estimate Trend",,,,$A9)</f>
        <v>1.37</v>
      </c>
      <c r="E9" s="60" t="str">
        <f t="array" ref="E9">[1]!RCHGetTableCell("https://www.zacks.com/stock/quote/" &amp; A1&amp;"/detailed-earning-estimates",D$4,"Magnitude - Consensus Estimate Trend",,,,$A9)</f>
        <v>NA</v>
      </c>
      <c r="F9" s="60">
        <f t="array" ref="F9">[1]!RCHGetTableCell("https://www.zacks.com/stock/quote/" &amp; A1&amp;"/detailed-earning-estimates",E$4,"Magnitude - Consensus Estimate Trend",,,,$A9)</f>
        <v>5.84</v>
      </c>
      <c r="G9" s="60">
        <f t="array" ref="G9">[1]!RCHGetTableCell("https://www.zacks.com/stock/quote/" &amp; A1&amp;"/detailed-earning-estimates",F$4,"Magnitude - Consensus Estimate Trend",,,,$A9)</f>
        <v>6.06</v>
      </c>
    </row>
    <row r="10" spans="1:13" x14ac:dyDescent="0.25">
      <c r="A10">
        <v>6</v>
      </c>
      <c r="C10" s="60" t="str">
        <f t="array" ref="C10">[1]!RCHGetTableCell("https://www.zacks.com/stock/quote/" &amp; A1&amp;"/detailed-earning-estimates",B$4,"Magnitude - Consensus Estimate Trend",,,,$A10)</f>
        <v>90 Days Ago</v>
      </c>
      <c r="D10" s="60">
        <f t="array" ref="D10">[1]!RCHGetTableCell("https://www.zacks.com/stock/quote/" &amp; A1&amp;"/detailed-earning-estimates",C$4,"Magnitude - Consensus Estimate Trend",,,,$A10)</f>
        <v>1.44</v>
      </c>
      <c r="E10" s="60" t="str">
        <f t="array" ref="E10">[1]!RCHGetTableCell("https://www.zacks.com/stock/quote/" &amp; A1&amp;"/detailed-earning-estimates",D$4,"Magnitude - Consensus Estimate Trend",,,,$A10)</f>
        <v>NA</v>
      </c>
      <c r="F10" s="60">
        <f t="array" ref="F10">[1]!RCHGetTableCell("https://www.zacks.com/stock/quote/" &amp; A1&amp;"/detailed-earning-estimates",E$4,"Magnitude - Consensus Estimate Trend",,,,$A10)</f>
        <v>5.87</v>
      </c>
      <c r="G10" s="60">
        <f t="array" ref="G10">[1]!RCHGetTableCell("https://www.zacks.com/stock/quote/" &amp; A1&amp;"/detailed-earning-estimates",F$4,"Magnitude - Consensus Estimate Trend",,,,$A10)</f>
        <v>6.09</v>
      </c>
    </row>
    <row r="17" spans="1:7" x14ac:dyDescent="0.25">
      <c r="A17" s="15"/>
      <c r="B17" s="15"/>
    </row>
    <row r="28" spans="1:7" ht="14.65" x14ac:dyDescent="0.4">
      <c r="B28" s="15" t="str">
        <f t="array" aca="1" ref="B28:F119" ca="1">[1]!smfGetYahooHistory(Ticker,TODAY()-180,TODAY(),"d","dohlc",1,1)</f>
        <v>Date</v>
      </c>
      <c r="C28" s="72" t="str">
        <f ca="1"/>
        <v>Open</v>
      </c>
      <c r="D28" s="72" t="str">
        <f ca="1"/>
        <v>High</v>
      </c>
      <c r="E28" s="72" t="str">
        <f ca="1"/>
        <v>Low</v>
      </c>
      <c r="F28" s="72" t="str">
        <f ca="1"/>
        <v>AdjClose</v>
      </c>
      <c r="G28" t="s">
        <v>237</v>
      </c>
    </row>
    <row r="29" spans="1:7" ht="14.65" x14ac:dyDescent="0.4">
      <c r="A29" s="70">
        <v>-90</v>
      </c>
      <c r="B29" s="71" t="str">
        <f ca="1"/>
        <v/>
      </c>
      <c r="C29" s="72" t="str">
        <f ca="1"/>
        <v/>
      </c>
      <c r="D29" s="72" t="str">
        <f ca="1"/>
        <v/>
      </c>
      <c r="E29" s="72" t="str">
        <f ca="1"/>
        <v/>
      </c>
      <c r="F29" s="72" t="str">
        <f ca="1"/>
        <v/>
      </c>
      <c r="G29">
        <f>D10</f>
        <v>1.44</v>
      </c>
    </row>
    <row r="30" spans="1:7" ht="14.65" x14ac:dyDescent="0.4">
      <c r="A30" s="15">
        <v>-89</v>
      </c>
      <c r="B30" s="71" t="str">
        <f ca="1"/>
        <v/>
      </c>
      <c r="C30" s="72" t="str">
        <f ca="1"/>
        <v/>
      </c>
      <c r="D30" s="72" t="str">
        <f ca="1"/>
        <v/>
      </c>
      <c r="E30" s="72" t="str">
        <f ca="1"/>
        <v/>
      </c>
      <c r="F30" s="72" t="str">
        <f ca="1"/>
        <v/>
      </c>
      <c r="G30">
        <f>G29</f>
        <v>1.44</v>
      </c>
    </row>
    <row r="31" spans="1:7" ht="14.65" x14ac:dyDescent="0.4">
      <c r="A31" s="15">
        <v>-88</v>
      </c>
      <c r="B31" s="71" t="str">
        <f ca="1"/>
        <v/>
      </c>
      <c r="C31" s="72" t="str">
        <f ca="1"/>
        <v/>
      </c>
      <c r="D31" s="72" t="str">
        <f ca="1"/>
        <v/>
      </c>
      <c r="E31" s="72" t="str">
        <f ca="1"/>
        <v/>
      </c>
      <c r="F31" s="72" t="str">
        <f ca="1"/>
        <v/>
      </c>
      <c r="G31">
        <f t="shared" ref="G31:G58" si="0">G30</f>
        <v>1.44</v>
      </c>
    </row>
    <row r="32" spans="1:7" ht="14.65" x14ac:dyDescent="0.4">
      <c r="A32" s="15">
        <v>-87</v>
      </c>
      <c r="B32" s="71" t="str">
        <f ca="1"/>
        <v/>
      </c>
      <c r="C32" s="72" t="str">
        <f ca="1"/>
        <v/>
      </c>
      <c r="D32" s="72" t="str">
        <f ca="1"/>
        <v/>
      </c>
      <c r="E32" s="72" t="str">
        <f ca="1"/>
        <v/>
      </c>
      <c r="F32" s="72" t="str">
        <f ca="1"/>
        <v/>
      </c>
      <c r="G32">
        <f t="shared" si="0"/>
        <v>1.44</v>
      </c>
    </row>
    <row r="33" spans="1:7" ht="14.65" x14ac:dyDescent="0.4">
      <c r="A33" s="70">
        <v>-86</v>
      </c>
      <c r="B33" s="71" t="str">
        <f ca="1"/>
        <v/>
      </c>
      <c r="C33" s="72" t="str">
        <f ca="1"/>
        <v/>
      </c>
      <c r="D33" s="72" t="str">
        <f ca="1"/>
        <v/>
      </c>
      <c r="E33" s="72" t="str">
        <f ca="1"/>
        <v/>
      </c>
      <c r="F33" s="72" t="str">
        <f ca="1"/>
        <v/>
      </c>
      <c r="G33">
        <f t="shared" si="0"/>
        <v>1.44</v>
      </c>
    </row>
    <row r="34" spans="1:7" ht="14.65" x14ac:dyDescent="0.4">
      <c r="A34" s="15">
        <v>-85</v>
      </c>
      <c r="B34" s="71" t="str">
        <f ca="1"/>
        <v/>
      </c>
      <c r="C34" s="72" t="str">
        <f ca="1"/>
        <v/>
      </c>
      <c r="D34" s="72" t="str">
        <f ca="1"/>
        <v/>
      </c>
      <c r="E34" s="72" t="str">
        <f ca="1"/>
        <v/>
      </c>
      <c r="F34" s="72" t="str">
        <f ca="1"/>
        <v/>
      </c>
      <c r="G34">
        <f t="shared" si="0"/>
        <v>1.44</v>
      </c>
    </row>
    <row r="35" spans="1:7" ht="14.65" x14ac:dyDescent="0.4">
      <c r="A35" s="15">
        <v>-84</v>
      </c>
      <c r="B35" s="71" t="str">
        <f ca="1"/>
        <v/>
      </c>
      <c r="C35" s="72" t="str">
        <f ca="1"/>
        <v/>
      </c>
      <c r="D35" s="72" t="str">
        <f ca="1"/>
        <v/>
      </c>
      <c r="E35" s="72" t="str">
        <f ca="1"/>
        <v/>
      </c>
      <c r="F35" s="72" t="str">
        <f ca="1"/>
        <v/>
      </c>
      <c r="G35">
        <f t="shared" si="0"/>
        <v>1.44</v>
      </c>
    </row>
    <row r="36" spans="1:7" ht="14.65" x14ac:dyDescent="0.4">
      <c r="A36" s="15">
        <v>-83</v>
      </c>
      <c r="B36" s="71" t="str">
        <f ca="1"/>
        <v/>
      </c>
      <c r="C36" s="72" t="str">
        <f ca="1"/>
        <v/>
      </c>
      <c r="D36" s="72" t="str">
        <f ca="1"/>
        <v/>
      </c>
      <c r="E36" s="72" t="str">
        <f ca="1"/>
        <v/>
      </c>
      <c r="F36" s="72" t="str">
        <f ca="1"/>
        <v/>
      </c>
      <c r="G36">
        <f t="shared" si="0"/>
        <v>1.44</v>
      </c>
    </row>
    <row r="37" spans="1:7" ht="14.65" x14ac:dyDescent="0.4">
      <c r="A37" s="70">
        <v>-82</v>
      </c>
      <c r="B37" s="71" t="str">
        <f ca="1"/>
        <v/>
      </c>
      <c r="C37" s="72" t="str">
        <f ca="1"/>
        <v/>
      </c>
      <c r="D37" s="72" t="str">
        <f ca="1"/>
        <v/>
      </c>
      <c r="E37" s="72" t="str">
        <f ca="1"/>
        <v/>
      </c>
      <c r="F37" s="72" t="str">
        <f ca="1"/>
        <v/>
      </c>
      <c r="G37">
        <f t="shared" si="0"/>
        <v>1.44</v>
      </c>
    </row>
    <row r="38" spans="1:7" ht="14.65" x14ac:dyDescent="0.4">
      <c r="A38" s="15">
        <v>-81</v>
      </c>
      <c r="B38" s="71" t="str">
        <f ca="1"/>
        <v/>
      </c>
      <c r="C38" s="72" t="str">
        <f ca="1"/>
        <v/>
      </c>
      <c r="D38" s="72" t="str">
        <f ca="1"/>
        <v/>
      </c>
      <c r="E38" s="72" t="str">
        <f ca="1"/>
        <v/>
      </c>
      <c r="F38" s="72" t="str">
        <f ca="1"/>
        <v/>
      </c>
      <c r="G38">
        <f t="shared" si="0"/>
        <v>1.44</v>
      </c>
    </row>
    <row r="39" spans="1:7" ht="14.65" x14ac:dyDescent="0.4">
      <c r="A39" s="15">
        <v>-80</v>
      </c>
      <c r="B39" s="71" t="str">
        <f ca="1"/>
        <v/>
      </c>
      <c r="C39" s="72" t="str">
        <f ca="1"/>
        <v/>
      </c>
      <c r="D39" s="72" t="str">
        <f ca="1"/>
        <v/>
      </c>
      <c r="E39" s="72" t="str">
        <f ca="1"/>
        <v/>
      </c>
      <c r="F39" s="72" t="str">
        <f ca="1"/>
        <v/>
      </c>
      <c r="G39">
        <f t="shared" si="0"/>
        <v>1.44</v>
      </c>
    </row>
    <row r="40" spans="1:7" x14ac:dyDescent="0.25">
      <c r="A40" s="15">
        <v>-79</v>
      </c>
      <c r="B40" s="71" t="str">
        <f ca="1"/>
        <v/>
      </c>
      <c r="C40" s="72" t="str">
        <f ca="1"/>
        <v/>
      </c>
      <c r="D40" s="72" t="str">
        <f ca="1"/>
        <v/>
      </c>
      <c r="E40" s="72" t="str">
        <f ca="1"/>
        <v/>
      </c>
      <c r="F40" s="72" t="str">
        <f ca="1"/>
        <v/>
      </c>
      <c r="G40">
        <f t="shared" si="0"/>
        <v>1.44</v>
      </c>
    </row>
    <row r="41" spans="1:7" x14ac:dyDescent="0.25">
      <c r="A41" s="70">
        <v>-78</v>
      </c>
      <c r="B41" s="71" t="str">
        <f ca="1"/>
        <v/>
      </c>
      <c r="C41" s="72" t="str">
        <f ca="1"/>
        <v/>
      </c>
      <c r="D41" s="72" t="str">
        <f ca="1"/>
        <v/>
      </c>
      <c r="E41" s="72" t="str">
        <f ca="1"/>
        <v/>
      </c>
      <c r="F41" s="72" t="str">
        <f ca="1"/>
        <v/>
      </c>
      <c r="G41">
        <f t="shared" si="0"/>
        <v>1.44</v>
      </c>
    </row>
    <row r="42" spans="1:7" x14ac:dyDescent="0.25">
      <c r="A42" s="15">
        <v>-77</v>
      </c>
      <c r="B42" s="71" t="str">
        <f ca="1"/>
        <v/>
      </c>
      <c r="C42" s="72" t="str">
        <f ca="1"/>
        <v/>
      </c>
      <c r="D42" s="72" t="str">
        <f ca="1"/>
        <v/>
      </c>
      <c r="E42" s="72" t="str">
        <f ca="1"/>
        <v/>
      </c>
      <c r="F42" s="72" t="str">
        <f ca="1"/>
        <v/>
      </c>
      <c r="G42">
        <f t="shared" si="0"/>
        <v>1.44</v>
      </c>
    </row>
    <row r="43" spans="1:7" x14ac:dyDescent="0.25">
      <c r="A43" s="15">
        <v>-76</v>
      </c>
      <c r="B43" s="71" t="str">
        <f ca="1"/>
        <v/>
      </c>
      <c r="C43" s="72" t="str">
        <f ca="1"/>
        <v/>
      </c>
      <c r="D43" s="72" t="str">
        <f ca="1"/>
        <v/>
      </c>
      <c r="E43" s="72" t="str">
        <f ca="1"/>
        <v/>
      </c>
      <c r="F43" s="72" t="str">
        <f ca="1"/>
        <v/>
      </c>
      <c r="G43">
        <f t="shared" si="0"/>
        <v>1.44</v>
      </c>
    </row>
    <row r="44" spans="1:7" x14ac:dyDescent="0.25">
      <c r="A44" s="15">
        <v>-75</v>
      </c>
      <c r="B44" s="71" t="str">
        <f ca="1"/>
        <v/>
      </c>
      <c r="C44" s="72" t="str">
        <f ca="1"/>
        <v/>
      </c>
      <c r="D44" s="72" t="str">
        <f ca="1"/>
        <v/>
      </c>
      <c r="E44" s="72" t="str">
        <f ca="1"/>
        <v/>
      </c>
      <c r="F44" s="72" t="str">
        <f ca="1"/>
        <v/>
      </c>
      <c r="G44">
        <f t="shared" si="0"/>
        <v>1.44</v>
      </c>
    </row>
    <row r="45" spans="1:7" x14ac:dyDescent="0.25">
      <c r="A45" s="70">
        <v>-74</v>
      </c>
      <c r="B45" s="71" t="str">
        <f ca="1"/>
        <v/>
      </c>
      <c r="C45" s="72" t="str">
        <f ca="1"/>
        <v/>
      </c>
      <c r="D45" s="72" t="str">
        <f ca="1"/>
        <v/>
      </c>
      <c r="E45" s="72" t="str">
        <f ca="1"/>
        <v/>
      </c>
      <c r="F45" s="72" t="str">
        <f ca="1"/>
        <v/>
      </c>
      <c r="G45">
        <f t="shared" si="0"/>
        <v>1.44</v>
      </c>
    </row>
    <row r="46" spans="1:7" x14ac:dyDescent="0.25">
      <c r="A46" s="15">
        <v>-73</v>
      </c>
      <c r="B46" s="71" t="str">
        <f ca="1"/>
        <v/>
      </c>
      <c r="C46" s="72" t="str">
        <f ca="1"/>
        <v/>
      </c>
      <c r="D46" s="72" t="str">
        <f ca="1"/>
        <v/>
      </c>
      <c r="E46" s="72" t="str">
        <f ca="1"/>
        <v/>
      </c>
      <c r="F46" s="72" t="str">
        <f ca="1"/>
        <v/>
      </c>
      <c r="G46">
        <f t="shared" si="0"/>
        <v>1.44</v>
      </c>
    </row>
    <row r="47" spans="1:7" x14ac:dyDescent="0.25">
      <c r="A47" s="15">
        <v>-72</v>
      </c>
      <c r="B47" s="71" t="str">
        <f ca="1"/>
        <v/>
      </c>
      <c r="C47" s="72" t="str">
        <f ca="1"/>
        <v/>
      </c>
      <c r="D47" s="72" t="str">
        <f ca="1"/>
        <v/>
      </c>
      <c r="E47" s="72" t="str">
        <f ca="1"/>
        <v/>
      </c>
      <c r="F47" s="72" t="str">
        <f ca="1"/>
        <v/>
      </c>
      <c r="G47">
        <f t="shared" si="0"/>
        <v>1.44</v>
      </c>
    </row>
    <row r="48" spans="1:7" x14ac:dyDescent="0.25">
      <c r="A48" s="15">
        <v>-71</v>
      </c>
      <c r="B48" s="71" t="str">
        <f ca="1"/>
        <v/>
      </c>
      <c r="C48" s="72" t="str">
        <f ca="1"/>
        <v/>
      </c>
      <c r="D48" s="72" t="str">
        <f ca="1"/>
        <v/>
      </c>
      <c r="E48" s="72" t="str">
        <f ca="1"/>
        <v/>
      </c>
      <c r="F48" s="72" t="str">
        <f ca="1"/>
        <v/>
      </c>
      <c r="G48">
        <f t="shared" si="0"/>
        <v>1.44</v>
      </c>
    </row>
    <row r="49" spans="1:7" x14ac:dyDescent="0.25">
      <c r="A49" s="70">
        <v>-70</v>
      </c>
      <c r="B49" s="71" t="str">
        <f ca="1"/>
        <v/>
      </c>
      <c r="C49" s="72" t="str">
        <f ca="1"/>
        <v/>
      </c>
      <c r="D49" s="72" t="str">
        <f ca="1"/>
        <v/>
      </c>
      <c r="E49" s="72" t="str">
        <f ca="1"/>
        <v/>
      </c>
      <c r="F49" s="72" t="str">
        <f ca="1"/>
        <v/>
      </c>
      <c r="G49">
        <f t="shared" si="0"/>
        <v>1.44</v>
      </c>
    </row>
    <row r="50" spans="1:7" x14ac:dyDescent="0.25">
      <c r="A50" s="15">
        <v>-69</v>
      </c>
      <c r="B50" s="71" t="str">
        <f ca="1"/>
        <v/>
      </c>
      <c r="C50" s="72" t="str">
        <f ca="1"/>
        <v/>
      </c>
      <c r="D50" s="72" t="str">
        <f ca="1"/>
        <v/>
      </c>
      <c r="E50" s="72" t="str">
        <f ca="1"/>
        <v/>
      </c>
      <c r="F50" s="72" t="str">
        <f ca="1"/>
        <v/>
      </c>
      <c r="G50">
        <f t="shared" si="0"/>
        <v>1.44</v>
      </c>
    </row>
    <row r="51" spans="1:7" x14ac:dyDescent="0.25">
      <c r="A51" s="15">
        <v>-68</v>
      </c>
      <c r="B51" s="71" t="str">
        <f ca="1"/>
        <v/>
      </c>
      <c r="C51" s="72" t="str">
        <f ca="1"/>
        <v/>
      </c>
      <c r="D51" s="72" t="str">
        <f ca="1"/>
        <v/>
      </c>
      <c r="E51" s="72" t="str">
        <f ca="1"/>
        <v/>
      </c>
      <c r="F51" s="72" t="str">
        <f ca="1"/>
        <v/>
      </c>
      <c r="G51">
        <f t="shared" si="0"/>
        <v>1.44</v>
      </c>
    </row>
    <row r="52" spans="1:7" x14ac:dyDescent="0.25">
      <c r="A52" s="15">
        <v>-67</v>
      </c>
      <c r="B52" s="71" t="str">
        <f ca="1"/>
        <v/>
      </c>
      <c r="C52" s="72" t="str">
        <f ca="1"/>
        <v/>
      </c>
      <c r="D52" s="72" t="str">
        <f ca="1"/>
        <v/>
      </c>
      <c r="E52" s="72" t="str">
        <f ca="1"/>
        <v/>
      </c>
      <c r="F52" s="72" t="str">
        <f ca="1"/>
        <v/>
      </c>
      <c r="G52">
        <f t="shared" si="0"/>
        <v>1.44</v>
      </c>
    </row>
    <row r="53" spans="1:7" x14ac:dyDescent="0.25">
      <c r="A53" s="70">
        <v>-66</v>
      </c>
      <c r="B53" s="71" t="str">
        <f ca="1"/>
        <v/>
      </c>
      <c r="C53" s="72" t="str">
        <f ca="1"/>
        <v/>
      </c>
      <c r="D53" s="72" t="str">
        <f ca="1"/>
        <v/>
      </c>
      <c r="E53" s="72" t="str">
        <f ca="1"/>
        <v/>
      </c>
      <c r="F53" s="72" t="str">
        <f ca="1"/>
        <v/>
      </c>
      <c r="G53">
        <f t="shared" si="0"/>
        <v>1.44</v>
      </c>
    </row>
    <row r="54" spans="1:7" x14ac:dyDescent="0.25">
      <c r="A54" s="15">
        <v>-65</v>
      </c>
      <c r="B54" s="71" t="str">
        <f ca="1"/>
        <v/>
      </c>
      <c r="C54" s="72" t="str">
        <f ca="1"/>
        <v/>
      </c>
      <c r="D54" s="72" t="str">
        <f ca="1"/>
        <v/>
      </c>
      <c r="E54" s="72" t="str">
        <f ca="1"/>
        <v/>
      </c>
      <c r="F54" s="72" t="str">
        <f ca="1"/>
        <v/>
      </c>
      <c r="G54">
        <f t="shared" si="0"/>
        <v>1.44</v>
      </c>
    </row>
    <row r="55" spans="1:7" x14ac:dyDescent="0.25">
      <c r="A55" s="15">
        <v>-64</v>
      </c>
      <c r="B55" s="71" t="str">
        <f ca="1"/>
        <v/>
      </c>
      <c r="C55" s="72" t="str">
        <f ca="1"/>
        <v/>
      </c>
      <c r="D55" s="72" t="str">
        <f ca="1"/>
        <v/>
      </c>
      <c r="E55" s="72" t="str">
        <f ca="1"/>
        <v/>
      </c>
      <c r="F55" s="72" t="str">
        <f ca="1"/>
        <v/>
      </c>
      <c r="G55">
        <f t="shared" si="0"/>
        <v>1.44</v>
      </c>
    </row>
    <row r="56" spans="1:7" x14ac:dyDescent="0.25">
      <c r="A56" s="15">
        <v>-63</v>
      </c>
      <c r="B56" s="71" t="str">
        <f ca="1"/>
        <v/>
      </c>
      <c r="C56" s="72" t="str">
        <f ca="1"/>
        <v/>
      </c>
      <c r="D56" s="72" t="str">
        <f ca="1"/>
        <v/>
      </c>
      <c r="E56" s="72" t="str">
        <f ca="1"/>
        <v/>
      </c>
      <c r="F56" s="72" t="str">
        <f ca="1"/>
        <v/>
      </c>
      <c r="G56">
        <f t="shared" si="0"/>
        <v>1.44</v>
      </c>
    </row>
    <row r="57" spans="1:7" x14ac:dyDescent="0.25">
      <c r="A57" s="70">
        <v>-62</v>
      </c>
      <c r="B57" s="71" t="str">
        <f ca="1"/>
        <v/>
      </c>
      <c r="C57" s="72" t="str">
        <f ca="1"/>
        <v/>
      </c>
      <c r="D57" s="72" t="str">
        <f ca="1"/>
        <v/>
      </c>
      <c r="E57" s="72" t="str">
        <f ca="1"/>
        <v/>
      </c>
      <c r="F57" s="72" t="str">
        <f ca="1"/>
        <v/>
      </c>
      <c r="G57">
        <f t="shared" si="0"/>
        <v>1.44</v>
      </c>
    </row>
    <row r="58" spans="1:7" x14ac:dyDescent="0.25">
      <c r="A58" s="15">
        <v>-61</v>
      </c>
      <c r="B58" s="71" t="str">
        <f ca="1"/>
        <v/>
      </c>
      <c r="C58" s="72" t="str">
        <f ca="1"/>
        <v/>
      </c>
      <c r="D58" s="72" t="str">
        <f ca="1"/>
        <v/>
      </c>
      <c r="E58" s="72" t="str">
        <f ca="1"/>
        <v/>
      </c>
      <c r="F58" s="72" t="str">
        <f ca="1"/>
        <v/>
      </c>
      <c r="G58">
        <f t="shared" si="0"/>
        <v>1.44</v>
      </c>
    </row>
    <row r="59" spans="1:7" x14ac:dyDescent="0.25">
      <c r="A59" s="15">
        <v>-60</v>
      </c>
      <c r="B59" s="71" t="str">
        <f ca="1"/>
        <v/>
      </c>
      <c r="C59" s="72" t="str">
        <f ca="1"/>
        <v/>
      </c>
      <c r="D59" s="72" t="str">
        <f ca="1"/>
        <v/>
      </c>
      <c r="E59" s="72" t="str">
        <f ca="1"/>
        <v/>
      </c>
      <c r="F59" s="72" t="str">
        <f ca="1"/>
        <v/>
      </c>
      <c r="G59">
        <f>D9</f>
        <v>1.37</v>
      </c>
    </row>
    <row r="60" spans="1:7" x14ac:dyDescent="0.25">
      <c r="A60" s="15">
        <v>-59</v>
      </c>
      <c r="B60" s="71" t="str">
        <f ca="1"/>
        <v/>
      </c>
      <c r="C60" s="72" t="str">
        <f ca="1"/>
        <v/>
      </c>
      <c r="D60" s="72" t="str">
        <f ca="1"/>
        <v/>
      </c>
      <c r="E60" s="72" t="str">
        <f ca="1"/>
        <v/>
      </c>
      <c r="F60" s="72" t="str">
        <f ca="1"/>
        <v/>
      </c>
      <c r="G60">
        <f>G59</f>
        <v>1.37</v>
      </c>
    </row>
    <row r="61" spans="1:7" x14ac:dyDescent="0.25">
      <c r="A61" s="70">
        <v>-58</v>
      </c>
      <c r="B61" s="71" t="str">
        <f ca="1"/>
        <v/>
      </c>
      <c r="C61" s="72" t="str">
        <f ca="1"/>
        <v/>
      </c>
      <c r="D61" s="72" t="str">
        <f ca="1"/>
        <v/>
      </c>
      <c r="E61" s="72" t="str">
        <f ca="1"/>
        <v/>
      </c>
      <c r="F61" s="72" t="str">
        <f ca="1"/>
        <v/>
      </c>
      <c r="G61">
        <f t="shared" ref="G61:G88" si="1">G60</f>
        <v>1.37</v>
      </c>
    </row>
    <row r="62" spans="1:7" x14ac:dyDescent="0.25">
      <c r="A62" s="15">
        <v>-57</v>
      </c>
      <c r="B62" s="71" t="str">
        <f ca="1"/>
        <v/>
      </c>
      <c r="C62" s="72" t="str">
        <f ca="1"/>
        <v/>
      </c>
      <c r="D62" s="72" t="str">
        <f ca="1"/>
        <v/>
      </c>
      <c r="E62" s="72" t="str">
        <f ca="1"/>
        <v/>
      </c>
      <c r="F62" s="72" t="str">
        <f ca="1"/>
        <v/>
      </c>
      <c r="G62">
        <f t="shared" si="1"/>
        <v>1.37</v>
      </c>
    </row>
    <row r="63" spans="1:7" x14ac:dyDescent="0.25">
      <c r="A63" s="15">
        <v>-56</v>
      </c>
      <c r="B63" s="71" t="str">
        <f ca="1"/>
        <v/>
      </c>
      <c r="C63" s="72" t="str">
        <f ca="1"/>
        <v/>
      </c>
      <c r="D63" s="72" t="str">
        <f ca="1"/>
        <v/>
      </c>
      <c r="E63" s="72" t="str">
        <f ca="1"/>
        <v/>
      </c>
      <c r="F63" s="72" t="str">
        <f ca="1"/>
        <v/>
      </c>
      <c r="G63">
        <f t="shared" si="1"/>
        <v>1.37</v>
      </c>
    </row>
    <row r="64" spans="1:7" x14ac:dyDescent="0.25">
      <c r="A64" s="15">
        <v>-55</v>
      </c>
      <c r="B64" s="71" t="str">
        <f ca="1"/>
        <v/>
      </c>
      <c r="C64" s="72" t="str">
        <f ca="1"/>
        <v/>
      </c>
      <c r="D64" s="72" t="str">
        <f ca="1"/>
        <v/>
      </c>
      <c r="E64" s="72" t="str">
        <f ca="1"/>
        <v/>
      </c>
      <c r="F64" s="72" t="str">
        <f ca="1"/>
        <v/>
      </c>
      <c r="G64">
        <f t="shared" si="1"/>
        <v>1.37</v>
      </c>
    </row>
    <row r="65" spans="1:7" x14ac:dyDescent="0.25">
      <c r="A65" s="70">
        <v>-54</v>
      </c>
      <c r="B65" s="71" t="str">
        <f ca="1"/>
        <v/>
      </c>
      <c r="C65" s="72" t="str">
        <f ca="1"/>
        <v/>
      </c>
      <c r="D65" s="72" t="str">
        <f ca="1"/>
        <v/>
      </c>
      <c r="E65" s="72" t="str">
        <f ca="1"/>
        <v/>
      </c>
      <c r="F65" s="72" t="str">
        <f ca="1"/>
        <v/>
      </c>
      <c r="G65">
        <f t="shared" si="1"/>
        <v>1.37</v>
      </c>
    </row>
    <row r="66" spans="1:7" x14ac:dyDescent="0.25">
      <c r="A66" s="15">
        <v>-53</v>
      </c>
      <c r="B66" s="71" t="str">
        <f ca="1"/>
        <v/>
      </c>
      <c r="C66" s="72" t="str">
        <f ca="1"/>
        <v/>
      </c>
      <c r="D66" s="72" t="str">
        <f ca="1"/>
        <v/>
      </c>
      <c r="E66" s="72" t="str">
        <f ca="1"/>
        <v/>
      </c>
      <c r="F66" s="72" t="str">
        <f ca="1"/>
        <v/>
      </c>
      <c r="G66">
        <f t="shared" si="1"/>
        <v>1.37</v>
      </c>
    </row>
    <row r="67" spans="1:7" x14ac:dyDescent="0.25">
      <c r="A67" s="15">
        <v>-52</v>
      </c>
      <c r="B67" s="71" t="str">
        <f ca="1"/>
        <v/>
      </c>
      <c r="C67" s="72" t="str">
        <f ca="1"/>
        <v/>
      </c>
      <c r="D67" s="72" t="str">
        <f ca="1"/>
        <v/>
      </c>
      <c r="E67" s="72" t="str">
        <f ca="1"/>
        <v/>
      </c>
      <c r="F67" s="72" t="str">
        <f ca="1"/>
        <v/>
      </c>
      <c r="G67">
        <f t="shared" si="1"/>
        <v>1.37</v>
      </c>
    </row>
    <row r="68" spans="1:7" x14ac:dyDescent="0.25">
      <c r="A68" s="15">
        <v>-51</v>
      </c>
      <c r="B68" s="71" t="str">
        <f ca="1"/>
        <v/>
      </c>
      <c r="C68" s="72" t="str">
        <f ca="1"/>
        <v/>
      </c>
      <c r="D68" s="72" t="str">
        <f ca="1"/>
        <v/>
      </c>
      <c r="E68" s="72" t="str">
        <f ca="1"/>
        <v/>
      </c>
      <c r="F68" s="72" t="str">
        <f ca="1"/>
        <v/>
      </c>
      <c r="G68">
        <f t="shared" si="1"/>
        <v>1.37</v>
      </c>
    </row>
    <row r="69" spans="1:7" x14ac:dyDescent="0.25">
      <c r="A69" s="70">
        <v>-50</v>
      </c>
      <c r="B69" s="71" t="str">
        <f ca="1"/>
        <v/>
      </c>
      <c r="C69" s="72" t="str">
        <f ca="1"/>
        <v/>
      </c>
      <c r="D69" s="72" t="str">
        <f ca="1"/>
        <v/>
      </c>
      <c r="E69" s="72" t="str">
        <f ca="1"/>
        <v/>
      </c>
      <c r="F69" s="72" t="str">
        <f ca="1"/>
        <v/>
      </c>
      <c r="G69">
        <f t="shared" si="1"/>
        <v>1.37</v>
      </c>
    </row>
    <row r="70" spans="1:7" x14ac:dyDescent="0.25">
      <c r="A70" s="15">
        <v>-49</v>
      </c>
      <c r="B70" s="71" t="str">
        <f ca="1"/>
        <v/>
      </c>
      <c r="C70" s="72" t="str">
        <f ca="1"/>
        <v/>
      </c>
      <c r="D70" s="72" t="str">
        <f ca="1"/>
        <v/>
      </c>
      <c r="E70" s="72" t="str">
        <f ca="1"/>
        <v/>
      </c>
      <c r="F70" s="72" t="str">
        <f ca="1"/>
        <v/>
      </c>
      <c r="G70">
        <f t="shared" si="1"/>
        <v>1.37</v>
      </c>
    </row>
    <row r="71" spans="1:7" x14ac:dyDescent="0.25">
      <c r="A71" s="15">
        <v>-48</v>
      </c>
      <c r="B71" s="71" t="str">
        <f ca="1"/>
        <v/>
      </c>
      <c r="C71" s="72" t="str">
        <f ca="1"/>
        <v/>
      </c>
      <c r="D71" s="72" t="str">
        <f ca="1"/>
        <v/>
      </c>
      <c r="E71" s="72" t="str">
        <f ca="1"/>
        <v/>
      </c>
      <c r="F71" s="72" t="str">
        <f ca="1"/>
        <v/>
      </c>
      <c r="G71">
        <f t="shared" si="1"/>
        <v>1.37</v>
      </c>
    </row>
    <row r="72" spans="1:7" x14ac:dyDescent="0.25">
      <c r="A72" s="15">
        <v>-47</v>
      </c>
      <c r="B72" s="71" t="str">
        <f ca="1"/>
        <v/>
      </c>
      <c r="C72" s="72" t="str">
        <f ca="1"/>
        <v/>
      </c>
      <c r="D72" s="72" t="str">
        <f ca="1"/>
        <v/>
      </c>
      <c r="E72" s="72" t="str">
        <f ca="1"/>
        <v/>
      </c>
      <c r="F72" s="72" t="str">
        <f ca="1"/>
        <v/>
      </c>
      <c r="G72">
        <f t="shared" si="1"/>
        <v>1.37</v>
      </c>
    </row>
    <row r="73" spans="1:7" x14ac:dyDescent="0.25">
      <c r="A73" s="70">
        <v>-46</v>
      </c>
      <c r="B73" s="71" t="str">
        <f ca="1"/>
        <v/>
      </c>
      <c r="C73" s="72" t="str">
        <f ca="1"/>
        <v/>
      </c>
      <c r="D73" s="72" t="str">
        <f ca="1"/>
        <v/>
      </c>
      <c r="E73" s="72" t="str">
        <f ca="1"/>
        <v/>
      </c>
      <c r="F73" s="72" t="str">
        <f ca="1"/>
        <v/>
      </c>
      <c r="G73">
        <f t="shared" si="1"/>
        <v>1.37</v>
      </c>
    </row>
    <row r="74" spans="1:7" x14ac:dyDescent="0.25">
      <c r="A74" s="15">
        <v>-45</v>
      </c>
      <c r="B74" s="71" t="str">
        <f ca="1"/>
        <v/>
      </c>
      <c r="C74" s="72" t="str">
        <f ca="1"/>
        <v/>
      </c>
      <c r="D74" s="72" t="str">
        <f ca="1"/>
        <v/>
      </c>
      <c r="E74" s="72" t="str">
        <f ca="1"/>
        <v/>
      </c>
      <c r="F74" s="72" t="str">
        <f ca="1"/>
        <v/>
      </c>
      <c r="G74">
        <f t="shared" si="1"/>
        <v>1.37</v>
      </c>
    </row>
    <row r="75" spans="1:7" x14ac:dyDescent="0.25">
      <c r="A75" s="15">
        <v>-44</v>
      </c>
      <c r="B75" s="71" t="str">
        <f ca="1"/>
        <v/>
      </c>
      <c r="C75" s="72" t="str">
        <f ca="1"/>
        <v/>
      </c>
      <c r="D75" s="72" t="str">
        <f ca="1"/>
        <v/>
      </c>
      <c r="E75" s="72" t="str">
        <f ca="1"/>
        <v/>
      </c>
      <c r="F75" s="72" t="str">
        <f ca="1"/>
        <v/>
      </c>
      <c r="G75">
        <f t="shared" si="1"/>
        <v>1.37</v>
      </c>
    </row>
    <row r="76" spans="1:7" x14ac:dyDescent="0.25">
      <c r="A76" s="15">
        <v>-43</v>
      </c>
      <c r="B76" s="71" t="str">
        <f ca="1"/>
        <v/>
      </c>
      <c r="C76" s="72" t="str">
        <f ca="1"/>
        <v/>
      </c>
      <c r="D76" s="72" t="str">
        <f ca="1"/>
        <v/>
      </c>
      <c r="E76" s="72" t="str">
        <f ca="1"/>
        <v/>
      </c>
      <c r="F76" s="72" t="str">
        <f ca="1"/>
        <v/>
      </c>
      <c r="G76">
        <f t="shared" si="1"/>
        <v>1.37</v>
      </c>
    </row>
    <row r="77" spans="1:7" x14ac:dyDescent="0.25">
      <c r="A77" s="70">
        <v>-42</v>
      </c>
      <c r="B77" s="71" t="str">
        <f ca="1"/>
        <v/>
      </c>
      <c r="C77" s="72" t="str">
        <f ca="1"/>
        <v/>
      </c>
      <c r="D77" s="72" t="str">
        <f ca="1"/>
        <v/>
      </c>
      <c r="E77" s="72" t="str">
        <f ca="1"/>
        <v/>
      </c>
      <c r="F77" s="72" t="str">
        <f ca="1"/>
        <v/>
      </c>
      <c r="G77">
        <f t="shared" si="1"/>
        <v>1.37</v>
      </c>
    </row>
    <row r="78" spans="1:7" x14ac:dyDescent="0.25">
      <c r="A78" s="15">
        <v>-41</v>
      </c>
      <c r="B78" s="71" t="str">
        <f ca="1"/>
        <v/>
      </c>
      <c r="C78" s="72" t="str">
        <f ca="1"/>
        <v/>
      </c>
      <c r="D78" s="72" t="str">
        <f ca="1"/>
        <v/>
      </c>
      <c r="E78" s="72" t="str">
        <f ca="1"/>
        <v/>
      </c>
      <c r="F78" s="72" t="str">
        <f ca="1"/>
        <v/>
      </c>
      <c r="G78">
        <f t="shared" si="1"/>
        <v>1.37</v>
      </c>
    </row>
    <row r="79" spans="1:7" x14ac:dyDescent="0.25">
      <c r="A79" s="15">
        <v>-40</v>
      </c>
      <c r="B79" s="71" t="str">
        <f ca="1"/>
        <v/>
      </c>
      <c r="C79" s="72" t="str">
        <f ca="1"/>
        <v/>
      </c>
      <c r="D79" s="72" t="str">
        <f ca="1"/>
        <v/>
      </c>
      <c r="E79" s="72" t="str">
        <f ca="1"/>
        <v/>
      </c>
      <c r="F79" s="72" t="str">
        <f ca="1"/>
        <v/>
      </c>
      <c r="G79">
        <f t="shared" si="1"/>
        <v>1.37</v>
      </c>
    </row>
    <row r="80" spans="1:7" x14ac:dyDescent="0.25">
      <c r="A80" s="15">
        <v>-39</v>
      </c>
      <c r="B80" s="71" t="str">
        <f ca="1"/>
        <v/>
      </c>
      <c r="C80" s="72" t="str">
        <f ca="1"/>
        <v/>
      </c>
      <c r="D80" s="72" t="str">
        <f ca="1"/>
        <v/>
      </c>
      <c r="E80" s="72" t="str">
        <f ca="1"/>
        <v/>
      </c>
      <c r="F80" s="72" t="str">
        <f ca="1"/>
        <v/>
      </c>
      <c r="G80">
        <f t="shared" si="1"/>
        <v>1.37</v>
      </c>
    </row>
    <row r="81" spans="1:7" x14ac:dyDescent="0.25">
      <c r="A81" s="70">
        <v>-38</v>
      </c>
      <c r="B81" s="71" t="str">
        <f ca="1"/>
        <v/>
      </c>
      <c r="C81" s="72" t="str">
        <f ca="1"/>
        <v/>
      </c>
      <c r="D81" s="72" t="str">
        <f ca="1"/>
        <v/>
      </c>
      <c r="E81" s="72" t="str">
        <f ca="1"/>
        <v/>
      </c>
      <c r="F81" s="72" t="str">
        <f ca="1"/>
        <v/>
      </c>
      <c r="G81">
        <f t="shared" si="1"/>
        <v>1.37</v>
      </c>
    </row>
    <row r="82" spans="1:7" x14ac:dyDescent="0.25">
      <c r="A82" s="15">
        <v>-37</v>
      </c>
      <c r="B82" s="71" t="str">
        <f ca="1"/>
        <v/>
      </c>
      <c r="C82" s="72" t="str">
        <f ca="1"/>
        <v/>
      </c>
      <c r="D82" s="72" t="str">
        <f ca="1"/>
        <v/>
      </c>
      <c r="E82" s="72" t="str">
        <f ca="1"/>
        <v/>
      </c>
      <c r="F82" s="72" t="str">
        <f ca="1"/>
        <v/>
      </c>
      <c r="G82">
        <f t="shared" si="1"/>
        <v>1.37</v>
      </c>
    </row>
    <row r="83" spans="1:7" x14ac:dyDescent="0.25">
      <c r="A83" s="15">
        <v>-36</v>
      </c>
      <c r="B83" s="71" t="str">
        <f ca="1"/>
        <v/>
      </c>
      <c r="C83" s="72" t="str">
        <f ca="1"/>
        <v/>
      </c>
      <c r="D83" s="72" t="str">
        <f ca="1"/>
        <v/>
      </c>
      <c r="E83" s="72" t="str">
        <f ca="1"/>
        <v/>
      </c>
      <c r="F83" s="72" t="str">
        <f ca="1"/>
        <v/>
      </c>
      <c r="G83">
        <f t="shared" si="1"/>
        <v>1.37</v>
      </c>
    </row>
    <row r="84" spans="1:7" x14ac:dyDescent="0.25">
      <c r="A84" s="15">
        <v>-35</v>
      </c>
      <c r="B84" s="71" t="str">
        <f ca="1"/>
        <v/>
      </c>
      <c r="C84" s="72" t="str">
        <f ca="1"/>
        <v/>
      </c>
      <c r="D84" s="72" t="str">
        <f ca="1"/>
        <v/>
      </c>
      <c r="E84" s="72" t="str">
        <f ca="1"/>
        <v/>
      </c>
      <c r="F84" s="72" t="str">
        <f ca="1"/>
        <v/>
      </c>
      <c r="G84">
        <f t="shared" si="1"/>
        <v>1.37</v>
      </c>
    </row>
    <row r="85" spans="1:7" x14ac:dyDescent="0.25">
      <c r="A85" s="70">
        <v>-34</v>
      </c>
      <c r="B85" s="71" t="str">
        <f ca="1"/>
        <v/>
      </c>
      <c r="C85" s="72" t="str">
        <f ca="1"/>
        <v/>
      </c>
      <c r="D85" s="72" t="str">
        <f ca="1"/>
        <v/>
      </c>
      <c r="E85" s="72" t="str">
        <f ca="1"/>
        <v/>
      </c>
      <c r="F85" s="72" t="str">
        <f ca="1"/>
        <v/>
      </c>
      <c r="G85">
        <f t="shared" si="1"/>
        <v>1.37</v>
      </c>
    </row>
    <row r="86" spans="1:7" x14ac:dyDescent="0.25">
      <c r="A86" s="15">
        <v>-33</v>
      </c>
      <c r="B86" s="71" t="str">
        <f ca="1"/>
        <v/>
      </c>
      <c r="C86" s="72" t="str">
        <f ca="1"/>
        <v/>
      </c>
      <c r="D86" s="72" t="str">
        <f ca="1"/>
        <v/>
      </c>
      <c r="E86" s="72" t="str">
        <f ca="1"/>
        <v/>
      </c>
      <c r="F86" s="72" t="str">
        <f ca="1"/>
        <v/>
      </c>
      <c r="G86">
        <f t="shared" si="1"/>
        <v>1.37</v>
      </c>
    </row>
    <row r="87" spans="1:7" x14ac:dyDescent="0.25">
      <c r="A87" s="15">
        <v>-32</v>
      </c>
      <c r="B87" s="71" t="str">
        <f ca="1"/>
        <v/>
      </c>
      <c r="C87" s="72" t="str">
        <f ca="1"/>
        <v/>
      </c>
      <c r="D87" s="72" t="str">
        <f ca="1"/>
        <v/>
      </c>
      <c r="E87" s="72" t="str">
        <f ca="1"/>
        <v/>
      </c>
      <c r="F87" s="72" t="str">
        <f ca="1"/>
        <v/>
      </c>
      <c r="G87">
        <f t="shared" si="1"/>
        <v>1.37</v>
      </c>
    </row>
    <row r="88" spans="1:7" x14ac:dyDescent="0.25">
      <c r="A88" s="15">
        <v>-31</v>
      </c>
      <c r="B88" s="71" t="str">
        <f ca="1"/>
        <v/>
      </c>
      <c r="C88" s="72" t="str">
        <f ca="1"/>
        <v/>
      </c>
      <c r="D88" s="72" t="str">
        <f ca="1"/>
        <v/>
      </c>
      <c r="E88" s="72" t="str">
        <f ca="1"/>
        <v/>
      </c>
      <c r="F88" s="72" t="str">
        <f ca="1"/>
        <v/>
      </c>
      <c r="G88">
        <f t="shared" si="1"/>
        <v>1.37</v>
      </c>
    </row>
    <row r="89" spans="1:7" x14ac:dyDescent="0.25">
      <c r="A89" s="70">
        <v>-30</v>
      </c>
      <c r="B89" s="71" t="str">
        <f ca="1"/>
        <v/>
      </c>
      <c r="C89" s="72" t="str">
        <f ca="1"/>
        <v/>
      </c>
      <c r="D89" s="72" t="str">
        <f ca="1"/>
        <v/>
      </c>
      <c r="E89" s="72" t="str">
        <f ca="1"/>
        <v/>
      </c>
      <c r="F89" s="72" t="str">
        <f ca="1"/>
        <v/>
      </c>
      <c r="G89">
        <f>D8</f>
        <v>1.36</v>
      </c>
    </row>
    <row r="90" spans="1:7" x14ac:dyDescent="0.25">
      <c r="A90" s="15">
        <v>-29</v>
      </c>
      <c r="B90" s="71" t="str">
        <f ca="1"/>
        <v/>
      </c>
      <c r="C90" s="72" t="str">
        <f ca="1"/>
        <v/>
      </c>
      <c r="D90" s="72" t="str">
        <f ca="1"/>
        <v/>
      </c>
      <c r="E90" s="72" t="str">
        <f ca="1"/>
        <v/>
      </c>
      <c r="F90" s="72" t="str">
        <f ca="1"/>
        <v/>
      </c>
      <c r="G90">
        <f>G89</f>
        <v>1.36</v>
      </c>
    </row>
    <row r="91" spans="1:7" x14ac:dyDescent="0.25">
      <c r="A91" s="15">
        <v>-28</v>
      </c>
      <c r="B91" s="71" t="str">
        <f ca="1"/>
        <v/>
      </c>
      <c r="C91" s="72" t="str">
        <f ca="1"/>
        <v/>
      </c>
      <c r="D91" s="72" t="str">
        <f ca="1"/>
        <v/>
      </c>
      <c r="E91" s="72" t="str">
        <f ca="1"/>
        <v/>
      </c>
      <c r="F91" s="72" t="str">
        <f ca="1"/>
        <v/>
      </c>
      <c r="G91">
        <f t="shared" ref="G91:G111" si="2">G90</f>
        <v>1.36</v>
      </c>
    </row>
    <row r="92" spans="1:7" x14ac:dyDescent="0.25">
      <c r="A92" s="15">
        <v>-27</v>
      </c>
      <c r="B92" s="71" t="str">
        <f ca="1"/>
        <v/>
      </c>
      <c r="C92" s="72" t="str">
        <f ca="1"/>
        <v/>
      </c>
      <c r="D92" s="72" t="str">
        <f ca="1"/>
        <v/>
      </c>
      <c r="E92" s="72" t="str">
        <f ca="1"/>
        <v/>
      </c>
      <c r="F92" s="72" t="str">
        <f ca="1"/>
        <v/>
      </c>
      <c r="G92">
        <f t="shared" si="2"/>
        <v>1.36</v>
      </c>
    </row>
    <row r="93" spans="1:7" x14ac:dyDescent="0.25">
      <c r="A93" s="70">
        <v>-26</v>
      </c>
      <c r="B93" s="71" t="str">
        <f ca="1"/>
        <v/>
      </c>
      <c r="C93" s="72" t="str">
        <f ca="1"/>
        <v/>
      </c>
      <c r="D93" s="72" t="str">
        <f ca="1"/>
        <v/>
      </c>
      <c r="E93" s="72" t="str">
        <f ca="1"/>
        <v/>
      </c>
      <c r="F93" s="72" t="str">
        <f ca="1"/>
        <v/>
      </c>
      <c r="G93">
        <f t="shared" si="2"/>
        <v>1.36</v>
      </c>
    </row>
    <row r="94" spans="1:7" x14ac:dyDescent="0.25">
      <c r="A94" s="15">
        <v>-25</v>
      </c>
      <c r="B94" s="71" t="str">
        <f ca="1"/>
        <v/>
      </c>
      <c r="C94" s="72" t="str">
        <f ca="1"/>
        <v/>
      </c>
      <c r="D94" s="72" t="str">
        <f ca="1"/>
        <v/>
      </c>
      <c r="E94" s="72" t="str">
        <f ca="1"/>
        <v/>
      </c>
      <c r="F94" s="72" t="str">
        <f ca="1"/>
        <v/>
      </c>
      <c r="G94">
        <f t="shared" si="2"/>
        <v>1.36</v>
      </c>
    </row>
    <row r="95" spans="1:7" x14ac:dyDescent="0.25">
      <c r="A95" s="15">
        <v>-24</v>
      </c>
      <c r="B95" s="71" t="str">
        <f ca="1"/>
        <v/>
      </c>
      <c r="C95" s="72" t="str">
        <f ca="1"/>
        <v/>
      </c>
      <c r="D95" s="72" t="str">
        <f ca="1"/>
        <v/>
      </c>
      <c r="E95" s="72" t="str">
        <f ca="1"/>
        <v/>
      </c>
      <c r="F95" s="72" t="str">
        <f ca="1"/>
        <v/>
      </c>
      <c r="G95">
        <f t="shared" si="2"/>
        <v>1.36</v>
      </c>
    </row>
    <row r="96" spans="1:7" x14ac:dyDescent="0.25">
      <c r="A96" s="70">
        <v>-23</v>
      </c>
      <c r="B96" s="71" t="str">
        <f ca="1"/>
        <v/>
      </c>
      <c r="C96" s="72" t="str">
        <f ca="1"/>
        <v/>
      </c>
      <c r="D96" s="72" t="str">
        <f ca="1"/>
        <v/>
      </c>
      <c r="E96" s="72" t="str">
        <f ca="1"/>
        <v/>
      </c>
      <c r="F96" s="72" t="str">
        <f ca="1"/>
        <v/>
      </c>
      <c r="G96">
        <f t="shared" si="2"/>
        <v>1.36</v>
      </c>
    </row>
    <row r="97" spans="1:7" x14ac:dyDescent="0.25">
      <c r="A97" s="15">
        <v>-22</v>
      </c>
      <c r="B97" s="71" t="str">
        <f ca="1"/>
        <v/>
      </c>
      <c r="C97" s="72" t="str">
        <f ca="1"/>
        <v/>
      </c>
      <c r="D97" s="72" t="str">
        <f ca="1"/>
        <v/>
      </c>
      <c r="E97" s="72" t="str">
        <f ca="1"/>
        <v/>
      </c>
      <c r="F97" s="72" t="str">
        <f ca="1"/>
        <v/>
      </c>
      <c r="G97">
        <f t="shared" si="2"/>
        <v>1.36</v>
      </c>
    </row>
    <row r="98" spans="1:7" x14ac:dyDescent="0.25">
      <c r="A98" s="15">
        <v>-21</v>
      </c>
      <c r="B98" s="71" t="str">
        <f ca="1"/>
        <v/>
      </c>
      <c r="C98" s="72" t="str">
        <f ca="1"/>
        <v/>
      </c>
      <c r="D98" s="72" t="str">
        <f ca="1"/>
        <v/>
      </c>
      <c r="E98" s="72" t="str">
        <f ca="1"/>
        <v/>
      </c>
      <c r="F98" s="72" t="str">
        <f ca="1"/>
        <v/>
      </c>
      <c r="G98">
        <f t="shared" si="2"/>
        <v>1.36</v>
      </c>
    </row>
    <row r="99" spans="1:7" x14ac:dyDescent="0.25">
      <c r="A99" s="70">
        <v>-20</v>
      </c>
      <c r="B99" s="71" t="str">
        <f ca="1"/>
        <v/>
      </c>
      <c r="C99" s="72" t="str">
        <f ca="1"/>
        <v/>
      </c>
      <c r="D99" s="72" t="str">
        <f ca="1"/>
        <v/>
      </c>
      <c r="E99" s="72" t="str">
        <f ca="1"/>
        <v/>
      </c>
      <c r="F99" s="72" t="str">
        <f ca="1"/>
        <v/>
      </c>
      <c r="G99">
        <f t="shared" si="2"/>
        <v>1.36</v>
      </c>
    </row>
    <row r="100" spans="1:7" x14ac:dyDescent="0.25">
      <c r="A100" s="15">
        <v>-19</v>
      </c>
      <c r="B100" s="71" t="str">
        <f ca="1"/>
        <v/>
      </c>
      <c r="C100" s="72" t="str">
        <f ca="1"/>
        <v/>
      </c>
      <c r="D100" s="72" t="str">
        <f ca="1"/>
        <v/>
      </c>
      <c r="E100" s="72" t="str">
        <f ca="1"/>
        <v/>
      </c>
      <c r="F100" s="72" t="str">
        <f ca="1"/>
        <v/>
      </c>
      <c r="G100">
        <f t="shared" si="2"/>
        <v>1.36</v>
      </c>
    </row>
    <row r="101" spans="1:7" x14ac:dyDescent="0.25">
      <c r="A101" s="15">
        <v>-18</v>
      </c>
      <c r="B101" s="71" t="str">
        <f ca="1"/>
        <v/>
      </c>
      <c r="C101" s="72" t="str">
        <f ca="1"/>
        <v/>
      </c>
      <c r="D101" s="72" t="str">
        <f ca="1"/>
        <v/>
      </c>
      <c r="E101" s="72" t="str">
        <f ca="1"/>
        <v/>
      </c>
      <c r="F101" s="72" t="str">
        <f ca="1"/>
        <v/>
      </c>
      <c r="G101">
        <f t="shared" si="2"/>
        <v>1.36</v>
      </c>
    </row>
    <row r="102" spans="1:7" x14ac:dyDescent="0.25">
      <c r="A102" s="70">
        <v>-17</v>
      </c>
      <c r="B102" s="71" t="str">
        <f ca="1"/>
        <v/>
      </c>
      <c r="C102" s="72" t="str">
        <f ca="1"/>
        <v/>
      </c>
      <c r="D102" s="72" t="str">
        <f ca="1"/>
        <v/>
      </c>
      <c r="E102" s="72" t="str">
        <f ca="1"/>
        <v/>
      </c>
      <c r="F102" s="72" t="str">
        <f ca="1"/>
        <v/>
      </c>
      <c r="G102">
        <f t="shared" si="2"/>
        <v>1.36</v>
      </c>
    </row>
    <row r="103" spans="1:7" x14ac:dyDescent="0.25">
      <c r="A103" s="15">
        <v>-16</v>
      </c>
      <c r="B103" s="71" t="str">
        <f ca="1"/>
        <v/>
      </c>
      <c r="C103" s="72" t="str">
        <f ca="1"/>
        <v/>
      </c>
      <c r="D103" s="72" t="str">
        <f ca="1"/>
        <v/>
      </c>
      <c r="E103" s="72" t="str">
        <f ca="1"/>
        <v/>
      </c>
      <c r="F103" s="72" t="str">
        <f ca="1"/>
        <v/>
      </c>
      <c r="G103">
        <f t="shared" si="2"/>
        <v>1.36</v>
      </c>
    </row>
    <row r="104" spans="1:7" x14ac:dyDescent="0.25">
      <c r="A104" s="15">
        <v>-15</v>
      </c>
      <c r="B104" s="71" t="str">
        <f ca="1"/>
        <v/>
      </c>
      <c r="C104" s="72" t="str">
        <f ca="1"/>
        <v/>
      </c>
      <c r="D104" s="72" t="str">
        <f ca="1"/>
        <v/>
      </c>
      <c r="E104" s="72" t="str">
        <f ca="1"/>
        <v/>
      </c>
      <c r="F104" s="72" t="str">
        <f ca="1"/>
        <v/>
      </c>
      <c r="G104">
        <f t="shared" si="2"/>
        <v>1.36</v>
      </c>
    </row>
    <row r="105" spans="1:7" x14ac:dyDescent="0.25">
      <c r="A105" s="70">
        <v>-14</v>
      </c>
      <c r="B105" s="71" t="str">
        <f ca="1"/>
        <v/>
      </c>
      <c r="C105" s="72" t="str">
        <f ca="1"/>
        <v/>
      </c>
      <c r="D105" s="72" t="str">
        <f ca="1"/>
        <v/>
      </c>
      <c r="E105" s="72" t="str">
        <f ca="1"/>
        <v/>
      </c>
      <c r="F105" s="72" t="str">
        <f ca="1"/>
        <v/>
      </c>
      <c r="G105">
        <f t="shared" si="2"/>
        <v>1.36</v>
      </c>
    </row>
    <row r="106" spans="1:7" x14ac:dyDescent="0.25">
      <c r="A106" s="15">
        <v>-13</v>
      </c>
      <c r="B106" s="71" t="str">
        <f ca="1"/>
        <v/>
      </c>
      <c r="C106" s="72" t="str">
        <f ca="1"/>
        <v/>
      </c>
      <c r="D106" s="72" t="str">
        <f ca="1"/>
        <v/>
      </c>
      <c r="E106" s="72" t="str">
        <f ca="1"/>
        <v/>
      </c>
      <c r="F106" s="72" t="str">
        <f ca="1"/>
        <v/>
      </c>
      <c r="G106">
        <f t="shared" si="2"/>
        <v>1.36</v>
      </c>
    </row>
    <row r="107" spans="1:7" x14ac:dyDescent="0.25">
      <c r="A107" s="15">
        <v>-12</v>
      </c>
      <c r="B107" s="71" t="str">
        <f ca="1"/>
        <v/>
      </c>
      <c r="C107" s="72" t="str">
        <f ca="1"/>
        <v/>
      </c>
      <c r="D107" s="72" t="str">
        <f ca="1"/>
        <v/>
      </c>
      <c r="E107" s="72" t="str">
        <f ca="1"/>
        <v/>
      </c>
      <c r="F107" s="72" t="str">
        <f ca="1"/>
        <v/>
      </c>
      <c r="G107">
        <f t="shared" si="2"/>
        <v>1.36</v>
      </c>
    </row>
    <row r="108" spans="1:7" x14ac:dyDescent="0.25">
      <c r="A108" s="70">
        <v>-11</v>
      </c>
      <c r="B108" s="71" t="str">
        <f ca="1"/>
        <v/>
      </c>
      <c r="C108" s="72" t="str">
        <f ca="1"/>
        <v/>
      </c>
      <c r="D108" s="72" t="str">
        <f ca="1"/>
        <v/>
      </c>
      <c r="E108" s="72" t="str">
        <f ca="1"/>
        <v/>
      </c>
      <c r="F108" s="72" t="str">
        <f ca="1"/>
        <v/>
      </c>
      <c r="G108">
        <f t="shared" si="2"/>
        <v>1.36</v>
      </c>
    </row>
    <row r="109" spans="1:7" x14ac:dyDescent="0.25">
      <c r="A109" s="15">
        <v>-10</v>
      </c>
      <c r="B109" s="71" t="str">
        <f ca="1"/>
        <v/>
      </c>
      <c r="C109" s="72" t="str">
        <f ca="1"/>
        <v/>
      </c>
      <c r="D109" s="72" t="str">
        <f ca="1"/>
        <v/>
      </c>
      <c r="E109" s="72" t="str">
        <f ca="1"/>
        <v/>
      </c>
      <c r="F109" s="72" t="str">
        <f ca="1"/>
        <v/>
      </c>
      <c r="G109">
        <f t="shared" si="2"/>
        <v>1.36</v>
      </c>
    </row>
    <row r="110" spans="1:7" x14ac:dyDescent="0.25">
      <c r="A110" s="15">
        <v>-9</v>
      </c>
      <c r="B110" s="71" t="str">
        <f ca="1"/>
        <v/>
      </c>
      <c r="C110" s="72" t="str">
        <f ca="1"/>
        <v/>
      </c>
      <c r="D110" s="72" t="str">
        <f ca="1"/>
        <v/>
      </c>
      <c r="E110" s="72" t="str">
        <f ca="1"/>
        <v/>
      </c>
      <c r="F110" s="72" t="str">
        <f ca="1"/>
        <v/>
      </c>
      <c r="G110">
        <f t="shared" si="2"/>
        <v>1.36</v>
      </c>
    </row>
    <row r="111" spans="1:7" x14ac:dyDescent="0.25">
      <c r="A111" s="70">
        <v>-8</v>
      </c>
      <c r="B111" s="71" t="str">
        <f ca="1"/>
        <v/>
      </c>
      <c r="C111" s="72" t="str">
        <f ca="1"/>
        <v/>
      </c>
      <c r="D111" s="72" t="str">
        <f ca="1"/>
        <v/>
      </c>
      <c r="E111" s="72" t="str">
        <f ca="1"/>
        <v/>
      </c>
      <c r="F111" s="72" t="str">
        <f ca="1"/>
        <v/>
      </c>
      <c r="G111">
        <f t="shared" si="2"/>
        <v>1.36</v>
      </c>
    </row>
    <row r="112" spans="1:7" x14ac:dyDescent="0.25">
      <c r="A112" s="15">
        <v>-7</v>
      </c>
      <c r="B112" s="71" t="str">
        <f ca="1"/>
        <v/>
      </c>
      <c r="C112" s="72" t="str">
        <f ca="1"/>
        <v/>
      </c>
      <c r="D112" s="72" t="str">
        <f ca="1"/>
        <v/>
      </c>
      <c r="E112" s="72" t="str">
        <f ca="1"/>
        <v/>
      </c>
      <c r="F112" s="72" t="str">
        <f ca="1"/>
        <v/>
      </c>
      <c r="G112" s="72">
        <f>D7</f>
        <v>1.35</v>
      </c>
    </row>
    <row r="113" spans="1:7" x14ac:dyDescent="0.25">
      <c r="A113" s="15">
        <v>-6</v>
      </c>
      <c r="B113" s="71" t="str">
        <f ca="1"/>
        <v/>
      </c>
      <c r="C113" s="72" t="str">
        <f ca="1"/>
        <v/>
      </c>
      <c r="D113" s="72" t="str">
        <f ca="1"/>
        <v/>
      </c>
      <c r="E113" s="72" t="str">
        <f ca="1"/>
        <v/>
      </c>
      <c r="F113" s="72" t="str">
        <f ca="1"/>
        <v/>
      </c>
      <c r="G113" s="72">
        <f>G112</f>
        <v>1.35</v>
      </c>
    </row>
    <row r="114" spans="1:7" x14ac:dyDescent="0.25">
      <c r="A114" s="70">
        <v>-5</v>
      </c>
      <c r="B114" s="71" t="str">
        <f ca="1"/>
        <v/>
      </c>
      <c r="C114" s="72" t="str">
        <f ca="1"/>
        <v/>
      </c>
      <c r="D114" s="72" t="str">
        <f ca="1"/>
        <v/>
      </c>
      <c r="E114" s="72" t="str">
        <f ca="1"/>
        <v/>
      </c>
      <c r="F114" s="72" t="str">
        <f ca="1"/>
        <v/>
      </c>
      <c r="G114" s="72">
        <f t="shared" ref="G114:G118" si="3">G113</f>
        <v>1.35</v>
      </c>
    </row>
    <row r="115" spans="1:7" x14ac:dyDescent="0.25">
      <c r="A115" s="15">
        <v>-4</v>
      </c>
      <c r="B115" s="71" t="str">
        <f ca="1"/>
        <v/>
      </c>
      <c r="C115" s="72" t="str">
        <f ca="1"/>
        <v/>
      </c>
      <c r="D115" s="72" t="str">
        <f ca="1"/>
        <v/>
      </c>
      <c r="E115" s="72" t="str">
        <f ca="1"/>
        <v/>
      </c>
      <c r="F115" s="72" t="str">
        <f ca="1"/>
        <v/>
      </c>
      <c r="G115" s="72">
        <f t="shared" si="3"/>
        <v>1.35</v>
      </c>
    </row>
    <row r="116" spans="1:7" x14ac:dyDescent="0.25">
      <c r="A116" s="15">
        <v>-3</v>
      </c>
      <c r="B116" s="71" t="str">
        <f ca="1"/>
        <v/>
      </c>
      <c r="C116" s="72" t="str">
        <f ca="1"/>
        <v/>
      </c>
      <c r="D116" s="72" t="str">
        <f ca="1"/>
        <v/>
      </c>
      <c r="E116" s="72" t="str">
        <f ca="1"/>
        <v/>
      </c>
      <c r="F116" s="72" t="str">
        <f ca="1"/>
        <v/>
      </c>
      <c r="G116" s="72">
        <f t="shared" si="3"/>
        <v>1.35</v>
      </c>
    </row>
    <row r="117" spans="1:7" x14ac:dyDescent="0.25">
      <c r="A117" s="70">
        <v>-2</v>
      </c>
      <c r="B117" s="71" t="str">
        <f ca="1"/>
        <v/>
      </c>
      <c r="C117" s="72" t="str">
        <f ca="1"/>
        <v/>
      </c>
      <c r="D117" s="72" t="str">
        <f ca="1"/>
        <v/>
      </c>
      <c r="E117" s="72" t="str">
        <f ca="1"/>
        <v/>
      </c>
      <c r="F117" s="72" t="str">
        <f ca="1"/>
        <v/>
      </c>
      <c r="G117" s="72">
        <f t="shared" si="3"/>
        <v>1.35</v>
      </c>
    </row>
    <row r="118" spans="1:7" x14ac:dyDescent="0.25">
      <c r="A118" s="15">
        <v>-1</v>
      </c>
      <c r="B118" s="71" t="str">
        <f ca="1"/>
        <v/>
      </c>
      <c r="C118" s="72" t="str">
        <f ca="1"/>
        <v/>
      </c>
      <c r="D118" s="72" t="str">
        <f ca="1"/>
        <v/>
      </c>
      <c r="E118" s="72" t="str">
        <f ca="1"/>
        <v/>
      </c>
      <c r="F118" s="72" t="str">
        <f ca="1"/>
        <v/>
      </c>
      <c r="G118" s="72">
        <f t="shared" si="3"/>
        <v>1.35</v>
      </c>
    </row>
    <row r="119" spans="1:7" x14ac:dyDescent="0.25">
      <c r="A119" s="15">
        <v>0</v>
      </c>
      <c r="B119" s="71" t="str">
        <f ca="1"/>
        <v/>
      </c>
      <c r="C119" s="72" t="str">
        <f ca="1"/>
        <v/>
      </c>
      <c r="D119" s="72" t="str">
        <f ca="1"/>
        <v/>
      </c>
      <c r="E119" s="72" t="str">
        <f ca="1"/>
        <v/>
      </c>
      <c r="F119" s="72" t="str">
        <f ca="1"/>
        <v/>
      </c>
      <c r="G119" s="72">
        <f>D6</f>
        <v>1.35</v>
      </c>
    </row>
  </sheetData>
  <hyperlinks>
    <hyperlink ref="C6" r:id="rId1" display="https://www.zacks.com/stock/quote/TSLA/detailed-earning-estimates"/>
    <hyperlink ref="D6:G6" r:id="rId2" display="https://www.zacks.com/stock/quote/TSLA/detailed-earning-estimates"/>
    <hyperlink ref="C7" r:id="rId3" display="https://www.zacks.com/stock/quote/TSLA/detailed-earning-estimates"/>
    <hyperlink ref="D7:G7" r:id="rId4" display="https://www.zacks.com/stock/quote/TSLA/detailed-earning-estimates"/>
    <hyperlink ref="C8" r:id="rId5" display="https://www.zacks.com/stock/quote/TSLA/detailed-earning-estimates"/>
    <hyperlink ref="D8:G8" r:id="rId6" display="https://www.zacks.com/stock/quote/TSLA/detailed-earning-estimates"/>
    <hyperlink ref="C9" r:id="rId7" display="https://www.zacks.com/stock/quote/TSLA/detailed-earning-estimates"/>
    <hyperlink ref="D9:G9" r:id="rId8" display="https://www.zacks.com/stock/quote/TSLA/detailed-earning-estimates"/>
    <hyperlink ref="C10" r:id="rId9" display="https://www.zacks.com/stock/quote/TSLA/detailed-earning-estimates"/>
    <hyperlink ref="D10:G10" r:id="rId10" display="https://www.zacks.com/stock/quote/TSLA/detailed-earning-estimates"/>
  </hyperlinks>
  <pageMargins left="0.7" right="0.7" top="0.75" bottom="0.75" header="0.3" footer="0.3"/>
  <pageSetup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Stock Review</vt:lpstr>
      <vt:lpstr>Stock Chart</vt:lpstr>
      <vt:lpstr>EPS Chart</vt:lpstr>
      <vt:lpstr>pStartDt</vt:lpstr>
      <vt:lpstr>Ticker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Jones</dc:creator>
  <cp:lastModifiedBy>pryorm</cp:lastModifiedBy>
  <dcterms:created xsi:type="dcterms:W3CDTF">2023-09-25T18:44:59Z</dcterms:created>
  <dcterms:modified xsi:type="dcterms:W3CDTF">2024-11-14T21:07:17Z</dcterms:modified>
</cp:coreProperties>
</file>