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使用说明" sheetId="1" r:id="rId4"/>
    <sheet state="visible" name="Object" sheetId="2" r:id="rId5"/>
    <sheet state="visible" name="Menu" sheetId="3" r:id="rId6"/>
    <sheet state="visible" name="Image" sheetId="4" r:id="rId7"/>
    <sheet state="visible" name="Setting" sheetId="5" r:id="rId8"/>
  </sheets>
  <definedNames>
    <definedName hidden="1" localSheetId="1" name="_xlnm._FilterDatabase">Object!$G$4524:$G$4797</definedName>
  </definedNames>
  <calcPr/>
</workbook>
</file>

<file path=xl/sharedStrings.xml><?xml version="1.0" encoding="utf-8"?>
<sst xmlns="http://schemas.openxmlformats.org/spreadsheetml/2006/main" count="37046" uniqueCount="34588">
  <si>
    <t>Object 對應著遊戲物品，Menu 對應著遊戲介面，Image 對應著檔案格式的介面，Setting 對應遊戲設定</t>
  </si>
  <si>
    <t>下載次數/download count</t>
  </si>
  <si>
    <t>語言列表 / 语言列表</t>
  </si>
  <si>
    <t>發佈版本的 Object 數量</t>
  </si>
  <si>
    <t>如要翻譯，只需在語言標籤（如正體中文）底下，填入相對應的翻譯即可</t>
  </si>
  <si>
    <t>English</t>
  </si>
  <si>
    <t>每完成一個翻譯，記得在右邊的格子打勾</t>
  </si>
  <si>
    <t>正體中文</t>
  </si>
  <si>
    <t>本試算表會隨著遊戲的更新，自動更新與添加 Key 跟 English column。</t>
  </si>
  <si>
    <t>简体中文</t>
  </si>
  <si>
    <t>Українська</t>
  </si>
  <si>
    <t>Object means in game items，Menu means other words</t>
  </si>
  <si>
    <t>Deutsch</t>
  </si>
  <si>
    <t>To translate, fill the column below a language tag</t>
  </si>
  <si>
    <t>check when you finish translating a block.</t>
  </si>
  <si>
    <t>This Google sheet will update when the main game update, by adding or editing Key and English column</t>
  </si>
  <si>
    <t>Object 对应着游戏物品，Menu 对于着游戏界面。</t>
  </si>
  <si>
    <t>如要翻译，只需在语言标签（如简体中文）底下，填入相对应的翻译即可。</t>
  </si>
  <si>
    <t>每完成一项翻译。记得在右边格子打勾。</t>
  </si>
  <si>
    <t>本excel会随着游戏的更新，自动更新和添加 Key 跟 English column。</t>
  </si>
  <si>
    <t>无须多做操作，汉化工具会自动抓取excel中的信息。</t>
  </si>
  <si>
    <t>汉化规则：1.评论，多个译名要评论补充，并说明为什么要选用其中的一个译名来当主译名。</t>
  </si>
  <si>
    <t>2.注释，不确定的请注释。</t>
  </si>
  <si>
    <t>3.评论Done，打勾后改译名须在评论说明，有什么改为什么。</t>
  </si>
  <si>
    <t>THOL汉化表参考skps2010的OHOL汉化表</t>
  </si>
  <si>
    <t>## 换行</t>
  </si>
  <si>
    <t>key</t>
  </si>
  <si>
    <t>正體(繁体)中文</t>
  </si>
  <si>
    <t>Is Done</t>
  </si>
  <si>
    <t>简体(簡體)中文</t>
  </si>
  <si>
    <t xml:space="preserve">Ukrainian </t>
  </si>
  <si>
    <t>is Done</t>
  </si>
  <si>
    <t>11.txt</t>
  </si>
  <si>
    <t>Skin Tone A,B,C,D,E,F</t>
  </si>
  <si>
    <t>膚色素材集</t>
  </si>
  <si>
    <t>肤色 A,B,C,D,E,F</t>
  </si>
  <si>
    <t>Тон шкіри A,B,C,D,E,F</t>
  </si>
  <si>
    <t>19.txt</t>
  </si>
  <si>
    <t>Female001 D</t>
  </si>
  <si>
    <t>女性001 D</t>
  </si>
  <si>
    <t>Жінка001 D</t>
  </si>
  <si>
    <t>30.txt</t>
  </si>
  <si>
    <t>Wild Gooseberry Bush</t>
  </si>
  <si>
    <t>野生醋栗叢</t>
  </si>
  <si>
    <t>野生醋栗丛</t>
  </si>
  <si>
    <t>Кущ дикого аґрусу</t>
  </si>
  <si>
    <t>31.txt</t>
  </si>
  <si>
    <t>Gooseberry</t>
  </si>
  <si>
    <t>醋栗</t>
  </si>
  <si>
    <t>Аґрус</t>
  </si>
  <si>
    <t>32.txt</t>
  </si>
  <si>
    <t>Big Hard Rock</t>
  </si>
  <si>
    <t>大石塊</t>
  </si>
  <si>
    <t>大石块</t>
  </si>
  <si>
    <t>Великий твердий камінь</t>
  </si>
  <si>
    <t>33.txt</t>
  </si>
  <si>
    <t>Stone</t>
  </si>
  <si>
    <t>圓石</t>
  </si>
  <si>
    <t>圆石</t>
  </si>
  <si>
    <t>Камінь</t>
  </si>
  <si>
    <t>34.txt</t>
  </si>
  <si>
    <t>Sharp Stone</t>
  </si>
  <si>
    <t>尖石</t>
  </si>
  <si>
    <t>Гострий камінь</t>
  </si>
  <si>
    <t>35.txt</t>
  </si>
  <si>
    <t>Gooseberry Seed</t>
  </si>
  <si>
    <t>醋栗種子</t>
  </si>
  <si>
    <t>醋栗种子</t>
  </si>
  <si>
    <t>Насіння агрусу</t>
  </si>
  <si>
    <t>36.txt</t>
  </si>
  <si>
    <t>Seeding Wild Carrot</t>
  </si>
  <si>
    <t>結籽的野生胡蘿蔔</t>
  </si>
  <si>
    <t>结籽的野生胡萝卜</t>
  </si>
  <si>
    <t>Посів дикої моркви</t>
  </si>
  <si>
    <t>39.txt</t>
  </si>
  <si>
    <t>Dug Wild Carrot</t>
  </si>
  <si>
    <t>被挖起的野生胡蘿蔔</t>
  </si>
  <si>
    <t>被挖起的野生胡萝卜</t>
  </si>
  <si>
    <t>Викопана дика морква</t>
  </si>
  <si>
    <t>40.txt</t>
  </si>
  <si>
    <t>Wild Carrot</t>
  </si>
  <si>
    <t>野生胡蘿蔔</t>
  </si>
  <si>
    <t>野生胡萝卜</t>
  </si>
  <si>
    <t>Морква дика</t>
  </si>
  <si>
    <t>45.txt</t>
  </si>
  <si>
    <t>Lombardy Poplar Tree</t>
  </si>
  <si>
    <t>白楊樹</t>
  </si>
  <si>
    <t>白杨树</t>
  </si>
  <si>
    <t>Тополя ломбардська</t>
  </si>
  <si>
    <t>48.txt</t>
  </si>
  <si>
    <t>Maple Tree</t>
  </si>
  <si>
    <t>楓樹</t>
  </si>
  <si>
    <t>枫树</t>
  </si>
  <si>
    <t>Клен</t>
  </si>
  <si>
    <t>49.txt</t>
  </si>
  <si>
    <t>Juniper Tree</t>
  </si>
  <si>
    <t>刺柏</t>
  </si>
  <si>
    <t>刺柏树</t>
  </si>
  <si>
    <t>Ялівець</t>
  </si>
  <si>
    <t>50.txt</t>
  </si>
  <si>
    <t>Milkweed</t>
  </si>
  <si>
    <t>乳草</t>
  </si>
  <si>
    <t>Молочай</t>
  </si>
  <si>
    <t>51.txt</t>
  </si>
  <si>
    <t>Flowering Milkweed</t>
  </si>
  <si>
    <t>開花的乳草</t>
  </si>
  <si>
    <t>开花的乳草</t>
  </si>
  <si>
    <t>Квітучий молочай</t>
  </si>
  <si>
    <t>52.txt</t>
  </si>
  <si>
    <t>Fruiting Milkweed</t>
  </si>
  <si>
    <t>結果的乳草</t>
  </si>
  <si>
    <t>结果的乳草</t>
  </si>
  <si>
    <t>Плодоношення молочаю</t>
  </si>
  <si>
    <t>53.txt</t>
  </si>
  <si>
    <t>Milkweed Debris</t>
  </si>
  <si>
    <t>乳草殘屑</t>
  </si>
  <si>
    <t>乳草残屑</t>
  </si>
  <si>
    <t>Падалиця молочаю</t>
  </si>
  <si>
    <t>54.txt</t>
  </si>
  <si>
    <t>Milkweed Debris#Flowering</t>
  </si>
  <si>
    <t>乳草殘屑#Flowering</t>
  </si>
  <si>
    <t>乳草残屑#Flowering</t>
  </si>
  <si>
    <t>Поросль молочаю#Flowering</t>
  </si>
  <si>
    <t>55.txt</t>
  </si>
  <si>
    <t>Milkweed Debris#Fruit</t>
  </si>
  <si>
    <t>乳草殘屑#Fruit</t>
  </si>
  <si>
    <t>乳草残屑#Fruit</t>
  </si>
  <si>
    <t>Падалиця молочаю#Fruit</t>
  </si>
  <si>
    <t>56.txt</t>
  </si>
  <si>
    <t>Milkweed Stump</t>
  </si>
  <si>
    <t>乳草根部</t>
  </si>
  <si>
    <t>Пеньок молочаю</t>
  </si>
  <si>
    <t>57.txt</t>
  </si>
  <si>
    <t>Milkweed Stalk</t>
  </si>
  <si>
    <t>乳草莖</t>
  </si>
  <si>
    <t>乳草茎</t>
  </si>
  <si>
    <t>Стебло молочаю</t>
  </si>
  <si>
    <t>58.txt</t>
  </si>
  <si>
    <t>Thread</t>
  </si>
  <si>
    <t>絲線</t>
  </si>
  <si>
    <t>丝线</t>
  </si>
  <si>
    <t>Нитка</t>
  </si>
  <si>
    <t>59.txt</t>
  </si>
  <si>
    <t>Rope</t>
  </si>
  <si>
    <t>繩子</t>
  </si>
  <si>
    <t>绳子</t>
  </si>
  <si>
    <t>Мотузка</t>
  </si>
  <si>
    <t>60.txt</t>
  </si>
  <si>
    <t>Milkweed Stump#Fertile</t>
  </si>
  <si>
    <t>乳草根部#Fertile</t>
  </si>
  <si>
    <t>Пеньок молочаю#Fertile</t>
  </si>
  <si>
    <t>61.txt</t>
  </si>
  <si>
    <t>Juniper Tinder</t>
  </si>
  <si>
    <t>刺柏火絨</t>
  </si>
  <si>
    <t>刺柏火种</t>
  </si>
  <si>
    <t>Ялівець трутовик</t>
  </si>
  <si>
    <t>62.txt</t>
  </si>
  <si>
    <t>Leaf</t>
  </si>
  <si>
    <t>樹葉</t>
  </si>
  <si>
    <t>树叶</t>
  </si>
  <si>
    <t>Листок</t>
  </si>
  <si>
    <t>63.txt</t>
  </si>
  <si>
    <t>Maple Tree#Branch</t>
  </si>
  <si>
    <t>楓樹#Branch</t>
  </si>
  <si>
    <t>带枝的枫树#Branch</t>
  </si>
  <si>
    <t>Клен#Branch</t>
  </si>
  <si>
    <t>64.txt</t>
  </si>
  <si>
    <t>Straight Branch</t>
  </si>
  <si>
    <t>長直樹枝</t>
  </si>
  <si>
    <t>长直树枝</t>
  </si>
  <si>
    <t>Пряма гілка</t>
  </si>
  <si>
    <t>65.txt</t>
  </si>
  <si>
    <t>Lombardy Poplar Tree#Branch</t>
  </si>
  <si>
    <t>白楊樹#Branch</t>
  </si>
  <si>
    <t>带枝的白杨树#Branch</t>
  </si>
  <si>
    <t>Тополя ломбардська#Branch</t>
  </si>
  <si>
    <t>66.txt</t>
  </si>
  <si>
    <t>Small Curved Branch</t>
  </si>
  <si>
    <t>彎樹枝</t>
  </si>
  <si>
    <t>弯树枝</t>
  </si>
  <si>
    <t>Маленька вигнута гілка</t>
  </si>
  <si>
    <t>67.txt</t>
  </si>
  <si>
    <t>Long Straight Shaft</t>
  </si>
  <si>
    <t>長木棍</t>
  </si>
  <si>
    <t>长直木棍</t>
  </si>
  <si>
    <t>Довгий прямий стрижень</t>
  </si>
  <si>
    <t>68.txt</t>
  </si>
  <si>
    <t>Small Curved Shaft</t>
  </si>
  <si>
    <t>彎木棍</t>
  </si>
  <si>
    <t>曲木棍</t>
  </si>
  <si>
    <t>Невеликий вигнутий вал</t>
  </si>
  <si>
    <t>69.txt</t>
  </si>
  <si>
    <t>Short Shaft</t>
  </si>
  <si>
    <t>短棍</t>
  </si>
  <si>
    <t>短木棍</t>
  </si>
  <si>
    <t>Коротка гілка</t>
  </si>
  <si>
    <t>70.txt</t>
  </si>
  <si>
    <t>Tied Short Shaft</t>
  </si>
  <si>
    <t>繩系短棍</t>
  </si>
  <si>
    <t>绳系短棍</t>
  </si>
  <si>
    <t>Зв'язаний короткий держак</t>
  </si>
  <si>
    <t>71.txt</t>
  </si>
  <si>
    <t>Stone Hatchet</t>
  </si>
  <si>
    <t>石斧</t>
  </si>
  <si>
    <t>Сире рагу</t>
  </si>
  <si>
    <t>72.txt</t>
  </si>
  <si>
    <t>Kindling</t>
  </si>
  <si>
    <t>細柴</t>
  </si>
  <si>
    <t>细柴</t>
  </si>
  <si>
    <t>Розпалювання</t>
  </si>
  <si>
    <t>73.txt</t>
  </si>
  <si>
    <t>Bow Drill Bow</t>
  </si>
  <si>
    <t>弓鑽弓身</t>
  </si>
  <si>
    <t>弓形钻</t>
  </si>
  <si>
    <t>Свердло для лука Свердло для лука</t>
  </si>
  <si>
    <t>74.txt</t>
  </si>
  <si>
    <t>Fire Bow Drill</t>
  </si>
  <si>
    <t>火弓钻</t>
  </si>
  <si>
    <t>Рагу «Три сестри».</t>
  </si>
  <si>
    <t>75.txt</t>
  </si>
  <si>
    <t>Ember Shaft</t>
  </si>
  <si>
    <t>冒煙木棍</t>
  </si>
  <si>
    <t>冒烟的木棍</t>
  </si>
  <si>
    <t>Вугільне древко</t>
  </si>
  <si>
    <t>77.txt</t>
  </si>
  <si>
    <t>Ember Leaf</t>
  </si>
  <si>
    <t>冒煙的樹葉</t>
  </si>
  <si>
    <t>带火星的树叶</t>
  </si>
  <si>
    <t>Вугільний лист</t>
  </si>
  <si>
    <t>78.txt</t>
  </si>
  <si>
    <t>Smoldering Tinder</t>
  </si>
  <si>
    <t>冒煙的火絨</t>
  </si>
  <si>
    <t>闷烧的火种</t>
  </si>
  <si>
    <t>Тліючий трут</t>
  </si>
  <si>
    <t>79.txt</t>
  </si>
  <si>
    <t>Spent Tinder</t>
  </si>
  <si>
    <t>用過的火絨</t>
  </si>
  <si>
    <t>燃尽的火种</t>
  </si>
  <si>
    <t>Відпрацьований трут</t>
  </si>
  <si>
    <t>80.txt</t>
  </si>
  <si>
    <t>Burning Tinder</t>
  </si>
  <si>
    <t>燃燒的火絨</t>
  </si>
  <si>
    <t>燃烧的火种</t>
  </si>
  <si>
    <t>Палаючий трут</t>
  </si>
  <si>
    <t>82.txt</t>
  </si>
  <si>
    <t>Fire</t>
  </si>
  <si>
    <t>火</t>
  </si>
  <si>
    <t>Пожежа</t>
  </si>
  <si>
    <t>83.txt</t>
  </si>
  <si>
    <t>Large Fast Fire</t>
  </si>
  <si>
    <t>旺火</t>
  </si>
  <si>
    <t>快速大火</t>
  </si>
  <si>
    <t>Великий швидкий вогонь</t>
  </si>
  <si>
    <t>85.txt</t>
  </si>
  <si>
    <t>Hot Coals</t>
  </si>
  <si>
    <t>热碳</t>
  </si>
  <si>
    <t>Canada Goose Pond з яйцем</t>
  </si>
  <si>
    <t>86.txt</t>
  </si>
  <si>
    <t>Ashes</t>
  </si>
  <si>
    <t>灰燼</t>
  </si>
  <si>
    <t>灰烬</t>
  </si>
  <si>
    <t>Попіл</t>
  </si>
  <si>
    <t>87.txt</t>
  </si>
  <si>
    <t>Fresh Grave# origGrave fromDeath</t>
  </si>
  <si>
    <t>新鮮的屍體# origGrave fromDeath</t>
  </si>
  <si>
    <t>新鲜的尸体# origGrave fromDeath</t>
  </si>
  <si>
    <t>Свіжа могила# origGrave fromDeath</t>
  </si>
  <si>
    <t>88.txt</t>
  </si>
  <si>
    <t>Grave# origGrave</t>
  </si>
  <si>
    <t>屍體# origGrave</t>
  </si>
  <si>
    <t>尸体# origGrave</t>
  </si>
  <si>
    <t>Могила# origGrave</t>
  </si>
  <si>
    <t>89.txt</t>
  </si>
  <si>
    <t>Old Grave# origGrave</t>
  </si>
  <si>
    <t>老舊的屍體# origGrave</t>
  </si>
  <si>
    <t>老旧的尸体# origGrave</t>
  </si>
  <si>
    <t>Стара могила# origGrave</t>
  </si>
  <si>
    <t>92.txt</t>
  </si>
  <si>
    <t>Tied Long Shaft</t>
  </si>
  <si>
    <t>繩系長棍</t>
  </si>
  <si>
    <t>绳系长棍</t>
  </si>
  <si>
    <t>Зв'язаний довгий держак</t>
  </si>
  <si>
    <t>96.txt</t>
  </si>
  <si>
    <t>Pine Needles</t>
  </si>
  <si>
    <t>松針</t>
  </si>
  <si>
    <t>松针</t>
  </si>
  <si>
    <t>Хвоя</t>
  </si>
  <si>
    <t>99.txt</t>
  </si>
  <si>
    <t>White Pine Tree</t>
  </si>
  <si>
    <t>松樹</t>
  </si>
  <si>
    <t>白松树</t>
  </si>
  <si>
    <t>Біла сосна</t>
  </si>
  <si>
    <t>100.txt</t>
  </si>
  <si>
    <t>White Pine Tree with Needles</t>
  </si>
  <si>
    <t>含有松針的松樹</t>
  </si>
  <si>
    <t>含有松针的白松树</t>
  </si>
  <si>
    <t>Біла сосна з хвоєю</t>
  </si>
  <si>
    <t>101.txt</t>
  </si>
  <si>
    <t>Wooden Frame</t>
  </si>
  <si>
    <t>木制框架</t>
  </si>
  <si>
    <t>103.txt</t>
  </si>
  <si>
    <t>Netted Wooden Frame</t>
  </si>
  <si>
    <t>网状木框架</t>
  </si>
  <si>
    <t>104.txt</t>
  </si>
  <si>
    <t>Partial Wooden Frame</t>
  </si>
  <si>
    <t>局部木框架</t>
  </si>
  <si>
    <t>105.txt</t>
  </si>
  <si>
    <t>Half Wooden Frame</t>
  </si>
  <si>
    <t>半木制框架</t>
  </si>
  <si>
    <t>106.txt</t>
  </si>
  <si>
    <t>Pine Panel</t>
  </si>
  <si>
    <t>松木板</t>
  </si>
  <si>
    <t>Соснова дошка</t>
  </si>
  <si>
    <t>107.txt</t>
  </si>
  <si>
    <t>Stakes</t>
  </si>
  <si>
    <t>在樹樁上的斷頭鵝</t>
  </si>
  <si>
    <t>标桩</t>
  </si>
  <si>
    <t>Обезголовлений гусак на пні</t>
  </si>
  <si>
    <t>108.txt</t>
  </si>
  <si>
    <t>East-West Wall Stakes</t>
  </si>
  <si>
    <t>斷頭鵝</t>
  </si>
  <si>
    <t>东西墙木桩</t>
  </si>
  <si>
    <t>Обезголовлений гусак</t>
  </si>
  <si>
    <t>109.txt</t>
  </si>
  <si>
    <t>North-South Wall Stakes</t>
  </si>
  <si>
    <t>鵝屍體</t>
  </si>
  <si>
    <t>南北墙木桩</t>
  </si>
  <si>
    <t>Мертвий гусак</t>
  </si>
  <si>
    <t>110.txt</t>
  </si>
  <si>
    <t>Corner Wall Stakes</t>
  </si>
  <si>
    <t>放在樹樁上的鵝頭# just left</t>
  </si>
  <si>
    <t>角墙桩</t>
  </si>
  <si>
    <t>Пень із гусячою головою# just left</t>
  </si>
  <si>
    <t>111.txt</t>
  </si>
  <si>
    <t>Pine Wall</t>
  </si>
  <si>
    <t>放在樹樁上的鵝頭</t>
  </si>
  <si>
    <t>松木墙</t>
  </si>
  <si>
    <t>Пеньок з гусячою головою</t>
  </si>
  <si>
    <t>112.txt</t>
  </si>
  <si>
    <t>Pine Wall# +useOnContained</t>
  </si>
  <si>
    <t>正進食玉米的家養鵝</t>
  </si>
  <si>
    <t>松木墙# +useOnContained</t>
  </si>
  <si>
    <t>Домашня гуска з кукурудзою</t>
  </si>
  <si>
    <t>113.txt</t>
  </si>
  <si>
    <t>餵飽的家養鵝</t>
  </si>
  <si>
    <t>Відгодований домашній гусак</t>
  </si>
  <si>
    <t>114.txt</t>
  </si>
  <si>
    <t>Pine Door</t>
  </si>
  <si>
    <t>松木門</t>
  </si>
  <si>
    <t>松木门</t>
  </si>
  <si>
    <t>Соснові двері</t>
  </si>
  <si>
    <t>115.txt</t>
  </si>
  <si>
    <t>Pine Door# Installed</t>
  </si>
  <si>
    <t>Приготований омлет</t>
  </si>
  <si>
    <t>116.txt</t>
  </si>
  <si>
    <t>Pine Door# installed vert</t>
  </si>
  <si>
    <t>打开的松木門</t>
  </si>
  <si>
    <t>松木门# installed vert</t>
  </si>
  <si>
    <t>Палений омлет</t>
  </si>
  <si>
    <t>117.txt</t>
  </si>
  <si>
    <t>Open Pine Door# installed vert</t>
  </si>
  <si>
    <t>打開的松木門</t>
  </si>
  <si>
    <t>打开的松木门# installed vert</t>
  </si>
  <si>
    <t>Крутий флет-рок</t>
  </si>
  <si>
    <t>119.txt</t>
  </si>
  <si>
    <t>Open Pine Needle Door# installed</t>
  </si>
  <si>
    <t>打开的松木門# installed</t>
  </si>
  <si>
    <t>打开的松木门# installed</t>
  </si>
  <si>
    <t>Можливо, кабачок</t>
  </si>
  <si>
    <t>121.txt</t>
  </si>
  <si>
    <t>Tule Reeds</t>
  </si>
  <si>
    <t>蘆葦叢</t>
  </si>
  <si>
    <t>芦苇丛</t>
  </si>
  <si>
    <t>Очерет Туле</t>
  </si>
  <si>
    <t>122.txt</t>
  </si>
  <si>
    <t>Tule Stumps</t>
  </si>
  <si>
    <t>割過的蘆葦叢</t>
  </si>
  <si>
    <t>收获的芦苇丛</t>
  </si>
  <si>
    <t>Пеньки туле</t>
  </si>
  <si>
    <t>123.txt</t>
  </si>
  <si>
    <t>Harvested Tule</t>
  </si>
  <si>
    <t>被切下的蘆葦</t>
  </si>
  <si>
    <t>芦苇残桩</t>
  </si>
  <si>
    <t>Заготовлений очерет</t>
  </si>
  <si>
    <t>124.txt</t>
  </si>
  <si>
    <t>Reed Bundle</t>
  </si>
  <si>
    <t>蘆葦捆</t>
  </si>
  <si>
    <t>芦苇捆</t>
  </si>
  <si>
    <t>Очеретяний пучок</t>
  </si>
  <si>
    <t>125.txt</t>
  </si>
  <si>
    <t>Clay Deposit</t>
  </si>
  <si>
    <t>黏土堆</t>
  </si>
  <si>
    <t>Поклад глини</t>
  </si>
  <si>
    <t>126.txt</t>
  </si>
  <si>
    <t>Clay</t>
  </si>
  <si>
    <t>黏土</t>
  </si>
  <si>
    <t>Глина</t>
  </si>
  <si>
    <t>127.txt</t>
  </si>
  <si>
    <t>Adobe</t>
  </si>
  <si>
    <t>土坯</t>
  </si>
  <si>
    <t>Аїр</t>
  </si>
  <si>
    <t>128.txt</t>
  </si>
  <si>
    <t>Reed Skirt</t>
  </si>
  <si>
    <t>蘆葦裙</t>
  </si>
  <si>
    <t>芦苇裙</t>
  </si>
  <si>
    <t>Очеретяна спідниця</t>
  </si>
  <si>
    <t>131.txt</t>
  </si>
  <si>
    <t>Yew Shaft</t>
  </si>
  <si>
    <t>杉木棍</t>
  </si>
  <si>
    <t>紫杉木棍</t>
  </si>
  <si>
    <t>Тисовий стовбур</t>
  </si>
  <si>
    <t>132.txt</t>
  </si>
  <si>
    <t>Yew Branch</t>
  </si>
  <si>
    <t>杉木枝</t>
  </si>
  <si>
    <t>紫杉树枝</t>
  </si>
  <si>
    <t>Тисова гілка</t>
  </si>
  <si>
    <t>133.txt</t>
  </si>
  <si>
    <t>Flint</t>
  </si>
  <si>
    <t>燧石</t>
  </si>
  <si>
    <t>Кремінь</t>
  </si>
  <si>
    <t>134.txt</t>
  </si>
  <si>
    <t>Flint Arrowhead</t>
  </si>
  <si>
    <t>燧石箭頭</t>
  </si>
  <si>
    <t>燧石箭头</t>
  </si>
  <si>
    <t>Крем'яний наконечник стріли</t>
  </si>
  <si>
    <t>135.txt</t>
  </si>
  <si>
    <t>Flint Chip</t>
  </si>
  <si>
    <t>燧石片</t>
  </si>
  <si>
    <t>Кремінна крихта</t>
  </si>
  <si>
    <t>136.txt</t>
  </si>
  <si>
    <t>Sapling</t>
  </si>
  <si>
    <t>樹苗</t>
  </si>
  <si>
    <t>树苗</t>
  </si>
  <si>
    <t>Саджанець</t>
  </si>
  <si>
    <t>137.txt</t>
  </si>
  <si>
    <t>Sapling Stump</t>
  </si>
  <si>
    <t>樹苗樁</t>
  </si>
  <si>
    <t>树苗残桩</t>
  </si>
  <si>
    <t>Пеньок саджанця</t>
  </si>
  <si>
    <t>138.txt</t>
  </si>
  <si>
    <t>Cut Sapling Sticker</t>
  </si>
  <si>
    <t>切割树苗插枝</t>
  </si>
  <si>
    <t>Плоский камінь з кукурудзяною коржиком</t>
  </si>
  <si>
    <t>139.txt</t>
  </si>
  <si>
    <t>Stick</t>
  </si>
  <si>
    <t>杆子</t>
  </si>
  <si>
    <t>Сирий кукурудзяний корж</t>
  </si>
  <si>
    <t>140.txt</t>
  </si>
  <si>
    <t>Tied Stick</t>
  </si>
  <si>
    <t>绑住的杆子</t>
  </si>
  <si>
    <t>Варена кукурудзяна коржик # just cooked</t>
  </si>
  <si>
    <t>141.txt</t>
  </si>
  <si>
    <t>Canada Goose Pond</t>
  </si>
  <si>
    <t>鵝塘</t>
  </si>
  <si>
    <t>加拿大鹅池塘</t>
  </si>
  <si>
    <t>Ставок канадських гусей</t>
  </si>
  <si>
    <t>142.txt</t>
  </si>
  <si>
    <t>Canada Goose Pond#swimming</t>
  </si>
  <si>
    <t>鵝塘#swimming</t>
  </si>
  <si>
    <t>加拿大鹅池塘#swimming</t>
  </si>
  <si>
    <t>Ставок канадських гусей#swimming</t>
  </si>
  <si>
    <t>143.txt</t>
  </si>
  <si>
    <t>Canada Goose Pond#swimming, feather</t>
  </si>
  <si>
    <t>鵝塘#swimming, feather</t>
  </si>
  <si>
    <t>加拿大鹅池塘#swimming, feather</t>
  </si>
  <si>
    <t>Ставок канадської гуски#swimming, feather</t>
  </si>
  <si>
    <t>144.txt</t>
  </si>
  <si>
    <t>Goose Feather</t>
  </si>
  <si>
    <t>鵝羽</t>
  </si>
  <si>
    <t>鹅毛</t>
  </si>
  <si>
    <t>Гусяче перо</t>
  </si>
  <si>
    <t>146.txt</t>
  </si>
  <si>
    <t>Fletching</t>
  </si>
  <si>
    <t>箭羽</t>
  </si>
  <si>
    <t>Флетчінг</t>
  </si>
  <si>
    <t>147.txt</t>
  </si>
  <si>
    <t>Featherless Arrow</t>
  </si>
  <si>
    <t>沒有箭羽的箭矢</t>
  </si>
  <si>
    <t>没有箭羽的箭矢</t>
  </si>
  <si>
    <t>Стріла без пера</t>
  </si>
  <si>
    <t>148.txt</t>
  </si>
  <si>
    <t>Arrow</t>
  </si>
  <si>
    <t>箭矢</t>
  </si>
  <si>
    <t>Стріла</t>
  </si>
  <si>
    <t>149.txt</t>
  </si>
  <si>
    <t>Headless Arrow</t>
  </si>
  <si>
    <t>沒有箭頭的箭矢</t>
  </si>
  <si>
    <t>没有箭头的箭矢</t>
  </si>
  <si>
    <t>Безголова стріла</t>
  </si>
  <si>
    <t>150.txt</t>
  </si>
  <si>
    <t>Flint Chips</t>
  </si>
  <si>
    <t>151.txt</t>
  </si>
  <si>
    <t>Yew Bow</t>
  </si>
  <si>
    <t>杉木弓</t>
  </si>
  <si>
    <t>紫杉木弓</t>
  </si>
  <si>
    <t>Тисовий лук</t>
  </si>
  <si>
    <t>152.txt</t>
  </si>
  <si>
    <t>Bow and Arrow</t>
  </si>
  <si>
    <t>白色圍裙</t>
  </si>
  <si>
    <t>弓箭</t>
  </si>
  <si>
    <t>Білий фартух</t>
  </si>
  <si>
    <t>153.txt</t>
  </si>
  <si>
    <t>Yew Tree#Branch</t>
  </si>
  <si>
    <t>紫杉樹#Branch</t>
  </si>
  <si>
    <t>紫杉树#Branch</t>
  </si>
  <si>
    <t>Тисове дерево#Branch</t>
  </si>
  <si>
    <t>154.txt</t>
  </si>
  <si>
    <t>Adobe Wall</t>
  </si>
  <si>
    <t>土坯墙</t>
  </si>
  <si>
    <t>155.txt</t>
  </si>
  <si>
    <t>156.txt</t>
  </si>
  <si>
    <t>157.txt</t>
  </si>
  <si>
    <t>Partial Adobe Wall</t>
  </si>
  <si>
    <t>未完工土坯牆</t>
  </si>
  <si>
    <t>158.txt</t>
  </si>
  <si>
    <t>159.txt</t>
  </si>
  <si>
    <t>160.txt</t>
  </si>
  <si>
    <t>Snare</t>
  </si>
  <si>
    <t>捕兔陷阱</t>
  </si>
  <si>
    <t>陷阱</t>
  </si>
  <si>
    <t>Пастка.</t>
  </si>
  <si>
    <t>161.txt</t>
  </si>
  <si>
    <t>Rabbit Hole#hiding,single</t>
  </si>
  <si>
    <t>兔子洞#hiding,single</t>
  </si>
  <si>
    <t>Кроляча нора#переховується, неодружений</t>
  </si>
  <si>
    <t>162.txt</t>
  </si>
  <si>
    <t>Snared Rabbit Hole#hiding</t>
  </si>
  <si>
    <t>放置了陷阱的兔子洞#hiding</t>
  </si>
  <si>
    <t>Кроляча нора в пастці#hiding</t>
  </si>
  <si>
    <t>163.txt</t>
  </si>
  <si>
    <t>Snared Rabbit Family Hole#hiding</t>
  </si>
  <si>
    <t>Сімейна кроляча нора в пастці#hiding</t>
  </si>
  <si>
    <t>164.txt</t>
  </si>
  <si>
    <t>Rabbit Hole#out,single</t>
  </si>
  <si>
    <t>兔子洞#out,single</t>
  </si>
  <si>
    <t>Кроляча нора#out,single</t>
  </si>
  <si>
    <t>165.txt</t>
  </si>
  <si>
    <t>Rabbit Hole#peeking2,single</t>
  </si>
  <si>
    <t>兔子洞#peeking2,single</t>
  </si>
  <si>
    <t>Кроляча нора#peeking2,single</t>
  </si>
  <si>
    <t>166.txt</t>
  </si>
  <si>
    <t>Rabbit Hole#peeking1,single</t>
  </si>
  <si>
    <t>兔子洞#peeking1,single</t>
  </si>
  <si>
    <t>Кроляча нора##peeking1,single</t>
  </si>
  <si>
    <t>167.txt</t>
  </si>
  <si>
    <t>Rabbit Family Hole#hiding</t>
  </si>
  <si>
    <t>兔子洞#hiding</t>
  </si>
  <si>
    <t>Сімейна кроляча нора#hiding</t>
  </si>
  <si>
    <t>168.txt</t>
  </si>
  <si>
    <t>Snared Rabbit Hole#peeking2,single</t>
  </si>
  <si>
    <t>放置了陷阱的兔子洞#peeking2,single</t>
  </si>
  <si>
    <t>Капкан для кролика#peeking2,single</t>
  </si>
  <si>
    <t>169.txt</t>
  </si>
  <si>
    <t>Snared Rabbit Hole#peeking1,single</t>
  </si>
  <si>
    <t>逃跑的野豬崽</t>
  </si>
  <si>
    <t>放置了陷阱的兔子洞#peeking1,single</t>
  </si>
  <si>
    <t>Дике порося, що тікає</t>
  </si>
  <si>
    <t>171.txt</t>
  </si>
  <si>
    <t>Snared Rabbit Family Hole#peeking2</t>
  </si>
  <si>
    <t>飢餓的野豬崽</t>
  </si>
  <si>
    <t>有崽的兔子洞#peeking2</t>
  </si>
  <si>
    <t>Голодне дике порося</t>
  </si>
  <si>
    <t>172.txt</t>
  </si>
  <si>
    <t>Snared Rabbit Family Hole#peeking1</t>
  </si>
  <si>
    <t>野豬崽屍體</t>
  </si>
  <si>
    <t>放置了陷阱的有崽兔子洞#peeking1</t>
  </si>
  <si>
    <t>Мертве дике порося</t>
  </si>
  <si>
    <t>173.txt</t>
  </si>
  <si>
    <t>Rabbit Family Hole#out</t>
  </si>
  <si>
    <t>有幼崽的兔子洞#out</t>
  </si>
  <si>
    <t>一窝兔子洞#out</t>
  </si>
  <si>
    <t>Кроляча родинна нора#out</t>
  </si>
  <si>
    <t>174.txt</t>
  </si>
  <si>
    <t>Snared Rabbit#alive</t>
  </si>
  <si>
    <t>被抓住的兔子#alive</t>
  </si>
  <si>
    <t>Кролик у пастці#alive</t>
  </si>
  <si>
    <t>175.txt</t>
  </si>
  <si>
    <t>Snared Family Rabbit#alive</t>
  </si>
  <si>
    <t>Сім'я кроликів у пастці#alive</t>
  </si>
  <si>
    <t>176.txt</t>
  </si>
  <si>
    <t>Snared Rabbit#dead</t>
  </si>
  <si>
    <t>被抓住的兔子#dead</t>
  </si>
  <si>
    <t>Кролик у пастці#dead</t>
  </si>
  <si>
    <t>177.txt</t>
  </si>
  <si>
    <t>Snared Rabbit#dead,family</t>
  </si>
  <si>
    <t>被抓住的兔子#dead,family</t>
  </si>
  <si>
    <t>Кролик у пастці#dead,family</t>
  </si>
  <si>
    <t>178.txt</t>
  </si>
  <si>
    <t>Rabbit Hole with Used Snare#single</t>
  </si>
  <si>
    <t>放置了陷阱的兔子洞#single</t>
  </si>
  <si>
    <t>兔子洞与用过的圈套#single</t>
  </si>
  <si>
    <t>Кроляча нора з використаним капканом#single</t>
  </si>
  <si>
    <t>179.txt</t>
  </si>
  <si>
    <t>Rabbit Hole with Used Snare#family</t>
  </si>
  <si>
    <t>放置了陷阱的兔子洞#family</t>
  </si>
  <si>
    <t>兔子洞与用过的圈套#family</t>
  </si>
  <si>
    <t>Кроляча нора з використаною пасткою#family</t>
  </si>
  <si>
    <t>180.txt</t>
  </si>
  <si>
    <t>Dead Rabbit</t>
  </si>
  <si>
    <t>兔子屍體</t>
  </si>
  <si>
    <t>死兔子</t>
  </si>
  <si>
    <t>Мертвий кролик</t>
  </si>
  <si>
    <t>181.txt</t>
  </si>
  <si>
    <t>Skinned Rabbit</t>
  </si>
  <si>
    <t>剝皮兔子</t>
  </si>
  <si>
    <t>剥皮兔子与兔皮</t>
  </si>
  <si>
    <t>Обдертий кролик</t>
  </si>
  <si>
    <t>182.txt</t>
  </si>
  <si>
    <t>剥皮兔子</t>
  </si>
  <si>
    <t>Кролик зі шкурою</t>
  </si>
  <si>
    <t>183.txt</t>
  </si>
  <si>
    <t>Rabbit Fur</t>
  </si>
  <si>
    <t>兔皮</t>
  </si>
  <si>
    <t>Хутро кролика</t>
  </si>
  <si>
    <t>184.txt</t>
  </si>
  <si>
    <t>Four Pieces of Cut Rabbit Fur</t>
  </si>
  <si>
    <t>四片分割的兔皮</t>
  </si>
  <si>
    <t>四张切开的兔皮</t>
  </si>
  <si>
    <t>Чотири шматки кролячого хутра</t>
  </si>
  <si>
    <t>185.txt</t>
  </si>
  <si>
    <t>Skewered Rabbit</t>
  </si>
  <si>
    <t>串起來的兔子</t>
  </si>
  <si>
    <t>串起来的兔子</t>
  </si>
  <si>
    <t>Кролик на шампурі</t>
  </si>
  <si>
    <t>186.txt</t>
  </si>
  <si>
    <t>Cooked Rabbit</t>
  </si>
  <si>
    <t>烤兔子</t>
  </si>
  <si>
    <t>Смажений кролик</t>
  </si>
  <si>
    <t>187.txt</t>
  </si>
  <si>
    <t>Burnt Rabbit</t>
  </si>
  <si>
    <t>有崽的家豬</t>
  </si>
  <si>
    <t>烧焦的兔子</t>
  </si>
  <si>
    <t>Домашня свиня з поросятком</t>
  </si>
  <si>
    <t>189.txt</t>
  </si>
  <si>
    <t>Rabbit Bone</t>
  </si>
  <si>
    <t>兔子骨</t>
  </si>
  <si>
    <t>Кроляча кістка</t>
  </si>
  <si>
    <t>190.txt</t>
  </si>
  <si>
    <t>Rabbit Bones</t>
  </si>
  <si>
    <t>兔子骨架</t>
  </si>
  <si>
    <t>Кролячі кістки</t>
  </si>
  <si>
    <t>191.txt</t>
  </si>
  <si>
    <t>Bone Needle</t>
  </si>
  <si>
    <t>骨針</t>
  </si>
  <si>
    <t>骨针</t>
  </si>
  <si>
    <t>Голка з кістки</t>
  </si>
  <si>
    <t>192.txt</t>
  </si>
  <si>
    <t>Needle and Thread</t>
  </si>
  <si>
    <t>嶄新的路標石# &amp;written +map</t>
  </si>
  <si>
    <t>穿线的骨针# +toolSewing</t>
  </si>
  <si>
    <t>Камінь нового шляху# &amp;written +map</t>
  </si>
  <si>
    <t>193.txt</t>
  </si>
  <si>
    <t>Rabbit Family Hole#peeking1</t>
  </si>
  <si>
    <t>有幼崽的兔子洞#peeking1</t>
  </si>
  <si>
    <t>一窝兔子的洞#peeking1</t>
  </si>
  <si>
    <t>Кроляча родинна нора#peeking1</t>
  </si>
  <si>
    <t>194.txt</t>
  </si>
  <si>
    <t>Rabbit Family Hole#peeking2</t>
  </si>
  <si>
    <t>有幼崽的兔子洞#peeking2</t>
  </si>
  <si>
    <t>一窝兔子的洞#peeking2</t>
  </si>
  <si>
    <t>Кроляча нора#peeking2</t>
  </si>
  <si>
    <t>195.txt</t>
  </si>
  <si>
    <t>Abandoned Rabbit Hole</t>
  </si>
  <si>
    <t>被遺棄的兔子洞</t>
  </si>
  <si>
    <t>被遗弃的兔子洞</t>
  </si>
  <si>
    <t>Покинута кроляча нора</t>
  </si>
  <si>
    <t>196.txt</t>
  </si>
  <si>
    <t>Rabbit Hole#growing</t>
  </si>
  <si>
    <t>兔子洞#growing</t>
  </si>
  <si>
    <t>Кроляча нора#growing</t>
  </si>
  <si>
    <t>197.txt</t>
  </si>
  <si>
    <t>Приготований кролик</t>
  </si>
  <si>
    <t>198.txt</t>
  </si>
  <si>
    <t>Backpack</t>
  </si>
  <si>
    <t>背包</t>
  </si>
  <si>
    <t>兔皮背包</t>
  </si>
  <si>
    <t>Рюкзак</t>
  </si>
  <si>
    <t>199.txt</t>
  </si>
  <si>
    <t>Rabbit Fur Hat</t>
  </si>
  <si>
    <t>兔皮帽</t>
  </si>
  <si>
    <t>Шапка з хутра кролика</t>
  </si>
  <si>
    <t>200.txt</t>
  </si>
  <si>
    <t>Rabbit Fur Loincloth</t>
  </si>
  <si>
    <t>兔皮纏腰布</t>
  </si>
  <si>
    <t>兔皮缠腰布</t>
  </si>
  <si>
    <t>Хутряна набедренна пов'язка з кролика</t>
  </si>
  <si>
    <t>201.txt</t>
  </si>
  <si>
    <t>Rabbit Fur Shawl</t>
  </si>
  <si>
    <t>兔皮披肩</t>
  </si>
  <si>
    <t>Хустка з хутра кролика</t>
  </si>
  <si>
    <t>202.txt</t>
  </si>
  <si>
    <t>Rabbit Fur Coat</t>
  </si>
  <si>
    <t>兔皮棉襖</t>
  </si>
  <si>
    <t>兔皮大衣</t>
  </si>
  <si>
    <t>Шуба з хутра кролика</t>
  </si>
  <si>
    <t>203.txt</t>
  </si>
  <si>
    <t>Rabbit Fur Shoe</t>
  </si>
  <si>
    <t>兔皮靴</t>
  </si>
  <si>
    <t>兔皮鞋</t>
  </si>
  <si>
    <t>Черевик з хутра кролика</t>
  </si>
  <si>
    <t>204.txt</t>
  </si>
  <si>
    <t>Two Rabbit Furs</t>
  </si>
  <si>
    <t>兩塊兔皮</t>
  </si>
  <si>
    <t>两块兔皮</t>
  </si>
  <si>
    <t>Два хутра кролика</t>
  </si>
  <si>
    <t>205.txt</t>
  </si>
  <si>
    <t>Three Rabbit Furs</t>
  </si>
  <si>
    <t>三塊兔皮</t>
  </si>
  <si>
    <t>三块兔皮</t>
  </si>
  <si>
    <t>Три хутро кролика</t>
  </si>
  <si>
    <t>206.txt</t>
  </si>
  <si>
    <t>Four Rabbit Furs</t>
  </si>
  <si>
    <t>四塊兔皮</t>
  </si>
  <si>
    <t>四块兔皮</t>
  </si>
  <si>
    <t>Чотири хутра кролика</t>
  </si>
  <si>
    <t>207.txt</t>
  </si>
  <si>
    <t>Two Pieces of Cut Rabbit Fur</t>
  </si>
  <si>
    <t>兩片分割的兔皮</t>
  </si>
  <si>
    <t>两张分割的兔皮</t>
  </si>
  <si>
    <t>Два шматки кролячого хутра</t>
  </si>
  <si>
    <t>208.txt</t>
  </si>
  <si>
    <t>Four Full and Two Cut Rabbit Furs</t>
  </si>
  <si>
    <t>四塊半兔皮</t>
  </si>
  <si>
    <t>四块半兔皮</t>
  </si>
  <si>
    <t>Чотири цілих і два розрізаних хутра кролика</t>
  </si>
  <si>
    <t>209.txt</t>
  </si>
  <si>
    <t>Empty Water Pouch</t>
  </si>
  <si>
    <t>空水袋</t>
  </si>
  <si>
    <t>Порожня ємність для води</t>
  </si>
  <si>
    <t>210.txt</t>
  </si>
  <si>
    <t>Full Water Pouch</t>
  </si>
  <si>
    <t>裝滿的水袋</t>
  </si>
  <si>
    <t>装满的水袋</t>
  </si>
  <si>
    <t>Повний мішок води</t>
  </si>
  <si>
    <t>211.txt</t>
  </si>
  <si>
    <t>Fertile Soil Deposit</t>
  </si>
  <si>
    <t>沃土堆</t>
  </si>
  <si>
    <t>肥沃土层</t>
  </si>
  <si>
    <t>Поклад родючого ґрунту</t>
  </si>
  <si>
    <t>212.txt</t>
  </si>
  <si>
    <t>Soil-filled Backpack</t>
  </si>
  <si>
    <t>裝滿了土的背包</t>
  </si>
  <si>
    <t>装满了土的背包</t>
  </si>
  <si>
    <t>Наповнений ґрунтом рюкзак</t>
  </si>
  <si>
    <t>213.txt</t>
  </si>
  <si>
    <t>Deep Tilled Row# groundOnly</t>
  </si>
  <si>
    <t>精耕地# groundOnly</t>
  </si>
  <si>
    <t>Глибоко просапний ряд # groundOnly</t>
  </si>
  <si>
    <t>214.txt</t>
  </si>
  <si>
    <t>Dry Planted Milkweed Seed</t>
  </si>
  <si>
    <t>乾燥的乳草田</t>
  </si>
  <si>
    <t>干燥的乳草田</t>
  </si>
  <si>
    <t>Сухе висаджене насіння молочаю</t>
  </si>
  <si>
    <t>215.txt</t>
  </si>
  <si>
    <t>Wet Planted Milkweed Seed</t>
  </si>
  <si>
    <t>溼潤的乳草田</t>
  </si>
  <si>
    <t>湿润的乳草田</t>
  </si>
  <si>
    <t>Вологе насіння молочаю</t>
  </si>
  <si>
    <t>216.txt</t>
  </si>
  <si>
    <t>Dry Planted Gooseberry Seed#fertile</t>
  </si>
  <si>
    <t>乾燥的醋栗田#fertile</t>
  </si>
  <si>
    <t>干燥的醋栗田#fertile</t>
  </si>
  <si>
    <t>Сухе висаджене насіння аґрусу#fertile</t>
  </si>
  <si>
    <t>217.txt</t>
  </si>
  <si>
    <t>Wet Planted Gooseberry Seed#fertile</t>
  </si>
  <si>
    <t>溼潤的醋栗田#fertile</t>
  </si>
  <si>
    <t>湿润的醋栗田#fertile</t>
  </si>
  <si>
    <t>Вологе насіння аґрусу#fertile</t>
  </si>
  <si>
    <t>218.txt</t>
  </si>
  <si>
    <t>Milkweed Sprout</t>
  </si>
  <si>
    <t>乳草苗</t>
  </si>
  <si>
    <t>Паростки молочаю</t>
  </si>
  <si>
    <t>219.txt</t>
  </si>
  <si>
    <t>Gooseberry Sprout</t>
  </si>
  <si>
    <t>醋栗苗</t>
  </si>
  <si>
    <t>Паростки аґрусу</t>
  </si>
  <si>
    <t>220.txt</t>
  </si>
  <si>
    <t>Milkweed Seed</t>
  </si>
  <si>
    <t>乳草種子</t>
  </si>
  <si>
    <t>乳草种子</t>
  </si>
  <si>
    <t>Насіння молочаю</t>
  </si>
  <si>
    <t>223.txt</t>
  </si>
  <si>
    <t>Wheat Seed Head</t>
  </si>
  <si>
    <t>小麥種子</t>
  </si>
  <si>
    <t>小麦种子</t>
  </si>
  <si>
    <t>Качани пшениці</t>
  </si>
  <si>
    <t>224.txt</t>
  </si>
  <si>
    <t>Harvested Wheat</t>
  </si>
  <si>
    <t>已收割的小麥</t>
  </si>
  <si>
    <t>收获的小麦</t>
  </si>
  <si>
    <t>Зібрана пшениця</t>
  </si>
  <si>
    <t>225.txt</t>
  </si>
  <si>
    <t>Wheat Sheaf</t>
  </si>
  <si>
    <t>小麥捆</t>
  </si>
  <si>
    <t>小麦捆</t>
  </si>
  <si>
    <t>Пшеничний сніп</t>
  </si>
  <si>
    <t>226.txt</t>
  </si>
  <si>
    <t>Threshed Wheat</t>
  </si>
  <si>
    <t>脫粒小麥</t>
  </si>
  <si>
    <t>脱粒小麦</t>
  </si>
  <si>
    <t>Обмолочена пшениця</t>
  </si>
  <si>
    <t>227.txt</t>
  </si>
  <si>
    <t>Straw</t>
  </si>
  <si>
    <t>麥稈</t>
  </si>
  <si>
    <t>稻草</t>
  </si>
  <si>
    <t>Солома</t>
  </si>
  <si>
    <t>228.txt</t>
  </si>
  <si>
    <t>Dry Planted Wheat</t>
  </si>
  <si>
    <t>乾燥的小麥田</t>
  </si>
  <si>
    <t>干燥的小麦田</t>
  </si>
  <si>
    <t>Пшениця суха посівна</t>
  </si>
  <si>
    <t>229.txt</t>
  </si>
  <si>
    <t>Wet Planted Wheat</t>
  </si>
  <si>
    <t>溼潤的小麥田</t>
  </si>
  <si>
    <t>湿润的小麦田</t>
  </si>
  <si>
    <t>Пшениця вологе посівне зерно</t>
  </si>
  <si>
    <t>230.txt</t>
  </si>
  <si>
    <t>Wheat Sprouts</t>
  </si>
  <si>
    <t>小麥苗</t>
  </si>
  <si>
    <t>小麦苗</t>
  </si>
  <si>
    <t>Паростки пшениці</t>
  </si>
  <si>
    <t>231.txt</t>
  </si>
  <si>
    <t>Adobe Oven Base</t>
  </si>
  <si>
    <t>烤爐基座</t>
  </si>
  <si>
    <t>土坯基座</t>
  </si>
  <si>
    <t>Основа для печі з сап'яну</t>
  </si>
  <si>
    <t>233.txt</t>
  </si>
  <si>
    <t>Wet Clay Bowl</t>
  </si>
  <si>
    <t>溼潤的黏土碗</t>
  </si>
  <si>
    <t>湿的粘土碗</t>
  </si>
  <si>
    <t>Миска з мокрої глини</t>
  </si>
  <si>
    <t>234.txt</t>
  </si>
  <si>
    <t>Wet Clay Plate</t>
  </si>
  <si>
    <t>溼潤的黏土盤</t>
  </si>
  <si>
    <t>湿的粘土盘</t>
  </si>
  <si>
    <t>Глиняна тарілка</t>
  </si>
  <si>
    <t>235.txt</t>
  </si>
  <si>
    <t>Clay Bowl</t>
  </si>
  <si>
    <t>粘土碗</t>
  </si>
  <si>
    <t>Навчальний камінь# tutorial 7</t>
  </si>
  <si>
    <t>236.txt</t>
  </si>
  <si>
    <t>Clay Plate</t>
  </si>
  <si>
    <t>黏土盤</t>
  </si>
  <si>
    <t>粘土盘</t>
  </si>
  <si>
    <t>237.txt</t>
  </si>
  <si>
    <t>Adobe Oven</t>
  </si>
  <si>
    <t>烤爐</t>
  </si>
  <si>
    <t>土坯烤炉</t>
  </si>
  <si>
    <t>Глиняна піч</t>
  </si>
  <si>
    <t>238.txt</t>
  </si>
  <si>
    <t>Adobe Kiln</t>
  </si>
  <si>
    <t>土坯窯</t>
  </si>
  <si>
    <t>土坯窑</t>
  </si>
  <si>
    <t>Саманна піч</t>
  </si>
  <si>
    <t>239.txt</t>
  </si>
  <si>
    <t>Wooden Tongs</t>
  </si>
  <si>
    <t>木钳# tutorial 10</t>
  </si>
  <si>
    <t>木钳</t>
  </si>
  <si>
    <t>Навчальний камінь # tutorial 10</t>
  </si>
  <si>
    <t>240.txt</t>
  </si>
  <si>
    <t>Wet Plate in Wooden Tongs</t>
  </si>
  <si>
    <t>被木鉗夾著的溼黏土盤</t>
  </si>
  <si>
    <t>被木钳夹着的湿粘土盘</t>
  </si>
  <si>
    <t>Мокра тарілка в дерев'яних щипцях</t>
  </si>
  <si>
    <t>241.txt</t>
  </si>
  <si>
    <t>Fired Plate in Wooden Tongs</t>
  </si>
  <si>
    <t>被木鉗夾著的燒製黏土盤</t>
  </si>
  <si>
    <t>被木钳夹着的烧制粘土盘</t>
  </si>
  <si>
    <t>Обпалена тарілка в дерев'яних щипцях</t>
  </si>
  <si>
    <t>242.txt</t>
  </si>
  <si>
    <t>Ripe Wheat</t>
  </si>
  <si>
    <t>成熟小麥</t>
  </si>
  <si>
    <t>成熟的小麦</t>
  </si>
  <si>
    <t>Стигла пшениця</t>
  </si>
  <si>
    <t>243.txt</t>
  </si>
  <si>
    <t>Unripe Wheat</t>
  </si>
  <si>
    <t>未成熟的小麥</t>
  </si>
  <si>
    <t>未成熟的小麦</t>
  </si>
  <si>
    <t>Недозріла пшениця</t>
  </si>
  <si>
    <t>244.txt</t>
  </si>
  <si>
    <t>Wheat Stumps</t>
  </si>
  <si>
    <t>小麥殘枝</t>
  </si>
  <si>
    <t>小麦残桩</t>
  </si>
  <si>
    <t>Пшеничне колосся</t>
  </si>
  <si>
    <t>245.txt</t>
  </si>
  <si>
    <t>Bowl of Wheat</t>
  </si>
  <si>
    <t>一碗小麥</t>
  </si>
  <si>
    <t>一碗小麦</t>
  </si>
  <si>
    <t>Миска з пшеницею</t>
  </si>
  <si>
    <t>247.txt</t>
  </si>
  <si>
    <t>Wood-filled Adobe Oven</t>
  </si>
  <si>
    <t>填充了木柴的烤爐</t>
  </si>
  <si>
    <t>装有引火物的土坯烤炉</t>
  </si>
  <si>
    <t>Дров'яна саманна піч</t>
  </si>
  <si>
    <t>248.txt</t>
  </si>
  <si>
    <t>Firebrand</t>
  </si>
  <si>
    <t>引火棒</t>
  </si>
  <si>
    <t>引火物</t>
  </si>
  <si>
    <t>Підпалювач</t>
  </si>
  <si>
    <t>249.txt</t>
  </si>
  <si>
    <t>Burning Adobe Oven</t>
  </si>
  <si>
    <t>燃燒的烤爐</t>
  </si>
  <si>
    <t>燃烧土坯烤炉</t>
  </si>
  <si>
    <t>Палаюча сап'янова піч</t>
  </si>
  <si>
    <t>250.txt</t>
  </si>
  <si>
    <t>Hot Adobe Oven</t>
  </si>
  <si>
    <t>熱的土坯烤爐# tutorial 19</t>
  </si>
  <si>
    <t>热的土坯烤炉</t>
  </si>
  <si>
    <t>Навчальний камінь # tutorial 19</t>
  </si>
  <si>
    <t>251.txt</t>
  </si>
  <si>
    <t>Bowl of Flour</t>
  </si>
  <si>
    <t>一碗麵粉</t>
  </si>
  <si>
    <t>一碗面粉</t>
  </si>
  <si>
    <t>Миска з борошном</t>
  </si>
  <si>
    <t>252.txt</t>
  </si>
  <si>
    <t>Bowl of Dough</t>
  </si>
  <si>
    <t>一碗麵團</t>
  </si>
  <si>
    <t>一碗面团</t>
  </si>
  <si>
    <t>Миска з тістом</t>
  </si>
  <si>
    <t>253.txt</t>
  </si>
  <si>
    <t>Bowl of Gooseberries</t>
  </si>
  <si>
    <t>燃燒的教程火炬# tutorial 21 done</t>
  </si>
  <si>
    <t>一碗醋栗</t>
  </si>
  <si>
    <t>Burning Tutorial Torch# tutorial 21 done</t>
  </si>
  <si>
    <t>254.txt</t>
  </si>
  <si>
    <t>Bowl of Rabbit</t>
  </si>
  <si>
    <t>一碗兔肉</t>
  </si>
  <si>
    <t>Миска з кроликом</t>
  </si>
  <si>
    <t>255.txt</t>
  </si>
  <si>
    <t>Bowl of Minced Rabbit</t>
  </si>
  <si>
    <t>一碗兔肉糜</t>
  </si>
  <si>
    <t>Миска з кролячим фаршем</t>
  </si>
  <si>
    <t>256.txt</t>
  </si>
  <si>
    <t>Bowl of Gooseberries And Rabbit</t>
  </si>
  <si>
    <t>一碗兔肉糜醋栗</t>
  </si>
  <si>
    <t>一碗兔肉和醋栗</t>
  </si>
  <si>
    <t>Миска з аґрусом і кроликом</t>
  </si>
  <si>
    <t>257.txt</t>
  </si>
  <si>
    <t>Bowl of Gooseberries, Rabbit, and Carrot</t>
  </si>
  <si>
    <t>一碗兔肉糜醋栗胡蘿蔔</t>
  </si>
  <si>
    <t>一碗兔肉醋栗胡萝卜</t>
  </si>
  <si>
    <t>Миска з аґрусом, кроликом та морквою</t>
  </si>
  <si>
    <t>258.txt</t>
  </si>
  <si>
    <t>Bowl of Gooseberries and Carrot</t>
  </si>
  <si>
    <t>一碗醋栗胡蘿蔔</t>
  </si>
  <si>
    <t>一碗醋栗胡萝卜</t>
  </si>
  <si>
    <t>Миска з аґрусом та морквою</t>
  </si>
  <si>
    <t>259.txt</t>
  </si>
  <si>
    <t>Bowl of Mashed Berries, Rabbit, and Carrot</t>
  </si>
  <si>
    <t>一碗搗碎的醋栗和兔肉和胡蘿蔔</t>
  </si>
  <si>
    <t>一碗浆果兔肉胡萝卜泥</t>
  </si>
  <si>
    <t>Миска з ягідним пюре, кроликом та морквою</t>
  </si>
  <si>
    <t>260.txt</t>
  </si>
  <si>
    <t>Bowl of Mashed Berries and Carrot</t>
  </si>
  <si>
    <t>一碗搗碎的醋栗和胡蘿蔔</t>
  </si>
  <si>
    <t>一碗浆果胡萝卜泥</t>
  </si>
  <si>
    <t>Миска з ягідним пюре та морквою</t>
  </si>
  <si>
    <t>261.txt</t>
  </si>
  <si>
    <t>Bowl of Mashed Berries and Rabbit</t>
  </si>
  <si>
    <t>一碗搗碎的醋栗和兔肉</t>
  </si>
  <si>
    <t>一碗兔肉浆果泥</t>
  </si>
  <si>
    <t>Чаша з ягідним пюре та кроликом</t>
  </si>
  <si>
    <t>262.txt</t>
  </si>
  <si>
    <t>Bowl of Rabbit and Carrot</t>
  </si>
  <si>
    <t>一碗兔肉糜和胡蘿蔔</t>
  </si>
  <si>
    <t>一碗兔肉和胡萝卜</t>
  </si>
  <si>
    <t>Миска з кроликом і морквою</t>
  </si>
  <si>
    <t>263.txt</t>
  </si>
  <si>
    <t>Bowl of Mashed Rabbit and Carrot</t>
  </si>
  <si>
    <t>一碗搗碎的兔肉和胡蘿蔔</t>
  </si>
  <si>
    <t>一碗兔肉胡萝卜泥</t>
  </si>
  <si>
    <t>Миска пюре з кролика та моркви</t>
  </si>
  <si>
    <t>264.txt</t>
  </si>
  <si>
    <t>Raw Pie Crust</t>
  </si>
  <si>
    <t>生餡餅皮</t>
  </si>
  <si>
    <t>生馅饼皮</t>
  </si>
  <si>
    <t>Сирий корж для пирога</t>
  </si>
  <si>
    <t>265.txt</t>
  </si>
  <si>
    <t>Raw Berry Pie</t>
  </si>
  <si>
    <t>生醋栗派</t>
  </si>
  <si>
    <t>生的浆果派</t>
  </si>
  <si>
    <t>Сироягідний пиріг</t>
  </si>
  <si>
    <t>266.txt</t>
  </si>
  <si>
    <t>Raw Berry Carrot Pie</t>
  </si>
  <si>
    <t>生醋栗胡蘿蔔派</t>
  </si>
  <si>
    <t>生的浆果胡萝卜派</t>
  </si>
  <si>
    <t>Сироягідний морквяний пиріг</t>
  </si>
  <si>
    <t>267.txt</t>
  </si>
  <si>
    <t>Raw Berry Carrot Rabbit Pie</t>
  </si>
  <si>
    <t>生醋栗胡蘿蔔兔肉派</t>
  </si>
  <si>
    <t>生的浆果胡萝卜兔肉派</t>
  </si>
  <si>
    <t>Морквяно-ягідний кролячий пиріг</t>
  </si>
  <si>
    <t>268.txt</t>
  </si>
  <si>
    <t>Raw Carrot Pie</t>
  </si>
  <si>
    <t>生胡蘿蔔派</t>
  </si>
  <si>
    <t>生的胡萝卜派</t>
  </si>
  <si>
    <t>Сиро-морквяний пиріг</t>
  </si>
  <si>
    <t>269.txt</t>
  </si>
  <si>
    <t>Raw Carrot Rabbit Pie</t>
  </si>
  <si>
    <t>生胡蘿蔔兔肉派</t>
  </si>
  <si>
    <t>生的胡萝卜兔肉派</t>
  </si>
  <si>
    <t>Кролячий пиріг із сирої моркви</t>
  </si>
  <si>
    <t>270.txt</t>
  </si>
  <si>
    <t>Raw Rabbit Pie</t>
  </si>
  <si>
    <t>生兔肉派</t>
  </si>
  <si>
    <t>Сирий кролячий пиріг</t>
  </si>
  <si>
    <t>271.txt</t>
  </si>
  <si>
    <t>Raw Berry Rabbit Pie</t>
  </si>
  <si>
    <t>生醋栗兔肉派</t>
  </si>
  <si>
    <t>生浆果兔派</t>
  </si>
  <si>
    <t>Кролячий пиріг із сирими ягодами</t>
  </si>
  <si>
    <t>272.txt</t>
  </si>
  <si>
    <t>Cooked Berry Pie</t>
  </si>
  <si>
    <t>烤醋栗派</t>
  </si>
  <si>
    <t>烤浆果派</t>
  </si>
  <si>
    <t>Приготований ягідний пиріг</t>
  </si>
  <si>
    <t>273.txt</t>
  </si>
  <si>
    <t>Cooked Carrot Pie</t>
  </si>
  <si>
    <t>烤胡蘿蔔派</t>
  </si>
  <si>
    <t>烤胡萝卜派</t>
  </si>
  <si>
    <t>Приготований морквяний пиріг</t>
  </si>
  <si>
    <t>274.txt</t>
  </si>
  <si>
    <t>Cooked Rabbit Pie</t>
  </si>
  <si>
    <t>烤兔肉派</t>
  </si>
  <si>
    <t>Приготований кролячий пиріг</t>
  </si>
  <si>
    <t>275.txt</t>
  </si>
  <si>
    <t>Cooked Berry Carrot Pie</t>
  </si>
  <si>
    <t>烤醋栗胡蘿蔔派</t>
  </si>
  <si>
    <t>烤浆果胡萝卜派</t>
  </si>
  <si>
    <t>Приготований ягідно-морквяний пиріг</t>
  </si>
  <si>
    <t>276.txt</t>
  </si>
  <si>
    <t>Cooked Berry Rabbit Pie</t>
  </si>
  <si>
    <t>烤醋栗兔肉派</t>
  </si>
  <si>
    <t>烤浆果兔派</t>
  </si>
  <si>
    <t>Приготований пиріг з ягідним кроликом</t>
  </si>
  <si>
    <t>277.txt</t>
  </si>
  <si>
    <t>Cooked Rabbit Carrot Pie</t>
  </si>
  <si>
    <t>烤兔肉胡蘿蔔派</t>
  </si>
  <si>
    <t>烤兔肉胡萝卜派</t>
  </si>
  <si>
    <t>Приготований морквяний пиріг з кроликом</t>
  </si>
  <si>
    <t>278.txt</t>
  </si>
  <si>
    <t>Cooked Berry Carrot Rabbit Pie</t>
  </si>
  <si>
    <t>烤醋栗胡蘿蔔兔肉派</t>
  </si>
  <si>
    <t>烤醋栗胡萝卜兔肉派</t>
  </si>
  <si>
    <t>Приготований ягідно-морквяний пиріг з кроликом</t>
  </si>
  <si>
    <t>279.txt</t>
  </si>
  <si>
    <t>Empty Wild Gooseberry Bush</t>
  </si>
  <si>
    <t>空的野生醋栗叢</t>
  </si>
  <si>
    <t>空的野生醋栗树丛</t>
  </si>
  <si>
    <t>Порожній кущ дикого агрусу</t>
  </si>
  <si>
    <t>281.txt</t>
  </si>
  <si>
    <t>Wood-filled Adobe Kiln</t>
  </si>
  <si>
    <t>填充了木柴的土坯窯</t>
  </si>
  <si>
    <t>有引火物的土坯窑</t>
  </si>
  <si>
    <t>Саманна піч, наповнена дровами</t>
  </si>
  <si>
    <t>282.txt</t>
  </si>
  <si>
    <t>Firing Adobe Kiln</t>
  </si>
  <si>
    <t>家養牛</t>
  </si>
  <si>
    <t>燃烧的土坯窑</t>
  </si>
  <si>
    <t>Домашня корова</t>
  </si>
  <si>
    <t>283.txt</t>
  </si>
  <si>
    <t>Wooden Tongs with Fired Bowl</t>
  </si>
  <si>
    <t>被木鉗夾著的烤制黏土碗</t>
  </si>
  <si>
    <t>被木钳夹着的烧制粘土碗</t>
  </si>
  <si>
    <t>Дерев'яні щипці з випаленою чашею</t>
  </si>
  <si>
    <t>284.txt</t>
  </si>
  <si>
    <t>Wet Bowl in Wooden Tongs</t>
  </si>
  <si>
    <t>被木鉗夾著的溼黏土碗</t>
  </si>
  <si>
    <t>被木钳夹着的湿粘土碗</t>
  </si>
  <si>
    <t>Мокра миска в дерев'яних щипцях</t>
  </si>
  <si>
    <t>285.txt</t>
  </si>
  <si>
    <t>Wet Clay Nozzle</t>
  </si>
  <si>
    <t>溼黏土噴嘴</t>
  </si>
  <si>
    <t>湿粘土喷嘴</t>
  </si>
  <si>
    <t>Насадка для вологої глини</t>
  </si>
  <si>
    <t>286.txt</t>
  </si>
  <si>
    <t>Clay Nozzle</t>
  </si>
  <si>
    <t>黏土噴嘴</t>
  </si>
  <si>
    <t>粘土喷嘴</t>
  </si>
  <si>
    <t>Глиняна насадка</t>
  </si>
  <si>
    <t>287.txt</t>
  </si>
  <si>
    <t>Bellows Without Nozzle</t>
  </si>
  <si>
    <t>沒有噴嘴的風箱</t>
  </si>
  <si>
    <t>没有喷嘴的风箱</t>
  </si>
  <si>
    <t>Сильфон без сопла</t>
  </si>
  <si>
    <t>288.txt</t>
  </si>
  <si>
    <t>Bellows</t>
  </si>
  <si>
    <t>風箱</t>
  </si>
  <si>
    <t>风箱</t>
  </si>
  <si>
    <t>міхи</t>
  </si>
  <si>
    <t>289.txt</t>
  </si>
  <si>
    <t>Iron Ore in Wooden Tongs</t>
  </si>
  <si>
    <t>被木鉗夾著的鐵礦石</t>
  </si>
  <si>
    <t>被木钳夹着的铁矿石</t>
  </si>
  <si>
    <t>Залізна руда в дерев'яних щипцях</t>
  </si>
  <si>
    <t>290.txt</t>
  </si>
  <si>
    <t>Iron Ore</t>
  </si>
  <si>
    <t>鐵礦石</t>
  </si>
  <si>
    <t>铁矿</t>
  </si>
  <si>
    <t>Залізна руда</t>
  </si>
  <si>
    <t>291.txt</t>
  </si>
  <si>
    <t>Flat Rock</t>
  </si>
  <si>
    <t>扁石</t>
  </si>
  <si>
    <t>Значок I половина X</t>
  </si>
  <si>
    <t>292.txt</t>
  </si>
  <si>
    <t>Basket</t>
  </si>
  <si>
    <t>籃子</t>
  </si>
  <si>
    <t>篮子</t>
  </si>
  <si>
    <t>Кошик</t>
  </si>
  <si>
    <t>293.txt</t>
  </si>
  <si>
    <t>Firing Adobe Kiln Sealed</t>
  </si>
  <si>
    <t>密封的燃燒土坯窯</t>
  </si>
  <si>
    <t>密封的燃烧土坯窑</t>
  </si>
  <si>
    <t>Випал Adobe Kiln Sealed</t>
  </si>
  <si>
    <t>294.txt</t>
  </si>
  <si>
    <t>Sealed Adobe Kiln</t>
  </si>
  <si>
    <t>密封的土坯窯</t>
  </si>
  <si>
    <t>密封的土坯窑</t>
  </si>
  <si>
    <t>Герметична саманна піч</t>
  </si>
  <si>
    <t>295.txt</t>
  </si>
  <si>
    <t>Wet Nozzle in Wooden Tongs</t>
  </si>
  <si>
    <t>被木鉗夾著的溼噴嘴</t>
  </si>
  <si>
    <t>被木钳夹着的湿喷嘴</t>
  </si>
  <si>
    <t>Волога насадка в дерев'яних щипцях</t>
  </si>
  <si>
    <t>296.txt</t>
  </si>
  <si>
    <t>Fired Nozzle in Wooden Tongs</t>
  </si>
  <si>
    <t>被木鉗夾著的烤制噴嘴</t>
  </si>
  <si>
    <t>被木钳夹着的烧制喷嘴</t>
  </si>
  <si>
    <t>Вистріляне сопло в дерев'яних щипцях</t>
  </si>
  <si>
    <t>297.txt</t>
  </si>
  <si>
    <t>Threshed Wheat#straw removed</t>
  </si>
  <si>
    <t>脫粒小麥#straw removed</t>
  </si>
  <si>
    <t>脱粒小麦#straw removed</t>
  </si>
  <si>
    <t>Обмолочена пшениця#straw removed</t>
  </si>
  <si>
    <t>298.txt</t>
  </si>
  <si>
    <t>Basket of Charcoal</t>
  </si>
  <si>
    <t>一籃木炭</t>
  </si>
  <si>
    <t>一篮木炭</t>
  </si>
  <si>
    <t>Кошик деревного вугілля</t>
  </si>
  <si>
    <t>299.txt</t>
  </si>
  <si>
    <t>Adobe Kiln with Charcoal</t>
  </si>
  <si>
    <t>填充了木炭的土坯窯</t>
  </si>
  <si>
    <t>有木炭的土坯窑</t>
  </si>
  <si>
    <t>Саманна піч з вугіллям</t>
  </si>
  <si>
    <t>300.txt</t>
  </si>
  <si>
    <t>Big Charcoal Pile#3</t>
  </si>
  <si>
    <t>一堆木炭#3</t>
  </si>
  <si>
    <t>Велика купа вугілля №3</t>
  </si>
  <si>
    <t>301.txt</t>
  </si>
  <si>
    <t>Small Charcoal Pile#2</t>
  </si>
  <si>
    <t>一堆木炭#2</t>
  </si>
  <si>
    <t>Маленька купа вугілля №2</t>
  </si>
  <si>
    <t>302.txt</t>
  </si>
  <si>
    <t>Charcoal#1</t>
  </si>
  <si>
    <t>木炭#1</t>
  </si>
  <si>
    <t>Деревне вугілля №1</t>
  </si>
  <si>
    <t>303.txt</t>
  </si>
  <si>
    <t>Adobe Forge</t>
  </si>
  <si>
    <t>餵過的野牛犢</t>
  </si>
  <si>
    <t>熔炉</t>
  </si>
  <si>
    <t>Відгодоване теля зубра</t>
  </si>
  <si>
    <t>304.txt</t>
  </si>
  <si>
    <t>Firing Adobe Forge</t>
  </si>
  <si>
    <t>餵過的家養牛犢</t>
  </si>
  <si>
    <t>燃烧的熔炉</t>
  </si>
  <si>
    <t>Вгодоване домашнє теля</t>
  </si>
  <si>
    <t>305.txt</t>
  </si>
  <si>
    <t>Adobe Forge with Charcoal</t>
  </si>
  <si>
    <t>野牛犢屍體</t>
  </si>
  <si>
    <t>装着木炭的熔炉</t>
  </si>
  <si>
    <t>Мертве теля бізона</t>
  </si>
  <si>
    <t>307.txt</t>
  </si>
  <si>
    <t>Hot Iron Bloom</t>
  </si>
  <si>
    <t>熱的生鐵坯</t>
  </si>
  <si>
    <t>热生铁坯</t>
  </si>
  <si>
    <t>Гаряче залізо Блум</t>
  </si>
  <si>
    <t>308.txt</t>
  </si>
  <si>
    <t>Hot Iron Bloom in Wooden Tongs</t>
  </si>
  <si>
    <t>被木鉗夾著的熱的生鐵坯</t>
  </si>
  <si>
    <t>被木钳夹着的热生铁坯</t>
  </si>
  <si>
    <t>Гаряче залізо Блум у дерев'яних щипцях</t>
  </si>
  <si>
    <t>309.txt</t>
  </si>
  <si>
    <t>Hot Iron Bloom on Flat Rock</t>
  </si>
  <si>
    <t>扁石上的熱的生鐵坯</t>
  </si>
  <si>
    <t>扁石上的热生铁坯</t>
  </si>
  <si>
    <t>Гаряче залізо Блум на Флет-Рок</t>
  </si>
  <si>
    <t>310.txt</t>
  </si>
  <si>
    <t>Cold Iron Bloom</t>
  </si>
  <si>
    <t>生鐵坯</t>
  </si>
  <si>
    <t>生铁坯</t>
  </si>
  <si>
    <t>311.txt</t>
  </si>
  <si>
    <t>Cold Iron Bloom in Wooden Tongs</t>
  </si>
  <si>
    <t>被木鉗夾著的生鐵坯</t>
  </si>
  <si>
    <t>被木钳夹着的生铁坯</t>
  </si>
  <si>
    <t>Cold Iron Bloom у дерев'яних щипцях</t>
  </si>
  <si>
    <t>312.txt</t>
  </si>
  <si>
    <t>Cold Iron Bloom on Flat Rock</t>
  </si>
  <si>
    <t>扁石上的生鐵坯</t>
  </si>
  <si>
    <t>扁石上的生铁坯</t>
  </si>
  <si>
    <t>Cold Iron Bloom на Флет-Рок</t>
  </si>
  <si>
    <t>313.txt</t>
  </si>
  <si>
    <t>Wrought Iron on Flat Rock</t>
  </si>
  <si>
    <t>扁石上的鍛鐵</t>
  </si>
  <si>
    <t>扁石上的锻铁</t>
  </si>
  <si>
    <t>Кованого заліза на Flat Rock</t>
  </si>
  <si>
    <t>314.txt</t>
  </si>
  <si>
    <t>Wrought Iron</t>
  </si>
  <si>
    <t>鍛鐵</t>
  </si>
  <si>
    <t>锻铁</t>
  </si>
  <si>
    <t>Коване залізо</t>
  </si>
  <si>
    <t>316.txt</t>
  </si>
  <si>
    <t>Crucible with Iron and Charcoal</t>
  </si>
  <si>
    <t>裝著木炭和鍛鐵的坩堝</t>
  </si>
  <si>
    <t>装着木炭和锻铁的坩埚</t>
  </si>
  <si>
    <t>Тигель із залізом і вугіллям</t>
  </si>
  <si>
    <t>317.txt</t>
  </si>
  <si>
    <t>Crucible with Iron</t>
  </si>
  <si>
    <t>裝著鍛鐵的坩堝</t>
  </si>
  <si>
    <t>装着锻铁的坩埚</t>
  </si>
  <si>
    <t>Тигель із залізом</t>
  </si>
  <si>
    <t>318.txt</t>
  </si>
  <si>
    <t>Crucible with Charcoal</t>
  </si>
  <si>
    <t>裝著木炭的坩堝</t>
  </si>
  <si>
    <t>装着木炭的坩埚</t>
  </si>
  <si>
    <t>Тигель з вугіллям</t>
  </si>
  <si>
    <t>319.txt</t>
  </si>
  <si>
    <t>Unforged Sealed Steel Crucible</t>
  </si>
  <si>
    <t>未熔鍊的冶鋼坩堝</t>
  </si>
  <si>
    <t>未熔炼的冶钢坩埚</t>
  </si>
  <si>
    <t>Некований герметичний сталевий тигель</t>
  </si>
  <si>
    <t>320.txt</t>
  </si>
  <si>
    <t>Unforged Steel Crucible in Wooden Tongs</t>
  </si>
  <si>
    <t>被木鉗夾著的未熔鍊的冶鋼坩堝</t>
  </si>
  <si>
    <t>被木钳夹着的未熔炼的冶钢坩埚</t>
  </si>
  <si>
    <t>Некований сталевий тигель у дерев'яних щипцях</t>
  </si>
  <si>
    <t>321.txt</t>
  </si>
  <si>
    <t>Hot Forged Steel Crucible</t>
  </si>
  <si>
    <t>熱的冶鋼坩堝</t>
  </si>
  <si>
    <t>热的冶钢坩埚</t>
  </si>
  <si>
    <t>Гаряче кований сталевий тигель</t>
  </si>
  <si>
    <t>322.txt</t>
  </si>
  <si>
    <t>Forged Steel Crucible</t>
  </si>
  <si>
    <t>已熔鍊的冶鋼坩堝</t>
  </si>
  <si>
    <t>已熔炼的冶钢坩埚</t>
  </si>
  <si>
    <t>Кований сталевий тигель</t>
  </si>
  <si>
    <t>323.txt</t>
  </si>
  <si>
    <t>Hot Steel Crucible in Wooden Tongs</t>
  </si>
  <si>
    <t>被木鉗夾著的熱的冶鋼坩堝</t>
  </si>
  <si>
    <t>被木钳夹着的热的冶钢坩埚</t>
  </si>
  <si>
    <t>Гарячий сталевий тигель у дерев'яних щипцях</t>
  </si>
  <si>
    <t>324.txt</t>
  </si>
  <si>
    <t>Cool Steel Crucible in Wooden Tongs</t>
  </si>
  <si>
    <t>被木鉗夾著的冷的冶鋼坩堝</t>
  </si>
  <si>
    <t>被木钳夹着的冷的冶钢坩埚</t>
  </si>
  <si>
    <t>Крутий сталевий тигель у дерев'яних щипцях</t>
  </si>
  <si>
    <t>325.txt</t>
  </si>
  <si>
    <t>Crucible with Steel</t>
  </si>
  <si>
    <t>裝著鋼錠的坩堝</t>
  </si>
  <si>
    <t>装着钢锭的坩埚</t>
  </si>
  <si>
    <t>Тигель зі сталлю</t>
  </si>
  <si>
    <t>326.txt</t>
  </si>
  <si>
    <t>Steel Ingot</t>
  </si>
  <si>
    <t>鋼錠</t>
  </si>
  <si>
    <t>钢锭</t>
  </si>
  <si>
    <t>Сталевий злиток</t>
  </si>
  <si>
    <t>327.txt</t>
  </si>
  <si>
    <t>Wooden Tongs#cool steel ingot</t>
  </si>
  <si>
    <t>被木鉗夾著的冷鋼錠#cool steel ingot</t>
  </si>
  <si>
    <t>被木钳夹着的冷钢锭#cool steel ingot</t>
  </si>
  <si>
    <t>Дерев'яні щипці#cool steel ingot</t>
  </si>
  <si>
    <t>328.txt</t>
  </si>
  <si>
    <t>Hot Steel Ingot</t>
  </si>
  <si>
    <t>熱鋼錠</t>
  </si>
  <si>
    <t>热钢锭</t>
  </si>
  <si>
    <t>Гарячий сталевий злиток</t>
  </si>
  <si>
    <t>329.txt</t>
  </si>
  <si>
    <t>Hot steel Ingot in Wooden Tongs</t>
  </si>
  <si>
    <t>被木鉗夾著的熱鋼錠</t>
  </si>
  <si>
    <t>被木钳夹着的热钢锭</t>
  </si>
  <si>
    <t>Гарячий сталевий злиток у дерев'яних щипцях</t>
  </si>
  <si>
    <t>330.txt</t>
  </si>
  <si>
    <t>Hot Steel Ingot on Anvil</t>
  </si>
  <si>
    <t>铁砧上的热钢锭</t>
  </si>
  <si>
    <t>West Track End Stakes</t>
  </si>
  <si>
    <t>331.txt</t>
  </si>
  <si>
    <t>Hot Steel Axe Head on Anvil</t>
  </si>
  <si>
    <t>铁砧上的热钢斧头</t>
  </si>
  <si>
    <t>Кінцеві ставки північної доріжки</t>
  </si>
  <si>
    <t>332.txt</t>
  </si>
  <si>
    <t>Steel Axe Head on Anvil</t>
  </si>
  <si>
    <t>铁砧上的钢斧头</t>
  </si>
  <si>
    <t>Кінцеві ставки південної колії</t>
  </si>
  <si>
    <t>333.txt</t>
  </si>
  <si>
    <t>Steel Axe Head</t>
  </si>
  <si>
    <t>鋼斧刃</t>
  </si>
  <si>
    <t>钢斧刃</t>
  </si>
  <si>
    <t>Сталева голова сокири</t>
  </si>
  <si>
    <t>334.txt</t>
  </si>
  <si>
    <t>Steel Axe</t>
  </si>
  <si>
    <t>钢斧</t>
  </si>
  <si>
    <t>Загартована сталева пружина в дерев'яних щипцях</t>
  </si>
  <si>
    <t>335.txt</t>
  </si>
  <si>
    <t>Steel Ingot on Anvil</t>
  </si>
  <si>
    <t>铁砧上的钢锭</t>
  </si>
  <si>
    <t>Сталева пружина</t>
  </si>
  <si>
    <t>336.txt</t>
  </si>
  <si>
    <t>Basket of Soil</t>
  </si>
  <si>
    <t>一籃土</t>
  </si>
  <si>
    <t>一篮土</t>
  </si>
  <si>
    <t>Кошик ґрунту</t>
  </si>
  <si>
    <t>338.txt</t>
  </si>
  <si>
    <t>Stump</t>
  </si>
  <si>
    <t>樹樁</t>
  </si>
  <si>
    <t>树桩</t>
  </si>
  <si>
    <t>пеньок</t>
  </si>
  <si>
    <t>339.txt</t>
  </si>
  <si>
    <t>Chopped Tree#big,log</t>
  </si>
  <si>
    <t>砍倒的樹#big,log</t>
  </si>
  <si>
    <t>砍倒的树#big,log</t>
  </si>
  <si>
    <t>Рубане дерево#big,log</t>
  </si>
  <si>
    <t>340.txt</t>
  </si>
  <si>
    <t>Chopped Tree with Firewood#big,log,wood2</t>
  </si>
  <si>
    <t>砍倒的树与木柴#big,log,wood2</t>
  </si>
  <si>
    <t>Частковий комплект колісного візка#2 wheel</t>
  </si>
  <si>
    <t>341.txt</t>
  </si>
  <si>
    <t>Chopped Tree with Firewood#big,log,wood1</t>
  </si>
  <si>
    <t>砍倒的樹與木柴#big,log,wood1</t>
  </si>
  <si>
    <t>砍倒的树与木柴#big,log,wood1</t>
  </si>
  <si>
    <t>Рубане дерево з дровами#big,log,wood1</t>
  </si>
  <si>
    <t>342.txt</t>
  </si>
  <si>
    <t>Chopped Tree with Firewood#Small,wood2</t>
  </si>
  <si>
    <t>砍倒的树与木柴#Small,wood2</t>
  </si>
  <si>
    <t>343.txt</t>
  </si>
  <si>
    <t>Chopped Tree with Firewood#Small,wood1</t>
  </si>
  <si>
    <t>砍倒的樹與木柴#Small,wood1</t>
  </si>
  <si>
    <t>砍倒的树与木柴#Small,wood1</t>
  </si>
  <si>
    <t>Рубане дерево з дровами#Small,wood1</t>
  </si>
  <si>
    <t>344.txt</t>
  </si>
  <si>
    <t>Firewood</t>
  </si>
  <si>
    <t>木柴</t>
  </si>
  <si>
    <t>Дрова</t>
  </si>
  <si>
    <t>345.txt</t>
  </si>
  <si>
    <t>Butt Log</t>
  </si>
  <si>
    <t>原木</t>
  </si>
  <si>
    <t>Приклад колоди</t>
  </si>
  <si>
    <t>346.txt</t>
  </si>
  <si>
    <t>Large Slow Fire</t>
  </si>
  <si>
    <t>慢火</t>
  </si>
  <si>
    <t>慢速大火</t>
  </si>
  <si>
    <t>Великий повільний вогонь</t>
  </si>
  <si>
    <t>347.txt</t>
  </si>
  <si>
    <t>Male002 D</t>
  </si>
  <si>
    <t>男性002 D</t>
  </si>
  <si>
    <t>Чоловік002 Д</t>
  </si>
  <si>
    <t>350.txt</t>
  </si>
  <si>
    <t>Female003 D</t>
  </si>
  <si>
    <t>女性003 D</t>
  </si>
  <si>
    <t>Жінка003 D</t>
  </si>
  <si>
    <t>351.txt</t>
  </si>
  <si>
    <t>Female004 C</t>
  </si>
  <si>
    <t>女性004 C</t>
  </si>
  <si>
    <t>Жінка004 C</t>
  </si>
  <si>
    <t>352.txt</t>
  </si>
  <si>
    <t>Male005 D</t>
  </si>
  <si>
    <t>男性005 D</t>
  </si>
  <si>
    <t>Чоловік005 Д</t>
  </si>
  <si>
    <t>353.txt</t>
  </si>
  <si>
    <t>Female006 C</t>
  </si>
  <si>
    <t>女性006 C</t>
  </si>
  <si>
    <t>Жінка006 C</t>
  </si>
  <si>
    <t>354.txt</t>
  </si>
  <si>
    <t>Male007 C</t>
  </si>
  <si>
    <t>男性007 C</t>
  </si>
  <si>
    <t>Чоловік007 C</t>
  </si>
  <si>
    <t>355.txt</t>
  </si>
  <si>
    <t>Male008 C</t>
  </si>
  <si>
    <t>男性008 C</t>
  </si>
  <si>
    <t>Чоловік008 C</t>
  </si>
  <si>
    <t>356.txt</t>
  </si>
  <si>
    <t>Basket of Bones# origGrave</t>
  </si>
  <si>
    <t>一籃骨頭# origGrave</t>
  </si>
  <si>
    <t>一篮骨头# origGrave</t>
  </si>
  <si>
    <t>Кошик з кістками# origGrave</t>
  </si>
  <si>
    <t>357.txt</t>
  </si>
  <si>
    <t>Bone Pile# origGrave</t>
  </si>
  <si>
    <t>骨堆# origGrave</t>
  </si>
  <si>
    <t>Купа кісток# origGrave</t>
  </si>
  <si>
    <t>365.txt</t>
  </si>
  <si>
    <t>Touched Edge</t>
  </si>
  <si>
    <t>被觸碰的邊界</t>
  </si>
  <si>
    <t>被触碰的边界</t>
  </si>
  <si>
    <t>Торкнувся краю</t>
  </si>
  <si>
    <t>366.txt</t>
  </si>
  <si>
    <t>Edge</t>
  </si>
  <si>
    <t>邊界</t>
  </si>
  <si>
    <t>边界</t>
  </si>
  <si>
    <t>Край</t>
  </si>
  <si>
    <t>367.txt</t>
  </si>
  <si>
    <t>@ Kindling Source</t>
  </si>
  <si>
    <t>382.txt</t>
  </si>
  <si>
    <t>Bowl of Water</t>
  </si>
  <si>
    <t>一碗水</t>
  </si>
  <si>
    <t>388.txt</t>
  </si>
  <si>
    <t>@ Pond Water Source</t>
  </si>
  <si>
    <t>389.txt</t>
  </si>
  <si>
    <t>Dying Gooseberry Bush</t>
  </si>
  <si>
    <t>垂死的醋栗叢</t>
  </si>
  <si>
    <t>垂死的醋栗树丛</t>
  </si>
  <si>
    <t>Вмираючий кущ агрусу</t>
  </si>
  <si>
    <t>390.txt</t>
  </si>
  <si>
    <t>Dead Gooseberry Bush</t>
  </si>
  <si>
    <t>枯萎的醋栗叢</t>
  </si>
  <si>
    <t>枯萎的醋栗树丛</t>
  </si>
  <si>
    <t>Мертвий кущ агрусу</t>
  </si>
  <si>
    <t>391.txt</t>
  </si>
  <si>
    <t>Domestic Gooseberry Bush</t>
  </si>
  <si>
    <t>家栽的醋栗叢</t>
  </si>
  <si>
    <t>家栽醋栗树丛</t>
  </si>
  <si>
    <t>Аґрус домашній</t>
  </si>
  <si>
    <t>392.txt</t>
  </si>
  <si>
    <t>Languishing Domestic Gooseberry Bush</t>
  </si>
  <si>
    <t>凋謝的家栽醋栗叢</t>
  </si>
  <si>
    <t>死亡的家栽醋栗树丛</t>
  </si>
  <si>
    <t>Кущ аґрусу домашнього</t>
  </si>
  <si>
    <t>393.txt</t>
  </si>
  <si>
    <t>Dry Domestic Gooseberry Bush</t>
  </si>
  <si>
    <t>乾燥的家栽醋栗叢</t>
  </si>
  <si>
    <t>干的家栽醋栗树丛</t>
  </si>
  <si>
    <t>Сухий кущ агрусу домашнього</t>
  </si>
  <si>
    <t>394.txt</t>
  </si>
  <si>
    <t>@ Full Portable Water Source</t>
  </si>
  <si>
    <t>395.txt</t>
  </si>
  <si>
    <t>Carrot Seed Head</t>
  </si>
  <si>
    <t>胡蘿蔔種子</t>
  </si>
  <si>
    <t>胡萝卜种子</t>
  </si>
  <si>
    <t>Голова насіння моркви</t>
  </si>
  <si>
    <t>396.txt</t>
  </si>
  <si>
    <t>Dry Planted Carrots</t>
  </si>
  <si>
    <t>乾燥的胡蘿蔔田</t>
  </si>
  <si>
    <t>干燥的胡萝卜田</t>
  </si>
  <si>
    <t>Суха посаджена морква</t>
  </si>
  <si>
    <t>398.txt</t>
  </si>
  <si>
    <t>Carrot Sprouts</t>
  </si>
  <si>
    <t>胡蘿蔔苗</t>
  </si>
  <si>
    <t>胡萝卜苗</t>
  </si>
  <si>
    <t>Паростки моркви</t>
  </si>
  <si>
    <t>399.txt</t>
  </si>
  <si>
    <t>Wet Planted Carrots</t>
  </si>
  <si>
    <t>溼潤的胡蘿蔔田</t>
  </si>
  <si>
    <t>湿润的胡萝卜田</t>
  </si>
  <si>
    <t>Мокра посаджена морква</t>
  </si>
  <si>
    <t>400.txt</t>
  </si>
  <si>
    <t>Carrot Row</t>
  </si>
  <si>
    <t>成熟的胡蘿蔔田</t>
  </si>
  <si>
    <t>成熟的胡萝卜田</t>
  </si>
  <si>
    <t>Морквяний ряд</t>
  </si>
  <si>
    <t>401.txt</t>
  </si>
  <si>
    <t>Seeding Carrots</t>
  </si>
  <si>
    <t>結籽的胡蘿蔔</t>
  </si>
  <si>
    <t>结籽的胡萝卜</t>
  </si>
  <si>
    <t>Посів моркви</t>
  </si>
  <si>
    <t>402.txt</t>
  </si>
  <si>
    <t>Carrot</t>
  </si>
  <si>
    <t>胡蘿蔔</t>
  </si>
  <si>
    <t>胡萝卜</t>
  </si>
  <si>
    <t>Морква</t>
  </si>
  <si>
    <t>404.txt</t>
  </si>
  <si>
    <t>Дика морква</t>
  </si>
  <si>
    <t>405.txt</t>
  </si>
  <si>
    <t>@ Carrot</t>
  </si>
  <si>
    <t>406.txt</t>
  </si>
  <si>
    <t>Yew Tree</t>
  </si>
  <si>
    <t>紫杉樹</t>
  </si>
  <si>
    <t>紫杉树</t>
  </si>
  <si>
    <t>Тисове дерево</t>
  </si>
  <si>
    <t>408.txt</t>
  </si>
  <si>
    <t>Empty Clay Pit</t>
  </si>
  <si>
    <t>空的黏土坑</t>
  </si>
  <si>
    <t>空的粘土坑</t>
  </si>
  <si>
    <t>Порожня глиняна яма</t>
  </si>
  <si>
    <t>409.txt</t>
  </si>
  <si>
    <t>Clay Pit#partial</t>
  </si>
  <si>
    <t>黏土坑#partial</t>
  </si>
  <si>
    <t>粘土坑#partial</t>
  </si>
  <si>
    <t>Глиняний кар'єр#partial</t>
  </si>
  <si>
    <t>410.txt</t>
  </si>
  <si>
    <t>Wormy Empty Fertile Soil Pit</t>
  </si>
  <si>
    <t>生蟲的空沃土坑</t>
  </si>
  <si>
    <t>生虫的空肥沃土坑</t>
  </si>
  <si>
    <t>Червива порожня яма родючого ґрунту</t>
  </si>
  <si>
    <t>411.txt</t>
  </si>
  <si>
    <t>Fertile Soil Pit#partial</t>
  </si>
  <si>
    <t>沃土堆#partial</t>
  </si>
  <si>
    <t>肥沃土层#partial</t>
  </si>
  <si>
    <t>Яма з родючим ґрунтом#partial</t>
  </si>
  <si>
    <t>412.txt</t>
  </si>
  <si>
    <t>@ Wet Canada Goose Pond</t>
  </si>
  <si>
    <t>416.txt</t>
  </si>
  <si>
    <t>燒焦的兔肉</t>
  </si>
  <si>
    <t>烧焦的兔肉</t>
  </si>
  <si>
    <t>Спалений Кролик</t>
  </si>
  <si>
    <t>418.txt</t>
  </si>
  <si>
    <t>Wolf</t>
  </si>
  <si>
    <t>狼</t>
  </si>
  <si>
    <t>Вовк</t>
  </si>
  <si>
    <t>420.txt</t>
  </si>
  <si>
    <t>Shot Wolf</t>
  </si>
  <si>
    <t>被射中的狼</t>
  </si>
  <si>
    <t>Застрелений Вовк</t>
  </si>
  <si>
    <t>421.txt</t>
  </si>
  <si>
    <t>Dead Wolf with Arrow</t>
  </si>
  <si>
    <t>插著箭矢的狼屍體</t>
  </si>
  <si>
    <t>插有箭矢的狼尸体</t>
  </si>
  <si>
    <t>Мертвий вовк зі стрілою</t>
  </si>
  <si>
    <t>422.txt</t>
  </si>
  <si>
    <t>Dead Wolf</t>
  </si>
  <si>
    <t>狼屍體</t>
  </si>
  <si>
    <t>狼尸体</t>
  </si>
  <si>
    <t>Мертвий вовк</t>
  </si>
  <si>
    <t>423.txt</t>
  </si>
  <si>
    <t>Skinned Wolf</t>
  </si>
  <si>
    <t>剝皮的狼</t>
  </si>
  <si>
    <t>无皮的狼尸与狼皮</t>
  </si>
  <si>
    <t>Обдертий вовк</t>
  </si>
  <si>
    <t>424.txt</t>
  </si>
  <si>
    <t>Skinless Wolf</t>
  </si>
  <si>
    <t>無皮的狼</t>
  </si>
  <si>
    <t>无皮的狼尸</t>
  </si>
  <si>
    <t>Вовк без шкіри</t>
  </si>
  <si>
    <t>425.txt</t>
  </si>
  <si>
    <t>Wolf Skin</t>
  </si>
  <si>
    <t>狼皮</t>
  </si>
  <si>
    <t>Вовча шкура</t>
  </si>
  <si>
    <t>426.txt</t>
  </si>
  <si>
    <t>Wolf Hat</t>
  </si>
  <si>
    <t>狼皮帽</t>
  </si>
  <si>
    <t>Вовчий капелюх</t>
  </si>
  <si>
    <t>427.txt</t>
  </si>
  <si>
    <t>Attacking Wolf</t>
  </si>
  <si>
    <t>進攻的狼</t>
  </si>
  <si>
    <t>进攻的狼</t>
  </si>
  <si>
    <t>Атакуючий вовк</t>
  </si>
  <si>
    <t>428.txt</t>
  </si>
  <si>
    <t>Attacking Shot Wolf</t>
  </si>
  <si>
    <t>進攻的被射中的狼</t>
  </si>
  <si>
    <t>进攻的被射中的狼</t>
  </si>
  <si>
    <t>Атакуючий постріл вовка</t>
  </si>
  <si>
    <t>429.txt</t>
  </si>
  <si>
    <t>Dying Shot Wolf</t>
  </si>
  <si>
    <t>垂死的被射中的狼</t>
  </si>
  <si>
    <t>Вмираючий постріл вовка</t>
  </si>
  <si>
    <t>432.txt</t>
  </si>
  <si>
    <t>Domestic Gooseberry +default</t>
  </si>
  <si>
    <t>家養醋栗</t>
  </si>
  <si>
    <t>家养醋栗+default</t>
  </si>
  <si>
    <t>433.txt</t>
  </si>
  <si>
    <t>Jason Test</t>
  </si>
  <si>
    <t>傑森</t>
  </si>
  <si>
    <t>杰森</t>
  </si>
  <si>
    <t>Джейсон Тест</t>
  </si>
  <si>
    <t>434.txt</t>
  </si>
  <si>
    <t>Wooden Box</t>
  </si>
  <si>
    <t>木箱子</t>
  </si>
  <si>
    <t>Дерев'яна коробка</t>
  </si>
  <si>
    <t>440.txt</t>
  </si>
  <si>
    <t>Hot Steel Hammer Head on Anvil</t>
  </si>
  <si>
    <t>铁砧上的热钢锤头</t>
  </si>
  <si>
    <t>441.txt</t>
  </si>
  <si>
    <t>Smithing Hammer</t>
  </si>
  <si>
    <t>锻造锤</t>
  </si>
  <si>
    <t>442.txt</t>
  </si>
  <si>
    <t>Steel Hammer Head on Anvil</t>
  </si>
  <si>
    <t>铁砧上的钢锤头</t>
  </si>
  <si>
    <t>443.txt</t>
  </si>
  <si>
    <t>Steel Smithing Hammer Head</t>
  </si>
  <si>
    <t>钢锤头</t>
  </si>
  <si>
    <t>444.txt</t>
  </si>
  <si>
    <t>Hot Steel Adze Head on Anvil</t>
  </si>
  <si>
    <t>铁砧上的热钢焊头</t>
  </si>
  <si>
    <t>445.txt</t>
  </si>
  <si>
    <t>Hot Steel Chisel on Anvil</t>
  </si>
  <si>
    <t>铁砧上的热钢凿</t>
  </si>
  <si>
    <t>446.txt</t>
  </si>
  <si>
    <t>Hot Steel Froe Blade on Anvil</t>
  </si>
  <si>
    <t>铁砧上的热钢楔刀片</t>
  </si>
  <si>
    <t>447.txt</t>
  </si>
  <si>
    <t>Hot Steel File Blank on Anvil</t>
  </si>
  <si>
    <t>铁砧上的热钢锉刀毛坯</t>
  </si>
  <si>
    <t>448.txt</t>
  </si>
  <si>
    <t>Hot Steel Blade Blank on Anvil</t>
  </si>
  <si>
    <t>铁砧上的热钢刀片毛坯</t>
  </si>
  <si>
    <t>449.txt</t>
  </si>
  <si>
    <t>Steel Froe Blade on Anvil</t>
  </si>
  <si>
    <t>铁砧上的钢制楔刀</t>
  </si>
  <si>
    <t>450.txt</t>
  </si>
  <si>
    <t>Steel File Blank on Anvil</t>
  </si>
  <si>
    <t>铁砧上的钢锉毛坯</t>
  </si>
  <si>
    <t>451.txt</t>
  </si>
  <si>
    <t>Steel Chisel on Anvil</t>
  </si>
  <si>
    <t>铁砧上的钢凿</t>
  </si>
  <si>
    <t>452.txt</t>
  </si>
  <si>
    <t>Steel Blade Blank on Anvil</t>
  </si>
  <si>
    <t>铁砧上的钢刀毛坯</t>
  </si>
  <si>
    <t>453.txt</t>
  </si>
  <si>
    <t>Steel Adze Head on Anvil</t>
  </si>
  <si>
    <t>铁砧上的锛头</t>
  </si>
  <si>
    <t>454.txt</t>
  </si>
  <si>
    <t>Steel Adze Head</t>
  </si>
  <si>
    <t>鋼錛斧刃</t>
  </si>
  <si>
    <t>钢制锛头</t>
  </si>
  <si>
    <t>Сталевий Тесла Голова</t>
  </si>
  <si>
    <t>455.txt</t>
  </si>
  <si>
    <t>Steel Chisel</t>
  </si>
  <si>
    <t>鋼鑿子</t>
  </si>
  <si>
    <t>钢凿子</t>
  </si>
  <si>
    <t>Стамеска</t>
  </si>
  <si>
    <t>456.txt</t>
  </si>
  <si>
    <t>Steel Froe Blade</t>
  </si>
  <si>
    <t>鋼劈板斧刃</t>
  </si>
  <si>
    <t>钢制楔刀</t>
  </si>
  <si>
    <t>Клинок Steel Froe</t>
  </si>
  <si>
    <t>457.txt</t>
  </si>
  <si>
    <t>Steel File Blank</t>
  </si>
  <si>
    <t>鋼銼刀坯</t>
  </si>
  <si>
    <t>钢锉毛坯</t>
  </si>
  <si>
    <t>Бланк сталевого напилка</t>
  </si>
  <si>
    <t>458.txt</t>
  </si>
  <si>
    <t>Steel File</t>
  </si>
  <si>
    <t>钢锉刀</t>
  </si>
  <si>
    <t>459.txt</t>
  </si>
  <si>
    <t>Steel Blade Blank</t>
  </si>
  <si>
    <t>鋼條</t>
  </si>
  <si>
    <t>钢刀片毛坯</t>
  </si>
  <si>
    <t>Заготовка сталевого леза</t>
  </si>
  <si>
    <t>460.txt</t>
  </si>
  <si>
    <t>Steel Saw Blade</t>
  </si>
  <si>
    <t>鋼鋸刃</t>
  </si>
  <si>
    <t>钢锯片</t>
  </si>
  <si>
    <t>Сталеве пилкове полотно</t>
  </si>
  <si>
    <t>461.txt</t>
  </si>
  <si>
    <t>Bow Saw</t>
  </si>
  <si>
    <t>弓锯</t>
  </si>
  <si>
    <t>462.txt</t>
  </si>
  <si>
    <t>Steel Adze</t>
  </si>
  <si>
    <t>钢锛子</t>
  </si>
  <si>
    <t>463.txt</t>
  </si>
  <si>
    <t>Steel Froe</t>
  </si>
  <si>
    <t>鋼劈板斧</t>
  </si>
  <si>
    <t>钢楔刀</t>
  </si>
  <si>
    <t>Стіл Фро</t>
  </si>
  <si>
    <t>464.txt</t>
  </si>
  <si>
    <t>Oiled File Blank</t>
  </si>
  <si>
    <t>塗油的銼刀坯</t>
  </si>
  <si>
    <t>涂油的锉刀坯</t>
  </si>
  <si>
    <t>Промаслений порожній файл</t>
  </si>
  <si>
    <t>465.txt</t>
  </si>
  <si>
    <t>Oiled File Blank with Chisel</t>
  </si>
  <si>
    <t>鑿子與塗油的銼刀坯</t>
  </si>
  <si>
    <t>带凿子的涂油锉坯</t>
  </si>
  <si>
    <t>Змащена заготовка напилка з долотом</t>
  </si>
  <si>
    <t>466.txt</t>
  </si>
  <si>
    <t>Steel File with Chisel</t>
  </si>
  <si>
    <t>鑿子與鋼銼刀</t>
  </si>
  <si>
    <t>带凿子的钢锉</t>
  </si>
  <si>
    <t>Сталевий напилок з долотом</t>
  </si>
  <si>
    <t>467.txt</t>
  </si>
  <si>
    <t>Mallet</t>
  </si>
  <si>
    <t>木槌</t>
  </si>
  <si>
    <t>468.txt</t>
  </si>
  <si>
    <t>Froe Wedged In Log</t>
  </si>
  <si>
    <t>劈進原木的劈板斧</t>
  </si>
  <si>
    <t>钢楔刀在原木里</t>
  </si>
  <si>
    <t>469.txt</t>
  </si>
  <si>
    <t>Boards with Froe</t>
  </si>
  <si>
    <t>劈板斧和木板</t>
  </si>
  <si>
    <t>钢楔刀和木板</t>
  </si>
  <si>
    <t>Дошки з Фро</t>
  </si>
  <si>
    <t>470.txt</t>
  </si>
  <si>
    <t>Boards</t>
  </si>
  <si>
    <t>木板</t>
  </si>
  <si>
    <t>Дошки</t>
  </si>
  <si>
    <t>471.txt</t>
  </si>
  <si>
    <t>Wooden Sledge</t>
  </si>
  <si>
    <t>帶手柄的木箱</t>
  </si>
  <si>
    <t>带手柄的木箱</t>
  </si>
  <si>
    <t>Дерев'яні сани</t>
  </si>
  <si>
    <t>472.txt</t>
  </si>
  <si>
    <t>Wooden Disks</t>
  </si>
  <si>
    <t>一堆原木片</t>
  </si>
  <si>
    <t>一堆圆木片</t>
  </si>
  <si>
    <t>Дерев'яні диски</t>
  </si>
  <si>
    <t>473.txt</t>
  </si>
  <si>
    <t>Wooden Disk</t>
  </si>
  <si>
    <t>原木片</t>
  </si>
  <si>
    <t>圆木片</t>
  </si>
  <si>
    <t>Дерев'яний диск</t>
  </si>
  <si>
    <t>474.txt</t>
  </si>
  <si>
    <t>Flint-tipped Bow Drill</t>
  </si>
  <si>
    <t>貴賓犬幼崽</t>
  </si>
  <si>
    <t>燧石头弓钻</t>
  </si>
  <si>
    <t>Щеня пуделя</t>
  </si>
  <si>
    <t>475.txt</t>
  </si>
  <si>
    <t>Wooden Wheel</t>
  </si>
  <si>
    <t>木輪子</t>
  </si>
  <si>
    <t>木轮子</t>
  </si>
  <si>
    <t>Дерев'яне колесо</t>
  </si>
  <si>
    <t>483.txt</t>
  </si>
  <si>
    <t>Wheelbarrow</t>
  </si>
  <si>
    <t>獨輪車</t>
  </si>
  <si>
    <t>独轮车</t>
  </si>
  <si>
    <t>Тачка</t>
  </si>
  <si>
    <t>484.txt</t>
  </si>
  <si>
    <t>Hand Cart</t>
  </si>
  <si>
    <t>手推車</t>
  </si>
  <si>
    <t>手推车</t>
  </si>
  <si>
    <t>Ручний візок</t>
  </si>
  <si>
    <t>485.txt</t>
  </si>
  <si>
    <t>Wooden Floor# groundOnly</t>
  </si>
  <si>
    <t>木製地板# groundOnly</t>
  </si>
  <si>
    <t>木制地板# groundOnly</t>
  </si>
  <si>
    <t>Дерев'яна підлога# groundOnly</t>
  </si>
  <si>
    <t>486.txt</t>
  </si>
  <si>
    <t>Floor Stakes</t>
  </si>
  <si>
    <t>地板標樁</t>
  </si>
  <si>
    <t>地板标桩</t>
  </si>
  <si>
    <t>Підлогові ставки</t>
  </si>
  <si>
    <t>487.txt</t>
  </si>
  <si>
    <t>Home Marker# eveHomeMarker</t>
  </si>
  <si>
    <t>家園標記# eveHomeMarker</t>
  </si>
  <si>
    <t>家园标记# eveHomeMarker</t>
  </si>
  <si>
    <t>Домашній маркер# eveHomeMarker</t>
  </si>
  <si>
    <t>488.txt</t>
  </si>
  <si>
    <t>Long Play Phonorecord Album</t>
  </si>
  <si>
    <t>Phonorecord專輯黑膠唱片</t>
  </si>
  <si>
    <t>Long Play Phonorecord 黑胶专辑</t>
  </si>
  <si>
    <t>Довгий альбом фонозапису</t>
  </si>
  <si>
    <t>489.txt</t>
  </si>
  <si>
    <t>Phonorecord Sleeve</t>
  </si>
  <si>
    <t>Phonorecord外殼</t>
  </si>
  <si>
    <t>Phonorecord唱片套</t>
  </si>
  <si>
    <t>Футляр для звукозапису</t>
  </si>
  <si>
    <t>490.txt</t>
  </si>
  <si>
    <t>Long Play Phonorecord</t>
  </si>
  <si>
    <t>Phonorecord黑膠唱片</t>
  </si>
  <si>
    <t>Phonorecord黑胶唱片</t>
  </si>
  <si>
    <t>Довгий звукозапис</t>
  </si>
  <si>
    <t>491.txt</t>
  </si>
  <si>
    <t>Phonograph</t>
  </si>
  <si>
    <t>留聲機</t>
  </si>
  <si>
    <t>留声机</t>
  </si>
  <si>
    <t>Фонограф</t>
  </si>
  <si>
    <t>492.txt</t>
  </si>
  <si>
    <t>Playing Phonograph</t>
  </si>
  <si>
    <t>播放中的留聲機</t>
  </si>
  <si>
    <t>播放中的留声机</t>
  </si>
  <si>
    <t>Гра на фонографі</t>
  </si>
  <si>
    <t>493.txt</t>
  </si>
  <si>
    <t>Yew Bow#just shot</t>
  </si>
  <si>
    <t>杉木弓#just shot</t>
  </si>
  <si>
    <t>紫杉弓#just shot</t>
  </si>
  <si>
    <t>Тис Лук#just shot</t>
  </si>
  <si>
    <t>494.txt</t>
  </si>
  <si>
    <t>@ Yew Bow</t>
  </si>
  <si>
    <t>495.txt</t>
  </si>
  <si>
    <t>Crucible with Scrap Steel</t>
  </si>
  <si>
    <t>裝著廢鋼的坩堝</t>
  </si>
  <si>
    <t>装着废钢的坩埚</t>
  </si>
  <si>
    <t>Тигель зі сталевим ломом</t>
  </si>
  <si>
    <t>496.txt</t>
  </si>
  <si>
    <t>Dug Stump</t>
  </si>
  <si>
    <t>被挖起的樹樁</t>
  </si>
  <si>
    <t>被挖起的树桩</t>
  </si>
  <si>
    <t>Викопаний пень</t>
  </si>
  <si>
    <t>497.txt</t>
  </si>
  <si>
    <t>Dug Sapling Stump</t>
  </si>
  <si>
    <t>被挖起的樹苗樁</t>
  </si>
  <si>
    <t>被挖起的树苗树桩</t>
  </si>
  <si>
    <t>Викопаний пень саджанця</t>
  </si>
  <si>
    <t>498.txt</t>
  </si>
  <si>
    <t>Dug Gooseberry Bush</t>
  </si>
  <si>
    <t>被挖起的醋栗叢</t>
  </si>
  <si>
    <t>被挖起的醋栗丛</t>
  </si>
  <si>
    <t>Викопаний кущ агрусу</t>
  </si>
  <si>
    <t>499.txt</t>
  </si>
  <si>
    <t>Hot Steel Shovel Head on Anvil</t>
  </si>
  <si>
    <t>铁砧上的热钢铲头</t>
  </si>
  <si>
    <t>500.txt</t>
  </si>
  <si>
    <t>Steel Shovel Head on Anvil</t>
  </si>
  <si>
    <t>铁砧上的钢铲头</t>
  </si>
  <si>
    <t>501.txt</t>
  </si>
  <si>
    <t>Steel Shovel Head</t>
  </si>
  <si>
    <t>鋼鍬頭</t>
  </si>
  <si>
    <t>钢铲头</t>
  </si>
  <si>
    <t>Сталева головка лопати</t>
  </si>
  <si>
    <t>502.txt</t>
  </si>
  <si>
    <t>Shovel</t>
  </si>
  <si>
    <t>钢制铁铲</t>
  </si>
  <si>
    <t>503.txt</t>
  </si>
  <si>
    <t>Dug Big Rock</t>
  </si>
  <si>
    <t>被挖起的大石塊</t>
  </si>
  <si>
    <t>被挖起的大石块</t>
  </si>
  <si>
    <t>Вирита Велика скеля</t>
  </si>
  <si>
    <t>504.txt</t>
  </si>
  <si>
    <t>Split Big Rock#right</t>
  </si>
  <si>
    <t>裂開的大石塊#right</t>
  </si>
  <si>
    <t>分裂的大岩石#right</t>
  </si>
  <si>
    <t>Розділіть Big Rock#right</t>
  </si>
  <si>
    <t>505.txt</t>
  </si>
  <si>
    <t>Split Big Rock#left</t>
  </si>
  <si>
    <t>裂開的大石塊#left</t>
  </si>
  <si>
    <t>分裂的大岩石#left</t>
  </si>
  <si>
    <t>Розділіть Велику Скелю#left</t>
  </si>
  <si>
    <t>506.txt</t>
  </si>
  <si>
    <t>Split Big Rock</t>
  </si>
  <si>
    <t>裂開的大石塊</t>
  </si>
  <si>
    <t>裂开的大石块</t>
  </si>
  <si>
    <t>Спліт Біг Рок</t>
  </si>
  <si>
    <t>507.txt</t>
  </si>
  <si>
    <t>@ Diggable Live Berry Bush</t>
  </si>
  <si>
    <t>508.txt</t>
  </si>
  <si>
    <t>Dug Big Rock with Chisel</t>
  </si>
  <si>
    <t>鑿子與被挖起的大石頭</t>
  </si>
  <si>
    <t>凿子与被挖起的大石头</t>
  </si>
  <si>
    <t>Викопаний великий камінь долотом</t>
  </si>
  <si>
    <t>509.txt</t>
  </si>
  <si>
    <t>Pond with Dead Goose</t>
  </si>
  <si>
    <t>鵝塘與死鵝</t>
  </si>
  <si>
    <t>鹅塘与死鹅</t>
  </si>
  <si>
    <t>Ставок з дохлим гуском</t>
  </si>
  <si>
    <t>510.txt</t>
  </si>
  <si>
    <t>Pond with Dead Goose#arrow</t>
  </si>
  <si>
    <t>鵝塘與死鵝#arrow</t>
  </si>
  <si>
    <t>鹅塘与死鹅#arrow</t>
  </si>
  <si>
    <t>Ставок із мертвим гусом#arrow</t>
  </si>
  <si>
    <t>511.txt</t>
  </si>
  <si>
    <t>Pond</t>
  </si>
  <si>
    <t>池塘</t>
  </si>
  <si>
    <t>Ставок</t>
  </si>
  <si>
    <t>512.txt</t>
  </si>
  <si>
    <t>Dry Pond</t>
  </si>
  <si>
    <t>乾涸的池塘</t>
  </si>
  <si>
    <t>干涸的池塘</t>
  </si>
  <si>
    <t>Сухий ставок</t>
  </si>
  <si>
    <t>513.txt</t>
  </si>
  <si>
    <t>Flooded Pond</t>
  </si>
  <si>
    <t>氾濫的池塘</t>
  </si>
  <si>
    <t>泛滥的池塘</t>
  </si>
  <si>
    <t>Затоплений ставок</t>
  </si>
  <si>
    <t>514.txt</t>
  </si>
  <si>
    <t>Dead Canada Goose</t>
  </si>
  <si>
    <t>鹅尸体</t>
  </si>
  <si>
    <t>Мертвий канадський гусак</t>
  </si>
  <si>
    <t>515.txt</t>
  </si>
  <si>
    <t>Plucked Goose</t>
  </si>
  <si>
    <t>拔毛的鵝</t>
  </si>
  <si>
    <t>拔毛的鹅</t>
  </si>
  <si>
    <t>Ощипана гуска</t>
  </si>
  <si>
    <t>516.txt</t>
  </si>
  <si>
    <t>Skewered Goose</t>
  </si>
  <si>
    <t>串起來的鵝肉</t>
  </si>
  <si>
    <t>串起来的鹅肉</t>
  </si>
  <si>
    <t>Гуска на шампурі</t>
  </si>
  <si>
    <t>517.txt</t>
  </si>
  <si>
    <t>Cooked Goose</t>
  </si>
  <si>
    <t>烤鵝</t>
  </si>
  <si>
    <t>烤鹅</t>
  </si>
  <si>
    <t>Варена гуска</t>
  </si>
  <si>
    <t>518.txt</t>
  </si>
  <si>
    <t>519.txt</t>
  </si>
  <si>
    <t>@ Food Burner</t>
  </si>
  <si>
    <t>520.txt</t>
  </si>
  <si>
    <t>Burnt Goose</t>
  </si>
  <si>
    <t>比格獵犬與幼崽#3</t>
  </si>
  <si>
    <t>烧焦的鹅</t>
  </si>
  <si>
    <t>Бігль з цуценятами #3</t>
  </si>
  <si>
    <t>521.txt</t>
  </si>
  <si>
    <t>燒焦的鵝</t>
  </si>
  <si>
    <t>Спалений гусак</t>
  </si>
  <si>
    <t>522.txt</t>
  </si>
  <si>
    <t>Goose Bones</t>
  </si>
  <si>
    <t>鵝骨架</t>
  </si>
  <si>
    <t>鹅骨架</t>
  </si>
  <si>
    <t>Гусячі кістки</t>
  </si>
  <si>
    <t>524.txt</t>
  </si>
  <si>
    <t>@ Edible Pie</t>
  </si>
  <si>
    <t>527.txt</t>
  </si>
  <si>
    <t>Willow Tree</t>
  </si>
  <si>
    <t>柳樹</t>
  </si>
  <si>
    <t>柳树</t>
  </si>
  <si>
    <t>Верба</t>
  </si>
  <si>
    <t>530.txt</t>
  </si>
  <si>
    <t>Bald Cypress Tree</t>
  </si>
  <si>
    <t>柏樹</t>
  </si>
  <si>
    <t>秃柏树</t>
  </si>
  <si>
    <t>Лисий кипарис</t>
  </si>
  <si>
    <t>531.txt</t>
  </si>
  <si>
    <t>Mouflon</t>
  </si>
  <si>
    <t>盤羊</t>
  </si>
  <si>
    <t>盘羊</t>
  </si>
  <si>
    <t>Муфлон</t>
  </si>
  <si>
    <t>532.txt</t>
  </si>
  <si>
    <t>Mouflon with Lamb</t>
  </si>
  <si>
    <t>盤羊與小羊羔</t>
  </si>
  <si>
    <t>盘羊与小羊羔</t>
  </si>
  <si>
    <t>Муфлон з бараниною</t>
  </si>
  <si>
    <t>534.txt</t>
  </si>
  <si>
    <t>Mouflon Lamb</t>
  </si>
  <si>
    <t>盤羊羊羔</t>
  </si>
  <si>
    <t>盘羊羊羔肉</t>
  </si>
  <si>
    <t>Баранина муфлона</t>
  </si>
  <si>
    <t>536.txt</t>
  </si>
  <si>
    <t>Shot Mouflon with Lamb#arrow</t>
  </si>
  <si>
    <t>被射中的盤羊與小羊羔#arrow</t>
  </si>
  <si>
    <t>被射中的盘羊与小羊羔#arrow</t>
  </si>
  <si>
    <t>Вистрелив у муфлона ягням#arrow</t>
  </si>
  <si>
    <t>537.txt</t>
  </si>
  <si>
    <t>Shot Mouflon with Lamb#no arrow</t>
  </si>
  <si>
    <t>被射中的盤羊與小羊羔#no arrow</t>
  </si>
  <si>
    <t>被射中的盘羊与小羊羔#no arrow</t>
  </si>
  <si>
    <t>Вистрілив у муфлона ягням#no arrow</t>
  </si>
  <si>
    <t>538.txt</t>
  </si>
  <si>
    <t>Dead Mouflon#no arrow</t>
  </si>
  <si>
    <t>盤羊屍體#no arrow</t>
  </si>
  <si>
    <t>盘羊尸体#no arrow</t>
  </si>
  <si>
    <t>Мертвий муфлон#no arrow</t>
  </si>
  <si>
    <t>539.txt</t>
  </si>
  <si>
    <t>Shot Mouflon#arrow</t>
  </si>
  <si>
    <t>被射中的盤羊#arrow</t>
  </si>
  <si>
    <t>被射中的盘羊#arrow</t>
  </si>
  <si>
    <t>Застрелений муфлон#arrow</t>
  </si>
  <si>
    <t>540.txt</t>
  </si>
  <si>
    <t>Mouflon Lamb#rope</t>
  </si>
  <si>
    <t>盤羊羊羔#rope</t>
  </si>
  <si>
    <t>盘羊羊羔#rope</t>
  </si>
  <si>
    <t>Баранчик з муфлона#rope</t>
  </si>
  <si>
    <t>541.txt</t>
  </si>
  <si>
    <t>Domestic Mouflon</t>
  </si>
  <si>
    <t>家養盤羊</t>
  </si>
  <si>
    <t>家养盘羊</t>
  </si>
  <si>
    <t>Муфлон свійський</t>
  </si>
  <si>
    <t>542.txt</t>
  </si>
  <si>
    <t>Domestic Lamb</t>
  </si>
  <si>
    <t>家養羊羔</t>
  </si>
  <si>
    <t>家养羊羔</t>
  </si>
  <si>
    <t>Баранина домашня</t>
  </si>
  <si>
    <t>543.txt</t>
  </si>
  <si>
    <t>Domestic Lamb#rope</t>
  </si>
  <si>
    <t>家養羊羔#rope</t>
  </si>
  <si>
    <t>家养羊羔#rope</t>
  </si>
  <si>
    <t>Вітчизняна баранина#rope</t>
  </si>
  <si>
    <t>544.txt</t>
  </si>
  <si>
    <t>Domestic Mouflon with Lamb</t>
  </si>
  <si>
    <t>家養盤羊與羊羔</t>
  </si>
  <si>
    <t>家养盘羊与羊羔幼崽</t>
  </si>
  <si>
    <t>Домашній муфлон з ягням</t>
  </si>
  <si>
    <t>545.txt</t>
  </si>
  <si>
    <t>Domestic Lamb#just left parent</t>
  </si>
  <si>
    <t>家養羊羔#just left parent</t>
  </si>
  <si>
    <t>家养羊羔#just left parent</t>
  </si>
  <si>
    <t>Домашня баранина#just left parent</t>
  </si>
  <si>
    <t>546.txt</t>
  </si>
  <si>
    <t>Split Big Rock#chisel</t>
  </si>
  <si>
    <t>裂開的大石塊#chisel</t>
  </si>
  <si>
    <t>裂开的大石块#chisel</t>
  </si>
  <si>
    <t>Спліт Big Rock#chisel</t>
  </si>
  <si>
    <t>547.txt</t>
  </si>
  <si>
    <t>Bowl of Carrot</t>
  </si>
  <si>
    <t>一碗胡蘿蔔</t>
  </si>
  <si>
    <t>一碗胡萝卜</t>
  </si>
  <si>
    <t>Миска з морквою</t>
  </si>
  <si>
    <t>548.txt</t>
  </si>
  <si>
    <t>Bowl of Mashed Carrot</t>
  </si>
  <si>
    <t>一碗搗碎的胡蘿蔔</t>
  </si>
  <si>
    <t>一碗胡萝卜泥</t>
  </si>
  <si>
    <t>Чаша морквяного пюре</t>
  </si>
  <si>
    <t>549.txt</t>
  </si>
  <si>
    <t>Fence</t>
  </si>
  <si>
    <t>貴賓犬與幼崽#2</t>
  </si>
  <si>
    <t>栅栏</t>
  </si>
  <si>
    <t>Пудель з цуценятами #2</t>
  </si>
  <si>
    <t>550.txt</t>
  </si>
  <si>
    <t>貴賓犬與幼崽#1</t>
  </si>
  <si>
    <t>Пудель з цуценям #1</t>
  </si>
  <si>
    <t>551.txt</t>
  </si>
  <si>
    <t>攻擊中的比特犬</t>
  </si>
  <si>
    <t>Атакуючий пітбуль</t>
  </si>
  <si>
    <t>553.txt</t>
  </si>
  <si>
    <t>East-West Fence Holes</t>
  </si>
  <si>
    <t>被射中的比特犬</t>
  </si>
  <si>
    <t>东西向栅栏孔</t>
  </si>
  <si>
    <t>Застрелений пітбуль</t>
  </si>
  <si>
    <t>554.txt</t>
  </si>
  <si>
    <t>North-South Fence Holes</t>
  </si>
  <si>
    <t>@ Pit Bull</t>
  </si>
  <si>
    <t>南北栅栏孔</t>
  </si>
  <si>
    <t>555.txt</t>
  </si>
  <si>
    <t>Corner Fence Holes</t>
  </si>
  <si>
    <t>被射中的比特犬# no arrow</t>
  </si>
  <si>
    <t>角栅栏孔</t>
  </si>
  <si>
    <t>Постріл у пітбуля # no arrow</t>
  </si>
  <si>
    <t>556.txt</t>
  </si>
  <si>
    <t>Fence Kit</t>
  </si>
  <si>
    <t>柵欄組件</t>
  </si>
  <si>
    <t>围栏套件</t>
  </si>
  <si>
    <t>Комплект огорожі</t>
  </si>
  <si>
    <t>557.txt</t>
  </si>
  <si>
    <t>Two Shafts</t>
  </si>
  <si>
    <t>兩根木棍</t>
  </si>
  <si>
    <t>两轴</t>
  </si>
  <si>
    <t>Два вали</t>
  </si>
  <si>
    <t>558.txt</t>
  </si>
  <si>
    <t>Open Fence Gate# +blocksMoving</t>
  </si>
  <si>
    <t>打开的栅栏门# +blocksMoving</t>
  </si>
  <si>
    <t>559.txt</t>
  </si>
  <si>
    <t>Steel Blade</t>
  </si>
  <si>
    <t>鋼刀刃</t>
  </si>
  <si>
    <t>钢刀刃</t>
  </si>
  <si>
    <t>Сталеве лезо</t>
  </si>
  <si>
    <t>560.txt</t>
  </si>
  <si>
    <t>Knife</t>
  </si>
  <si>
    <t>刀</t>
  </si>
  <si>
    <t>561.txt</t>
  </si>
  <si>
    <t>@ Skinning Tool</t>
  </si>
  <si>
    <t>562.txt</t>
  </si>
  <si>
    <t>Skinned Mouflon</t>
  </si>
  <si>
    <t>剝皮盤羊</t>
  </si>
  <si>
    <t>剥皮盘羊</t>
  </si>
  <si>
    <t>Муфлон без шкіри</t>
  </si>
  <si>
    <t>563.txt</t>
  </si>
  <si>
    <t>Skinned Mouflon#with hide</t>
  </si>
  <si>
    <t>剝皮盤羊#with hide</t>
  </si>
  <si>
    <t>剥皮盘羊#with hide</t>
  </si>
  <si>
    <t>Шкіряний муфлон#with hide</t>
  </si>
  <si>
    <t>564.txt</t>
  </si>
  <si>
    <t>Mouflon Hide</t>
  </si>
  <si>
    <t>盤羊皮毛</t>
  </si>
  <si>
    <t>盘羊皮毛</t>
  </si>
  <si>
    <t>Шкура муфлона</t>
  </si>
  <si>
    <t>565.txt</t>
  </si>
  <si>
    <t>Butchered Mouflon</t>
  </si>
  <si>
    <t>被屠宰的盤羊</t>
  </si>
  <si>
    <t>被屠宰的盘羊</t>
  </si>
  <si>
    <t>Розбитий муфлон</t>
  </si>
  <si>
    <t>566.txt</t>
  </si>
  <si>
    <t>Mouflon Bones</t>
  </si>
  <si>
    <t>盤羊骨堆</t>
  </si>
  <si>
    <t>盘羊骨堆</t>
  </si>
  <si>
    <t>Кістки муфлона</t>
  </si>
  <si>
    <t>567.txt</t>
  </si>
  <si>
    <t>Two Steel Blades</t>
  </si>
  <si>
    <t>兩根刀刃</t>
  </si>
  <si>
    <t>两把钢刀片</t>
  </si>
  <si>
    <t>Два сталевих леза</t>
  </si>
  <si>
    <t>568.txt</t>
  </si>
  <si>
    <t>Shears</t>
  </si>
  <si>
    <t>飢餓的科利犬崽</t>
  </si>
  <si>
    <t>剪刀</t>
  </si>
  <si>
    <t>Голодне цуценя коллі</t>
  </si>
  <si>
    <t>569.txt</t>
  </si>
  <si>
    <t>Raw Mutton</t>
  </si>
  <si>
    <t>生羊肉</t>
  </si>
  <si>
    <t>Сира баранина</t>
  </si>
  <si>
    <t>570.txt</t>
  </si>
  <si>
    <t>Cooked Mutton</t>
  </si>
  <si>
    <t>烤羊肉</t>
  </si>
  <si>
    <t>熟羊肉</t>
  </si>
  <si>
    <t>варена баранина</t>
  </si>
  <si>
    <t>571.txt</t>
  </si>
  <si>
    <t>Basket of Mouflon Bones</t>
  </si>
  <si>
    <t>一籃盤羊骨頭</t>
  </si>
  <si>
    <t>一篮盘羊骨头</t>
  </si>
  <si>
    <t>Кошик з кістками муфлонів</t>
  </si>
  <si>
    <t>572.txt</t>
  </si>
  <si>
    <t>Mouflon Bones#dumped</t>
  </si>
  <si>
    <t>盤羊骨堆#dumped</t>
  </si>
  <si>
    <t>盘羊骨堆#dumped</t>
  </si>
  <si>
    <t>Кістки муфлона#dumped</t>
  </si>
  <si>
    <t>573.txt</t>
  </si>
  <si>
    <t>Arrow#just pulled</t>
  </si>
  <si>
    <t>箭矢#just pulled</t>
  </si>
  <si>
    <t>Стрілка#just pulled</t>
  </si>
  <si>
    <t>575.txt</t>
  </si>
  <si>
    <t>Domestic Sheep</t>
  </si>
  <si>
    <t>家養綿羊</t>
  </si>
  <si>
    <t>家养绵羊</t>
  </si>
  <si>
    <t>Домашні вівці</t>
  </si>
  <si>
    <t>576.txt</t>
  </si>
  <si>
    <t>Shorn Domestic Sheep</t>
  </si>
  <si>
    <t>剪過毛的家養綿羊</t>
  </si>
  <si>
    <t>剪过毛的家养绵羊</t>
  </si>
  <si>
    <t>Стрижені домашні вівці</t>
  </si>
  <si>
    <t>577.txt</t>
  </si>
  <si>
    <t>578.txt</t>
  </si>
  <si>
    <t>Fleece</t>
  </si>
  <si>
    <t>羊毛</t>
  </si>
  <si>
    <t>Фліс</t>
  </si>
  <si>
    <t>579.txt</t>
  </si>
  <si>
    <t>Drop Spindle</t>
  </si>
  <si>
    <t>紡錘</t>
  </si>
  <si>
    <t>纺锤</t>
  </si>
  <si>
    <t>Падіння шпинделя</t>
  </si>
  <si>
    <t>580.txt</t>
  </si>
  <si>
    <t>Big Ball of Wool Yarn</t>
  </si>
  <si>
    <t>比特犬崽屍體</t>
  </si>
  <si>
    <t>大毛纱球</t>
  </si>
  <si>
    <t>Мертве цуценя пітбуля</t>
  </si>
  <si>
    <t>581.txt</t>
  </si>
  <si>
    <t>Small Ball of Wool Yarn</t>
  </si>
  <si>
    <t>比格獵犬崽屍體</t>
  </si>
  <si>
    <t>小毛纱球</t>
  </si>
  <si>
    <t>Мертве цуценя бігля</t>
  </si>
  <si>
    <t>582.txt</t>
  </si>
  <si>
    <t>Huge Ball of Wool Yarn</t>
  </si>
  <si>
    <t>艾爾谷犬崽屍體</t>
  </si>
  <si>
    <t>巨大的毛纱球</t>
  </si>
  <si>
    <t>Мертве цуценя Ердель</t>
  </si>
  <si>
    <t>583.txt</t>
  </si>
  <si>
    <t>Knitting Needles</t>
  </si>
  <si>
    <t>貴賓犬崽屍體</t>
  </si>
  <si>
    <t>织针</t>
  </si>
  <si>
    <t>Мертве цуценя пуделя</t>
  </si>
  <si>
    <t>584.txt</t>
  </si>
  <si>
    <t>Wool Hat</t>
  </si>
  <si>
    <t>羊毛帽</t>
  </si>
  <si>
    <t>Вовняний капелюх</t>
  </si>
  <si>
    <t>585.txt</t>
  </si>
  <si>
    <t>Wool Sweater</t>
  </si>
  <si>
    <t>羊毛衫</t>
  </si>
  <si>
    <t>Вовняний светр</t>
  </si>
  <si>
    <t>586.txt</t>
  </si>
  <si>
    <t>Wool Booty</t>
  </si>
  <si>
    <t>羊毛鞋</t>
  </si>
  <si>
    <t>Шерсть Booty</t>
  </si>
  <si>
    <t>587.txt</t>
  </si>
  <si>
    <t>Butchered Sheep</t>
  </si>
  <si>
    <t>被屠宰的綿羊</t>
  </si>
  <si>
    <t>被屠宰的绵羊</t>
  </si>
  <si>
    <t>Розрізана вівця</t>
  </si>
  <si>
    <t>588.txt</t>
  </si>
  <si>
    <t>Sheep Bones</t>
  </si>
  <si>
    <t>綿羊骨堆</t>
  </si>
  <si>
    <t>绵羊骨堆</t>
  </si>
  <si>
    <t>Овечі кістки</t>
  </si>
  <si>
    <t>589.txt</t>
  </si>
  <si>
    <t>Sheep Bones#dumped</t>
  </si>
  <si>
    <t>綿羊骨堆#dumped</t>
  </si>
  <si>
    <t>绵羊骨堆#dumped</t>
  </si>
  <si>
    <t>Овечі кістки#dumped</t>
  </si>
  <si>
    <t>590.txt</t>
  </si>
  <si>
    <t>Basket of Sheep Bones</t>
  </si>
  <si>
    <t>一籃綿羊骨頭</t>
  </si>
  <si>
    <t>一篮绵羊骨头</t>
  </si>
  <si>
    <t>Кошик з овечими кістками</t>
  </si>
  <si>
    <t>591.txt</t>
  </si>
  <si>
    <t>Skinned Sheep#with hide</t>
  </si>
  <si>
    <t>剝皮綿羊#with hide</t>
  </si>
  <si>
    <t>剥皮绵羊#with hide</t>
  </si>
  <si>
    <t>Обдерта вівця#with hide</t>
  </si>
  <si>
    <t>593.txt</t>
  </si>
  <si>
    <t>Sheep Skin</t>
  </si>
  <si>
    <t>綿羊皮毛</t>
  </si>
  <si>
    <t>绵羊皮毛</t>
  </si>
  <si>
    <t>Овеча шкіра</t>
  </si>
  <si>
    <t>595.txt</t>
  </si>
  <si>
    <t>Dead Sheep</t>
  </si>
  <si>
    <t>綿羊屍體</t>
  </si>
  <si>
    <t>绵羊尸体</t>
  </si>
  <si>
    <t>Мертва вівця</t>
  </si>
  <si>
    <t>596.txt</t>
  </si>
  <si>
    <t>Skinned Sheep</t>
  </si>
  <si>
    <t>剝皮綿羊</t>
  </si>
  <si>
    <t>剥皮绵羊</t>
  </si>
  <si>
    <t>Обдерті вівці</t>
  </si>
  <si>
    <t>597.txt</t>
  </si>
  <si>
    <t>Dead Sheep#shorn</t>
  </si>
  <si>
    <t>綿羊屍體#shorn</t>
  </si>
  <si>
    <t>绵羊尸体#shorn</t>
  </si>
  <si>
    <t>Мертві вівці#shorn</t>
  </si>
  <si>
    <t>598.txt</t>
  </si>
  <si>
    <t>Dead Sheep#shorn fleece</t>
  </si>
  <si>
    <t>綿羊屍體#shorn fleece</t>
  </si>
  <si>
    <t>绵羊尸体#shorn fleece</t>
  </si>
  <si>
    <t>Мертві вівці#shorn fleece</t>
  </si>
  <si>
    <t>599.txt</t>
  </si>
  <si>
    <t>Dead Domestic Mouflon #shot arrow</t>
  </si>
  <si>
    <t>年老的科利犬</t>
  </si>
  <si>
    <t>死去的绵羊#shot arrow</t>
  </si>
  <si>
    <t>Старий коллі</t>
  </si>
  <si>
    <t>600.txt</t>
  </si>
  <si>
    <t>Domestic Sheep with Lamb</t>
  </si>
  <si>
    <t>綿羊和小羊羔</t>
  </si>
  <si>
    <t>家养绵羊与羔羊</t>
  </si>
  <si>
    <t>Домашня вівця з ягням</t>
  </si>
  <si>
    <t>601.txt</t>
  </si>
  <si>
    <t>Fed Mouflon Lamb</t>
  </si>
  <si>
    <t>餵過的盤羊羊羔</t>
  </si>
  <si>
    <t>喂过的盘羊羊羔</t>
  </si>
  <si>
    <t>Відгодований ягняти муфлон</t>
  </si>
  <si>
    <t>602.txt</t>
  </si>
  <si>
    <t>Fed Domestic Lamb</t>
  </si>
  <si>
    <t>餵過的綿羊羊羔</t>
  </si>
  <si>
    <t>喂过的绵羊羊羔</t>
  </si>
  <si>
    <t>Відгодована домашня баранина</t>
  </si>
  <si>
    <t>603.txt</t>
  </si>
  <si>
    <t>Hungry Mouflon Lamb</t>
  </si>
  <si>
    <t>飢餓的盤羊羊羔</t>
  </si>
  <si>
    <t>饥饿的盘羊羊羔</t>
  </si>
  <si>
    <t>Голодний баранчик муфлон</t>
  </si>
  <si>
    <t>604.txt</t>
  </si>
  <si>
    <t>Hungry Domestic Lamb</t>
  </si>
  <si>
    <t>飢餓的綿羊羊羔</t>
  </si>
  <si>
    <t>饥饿的绵羊羊羔</t>
  </si>
  <si>
    <t>Голодне домашнє ягня</t>
  </si>
  <si>
    <t>605.txt</t>
  </si>
  <si>
    <t>Dead Mouflon Lamb</t>
  </si>
  <si>
    <t>盤羊羊羔屍體</t>
  </si>
  <si>
    <t>盘羊羊羔尸体</t>
  </si>
  <si>
    <t>Мертвий ягня муфлон</t>
  </si>
  <si>
    <t>606.txt</t>
  </si>
  <si>
    <t>Dead Domestic Lamb</t>
  </si>
  <si>
    <t>綿羊羊羔屍體</t>
  </si>
  <si>
    <t>绵羊羊羔尸体</t>
  </si>
  <si>
    <t>Мертве домашнє ягня</t>
  </si>
  <si>
    <t>608.txt</t>
  </si>
  <si>
    <t>Domestic Lamb#rope fed</t>
  </si>
  <si>
    <t>綿羊羊羔#rope fed</t>
  </si>
  <si>
    <t>绵羊羊羔#rope fed</t>
  </si>
  <si>
    <t>Баранина домашня#rope fed</t>
  </si>
  <si>
    <t>609.txt</t>
  </si>
  <si>
    <t>Fed Domestic Lamb#post hungry</t>
  </si>
  <si>
    <t>餵過的綿羊羊羔#post hungry</t>
  </si>
  <si>
    <t>喂过的绵羊羊羔#post hungry</t>
  </si>
  <si>
    <t>Нагодований домашній баранчик#post hungry</t>
  </si>
  <si>
    <t>610.txt</t>
  </si>
  <si>
    <t>Fed Mouflon Lamb#post hungry</t>
  </si>
  <si>
    <t>餵過的盤羊羊羔#post hungry</t>
  </si>
  <si>
    <t>喂过的盘羊羊羔#post hungry</t>
  </si>
  <si>
    <t>Нагодований муфлон Ягня#post hungry</t>
  </si>
  <si>
    <t>612.txt</t>
  </si>
  <si>
    <t>@ Lamb Food Bowl</t>
  </si>
  <si>
    <t>613.txt</t>
  </si>
  <si>
    <t>Domestic Lamb#rope fed post hungry</t>
  </si>
  <si>
    <t>綿羊羊羔#rope fed post hungry</t>
  </si>
  <si>
    <t>绵羊羊羔#rope fed post hungry</t>
  </si>
  <si>
    <t>Домашнє ягня#rope fed post hungry</t>
  </si>
  <si>
    <t>614.txt</t>
  </si>
  <si>
    <t>Fed Shorn Domestic Sheep</t>
  </si>
  <si>
    <t>餵過的剪過毛的家養綿羊</t>
  </si>
  <si>
    <t>喂过的剪过毛的家养绵羊</t>
  </si>
  <si>
    <t>Відгодовані стрижені домашні вівці</t>
  </si>
  <si>
    <t>615.txt</t>
  </si>
  <si>
    <t>Eaten Carrot Row</t>
  </si>
  <si>
    <t>被喫過的胡蘿蔔田</t>
  </si>
  <si>
    <t>被吃过的胡萝卜田</t>
  </si>
  <si>
    <t>З'їдена морква</t>
  </si>
  <si>
    <t>616.txt</t>
  </si>
  <si>
    <t>Sheep Eating Carrot Row</t>
  </si>
  <si>
    <t>正在被羊喫的胡蘿蔔田</t>
  </si>
  <si>
    <t>正在被羊吃的胡萝卜田</t>
  </si>
  <si>
    <t>Вівці їдять моркву</t>
  </si>
  <si>
    <t>617.txt</t>
  </si>
  <si>
    <t>Small Trash Pit</t>
  </si>
  <si>
    <t>小垃圾堆</t>
  </si>
  <si>
    <t>垃圾坑</t>
  </si>
  <si>
    <t>Мала сміттєва яма</t>
  </si>
  <si>
    <t>618.txt</t>
  </si>
  <si>
    <t>Filled Small Trash Pit</t>
  </si>
  <si>
    <t>填滿的小垃圾堆</t>
  </si>
  <si>
    <t>填满的垃圾坑</t>
  </si>
  <si>
    <t>Заповнена мала сміттєва яма</t>
  </si>
  <si>
    <t>619.txt</t>
  </si>
  <si>
    <t>@ Small Trash</t>
  </si>
  <si>
    <t>620.txt</t>
  </si>
  <si>
    <t>Small Trash Pit with Stakes# groundOnly</t>
  </si>
  <si>
    <t>標樁和小垃圾堆# groundOnly</t>
  </si>
  <si>
    <t>带标桩的垃圾堆坑# groundOnly</t>
  </si>
  <si>
    <t>Маленька сміттєва яма зі кілками# groundOnly</t>
  </si>
  <si>
    <t>621.txt</t>
  </si>
  <si>
    <t>Filled Small Trash Pit with Stakes</t>
  </si>
  <si>
    <t>標樁和填滿的小垃圾堆</t>
  </si>
  <si>
    <t>标桩和填满的垃圾坑</t>
  </si>
  <si>
    <t>Заповнена невелика сміттєва яма кілками</t>
  </si>
  <si>
    <t>622.txt</t>
  </si>
  <si>
    <t>Pit Stakes</t>
  </si>
  <si>
    <t>坑標樁</t>
  </si>
  <si>
    <t>坑标桩</t>
  </si>
  <si>
    <t>Ямні ставки</t>
  </si>
  <si>
    <t>623.txt</t>
  </si>
  <si>
    <t>Dry Compost Pile</t>
  </si>
  <si>
    <t>乾燥的堆肥堆</t>
  </si>
  <si>
    <t>干燥的堆肥堆</t>
  </si>
  <si>
    <t>Суха компостна купа</t>
  </si>
  <si>
    <t>624.txt</t>
  </si>
  <si>
    <t>Composted Soil</t>
  </si>
  <si>
    <t>堆肥土堆</t>
  </si>
  <si>
    <t>Компостований грунт</t>
  </si>
  <si>
    <t>625.txt</t>
  </si>
  <si>
    <t>Wet Compost Pile</t>
  </si>
  <si>
    <t>溼潤的堆肥堆</t>
  </si>
  <si>
    <t>湿润的堆肥堆</t>
  </si>
  <si>
    <t>Мокра компостна купа</t>
  </si>
  <si>
    <t>626.txt</t>
  </si>
  <si>
    <t>@ Planted Stakes</t>
  </si>
  <si>
    <t>627.txt</t>
  </si>
  <si>
    <t>Parts</t>
  </si>
  <si>
    <t>部件</t>
  </si>
  <si>
    <t>Запчастини</t>
  </si>
  <si>
    <t>628.txt</t>
  </si>
  <si>
    <t>Grizzly Bear</t>
  </si>
  <si>
    <t>棕熊</t>
  </si>
  <si>
    <t>Грізлі</t>
  </si>
  <si>
    <t>630.txt</t>
  </si>
  <si>
    <t>Bear Cave</t>
  </si>
  <si>
    <t>熊穴</t>
  </si>
  <si>
    <t>熊洞</t>
  </si>
  <si>
    <t>Ведмежа печера</t>
  </si>
  <si>
    <t>631.txt</t>
  </si>
  <si>
    <t>Hungry Grizzly Bear</t>
  </si>
  <si>
    <t>飢餓的棕熊</t>
  </si>
  <si>
    <t>饥饿的棕熊</t>
  </si>
  <si>
    <t>Голодний грізлі</t>
  </si>
  <si>
    <t>632.txt</t>
  </si>
  <si>
    <t>Shot Grizzly Bear#1</t>
  </si>
  <si>
    <t>被射中的棕熊#1</t>
  </si>
  <si>
    <t>Застрелений грізлі#1</t>
  </si>
  <si>
    <t>635.txt</t>
  </si>
  <si>
    <t>Shot Grizzly Bear#2</t>
  </si>
  <si>
    <t>被射中的棕熊#2</t>
  </si>
  <si>
    <t>Застрелений грізлі#2</t>
  </si>
  <si>
    <t>637.txt</t>
  </si>
  <si>
    <t>Shot Grizzly Bear#3</t>
  </si>
  <si>
    <t>被射中的棕熊#3</t>
  </si>
  <si>
    <t>Застрелений грізлі#3</t>
  </si>
  <si>
    <t>639.txt</t>
  </si>
  <si>
    <t>Dead Grizzly Bear#3</t>
  </si>
  <si>
    <t>棕熊屍體#3</t>
  </si>
  <si>
    <t>棕熊尸体#3</t>
  </si>
  <si>
    <t>Мертвий грізлі#3</t>
  </si>
  <si>
    <t>641.txt</t>
  </si>
  <si>
    <t>Dead Grizzly Bear#2</t>
  </si>
  <si>
    <t>棕熊屍體#2</t>
  </si>
  <si>
    <t>棕熊尸体#2</t>
  </si>
  <si>
    <t>Мертвий грізлі#2</t>
  </si>
  <si>
    <t>642.txt</t>
  </si>
  <si>
    <t>Dead Grizzly Bear#1</t>
  </si>
  <si>
    <t>棕熊屍體#1</t>
  </si>
  <si>
    <t>棕熊尸体#1</t>
  </si>
  <si>
    <t>Мертвий грізлі#1</t>
  </si>
  <si>
    <t>643.txt</t>
  </si>
  <si>
    <t>Dead Grizzly Bear#0</t>
  </si>
  <si>
    <t>棕熊屍體#0</t>
  </si>
  <si>
    <t>棕熊尸体#0</t>
  </si>
  <si>
    <t>Мертвий грізлі#0</t>
  </si>
  <si>
    <t>644.txt</t>
  </si>
  <si>
    <t>Dying Shot Grizzly Bear#3</t>
  </si>
  <si>
    <t>被射中的垂死棕熊#3</t>
  </si>
  <si>
    <t>Вмираючий постріл грізлі#3</t>
  </si>
  <si>
    <t>645.txt</t>
  </si>
  <si>
    <t>Fed Grizzly Bear</t>
  </si>
  <si>
    <t>餵飽的棕熊</t>
  </si>
  <si>
    <t>喂饱的棕熊</t>
  </si>
  <si>
    <t>Ситий грізлі</t>
  </si>
  <si>
    <t>646.txt</t>
  </si>
  <si>
    <t>@ Unshot Grizzly Bear</t>
  </si>
  <si>
    <t>647.txt</t>
  </si>
  <si>
    <t>Bear Cave#waking</t>
  </si>
  <si>
    <t>熊穴#waking</t>
  </si>
  <si>
    <t>熊洞#waking</t>
  </si>
  <si>
    <t>Ведмежа печера#waking</t>
  </si>
  <si>
    <t>648.txt</t>
  </si>
  <si>
    <t>Bear Cave#awake</t>
  </si>
  <si>
    <t>熊穴#awake</t>
  </si>
  <si>
    <t>熊洞#awake</t>
  </si>
  <si>
    <t>Ведмежа печера#awake</t>
  </si>
  <si>
    <t>649.txt</t>
  </si>
  <si>
    <t>Bear Cave#empty just left</t>
  </si>
  <si>
    <t>熊穴#empty just left</t>
  </si>
  <si>
    <t>熊洞#empty just left</t>
  </si>
  <si>
    <t>Ведмежа печера#empty just left</t>
  </si>
  <si>
    <t>650.txt</t>
  </si>
  <si>
    <t>Bear Cave#empty</t>
  </si>
  <si>
    <t>熊穴#empty</t>
  </si>
  <si>
    <t>熊洞#empty</t>
  </si>
  <si>
    <t>Ведмежа печера#empty</t>
  </si>
  <si>
    <t>653.txt</t>
  </si>
  <si>
    <t>Hungry Grizzly Bear#attacking</t>
  </si>
  <si>
    <t>飢餓的棕熊#attacking</t>
  </si>
  <si>
    <t>饥饿的棕熊#attacking</t>
  </si>
  <si>
    <t>Голодний грізлі#attacking</t>
  </si>
  <si>
    <t>654.txt</t>
  </si>
  <si>
    <t>Shot Grizzly Bear#1 attacking</t>
  </si>
  <si>
    <t>被射中的棕熊#1 attacking</t>
  </si>
  <si>
    <t>Постріл грізлі#1 attacking</t>
  </si>
  <si>
    <t>655.txt</t>
  </si>
  <si>
    <t>Shot Grizzly Bear#2 attacking</t>
  </si>
  <si>
    <t>被射中的棕熊#2 attacking</t>
  </si>
  <si>
    <t>Постріл грізлі#2 attacking</t>
  </si>
  <si>
    <t>656.txt</t>
  </si>
  <si>
    <t>Bear Skin Rug</t>
  </si>
  <si>
    <t>熊皮地毯</t>
  </si>
  <si>
    <t>Килимок зі шкіри ведмедя</t>
  </si>
  <si>
    <t>657.txt</t>
  </si>
  <si>
    <t>Skinned Bear#with hide</t>
  </si>
  <si>
    <t>剝皮的熊#with hide</t>
  </si>
  <si>
    <t>剥皮的熊#with hide</t>
  </si>
  <si>
    <t>Обдертий ведмідь#with hide</t>
  </si>
  <si>
    <t>658.txt</t>
  </si>
  <si>
    <t>Skinned Bear</t>
  </si>
  <si>
    <t>剝皮的熊</t>
  </si>
  <si>
    <t>剥皮的熊</t>
  </si>
  <si>
    <t>Обдертий ведмідь</t>
  </si>
  <si>
    <t>659.txt</t>
  </si>
  <si>
    <t>Empty Bucket</t>
  </si>
  <si>
    <t>空桶</t>
  </si>
  <si>
    <t>Порожнє відро</t>
  </si>
  <si>
    <t>660.txt</t>
  </si>
  <si>
    <t>Full Bucket of Water</t>
  </si>
  <si>
    <t>一桶水</t>
  </si>
  <si>
    <t>Повне відро води</t>
  </si>
  <si>
    <t>661.txt</t>
  </si>
  <si>
    <t>Stone Pile</t>
  </si>
  <si>
    <t>一堆圓石</t>
  </si>
  <si>
    <t>一堆圆石</t>
  </si>
  <si>
    <t>Кам'яна купа</t>
  </si>
  <si>
    <t>662.txt</t>
  </si>
  <si>
    <t>Shallow Well</t>
  </si>
  <si>
    <t>溼的紫杉樹剪枝盆栽</t>
  </si>
  <si>
    <t>浅井</t>
  </si>
  <si>
    <t>Мокра нарізка тиса в миску</t>
  </si>
  <si>
    <t>663.txt</t>
  </si>
  <si>
    <t>Deep Well</t>
  </si>
  <si>
    <t>深井</t>
  </si>
  <si>
    <t>664.txt</t>
  </si>
  <si>
    <t>Dry Shallow Well</t>
  </si>
  <si>
    <t>乾枯的淺井</t>
  </si>
  <si>
    <t>干枯的浅井</t>
  </si>
  <si>
    <t>Сухий неглибокий колодязь</t>
  </si>
  <si>
    <t>665.txt</t>
  </si>
  <si>
    <t>Dry Deep Well</t>
  </si>
  <si>
    <t>乾枯的深井</t>
  </si>
  <si>
    <t>干枯的深井</t>
  </si>
  <si>
    <t>Глибокий сухий колодязь</t>
  </si>
  <si>
    <t>666.txt</t>
  </si>
  <si>
    <t>Stanchion Kit</t>
  </si>
  <si>
    <t>井組件</t>
  </si>
  <si>
    <t>井组件</t>
  </si>
  <si>
    <t>Комплект стійки</t>
  </si>
  <si>
    <t>667.txt</t>
  </si>
  <si>
    <t>Bear Skin</t>
  </si>
  <si>
    <t>熊皮</t>
  </si>
  <si>
    <t>Шкура Ведмедя</t>
  </si>
  <si>
    <t>668.txt</t>
  </si>
  <si>
    <t>Boards with Bearskin</t>
  </si>
  <si>
    <t>带熊皮的木板</t>
  </si>
  <si>
    <t>669.txt</t>
  </si>
  <si>
    <t>@ Empty Portable Water Source</t>
  </si>
  <si>
    <t>670.txt</t>
  </si>
  <si>
    <t>Empty Cistern#just built</t>
  </si>
  <si>
    <t>空的蓄水池#just built</t>
  </si>
  <si>
    <t>Порожня цистерна#just built</t>
  </si>
  <si>
    <t>671.txt</t>
  </si>
  <si>
    <t>Full Cistern</t>
  </si>
  <si>
    <t>满的蓄水池</t>
  </si>
  <si>
    <t>672.txt</t>
  </si>
  <si>
    <t>Cistern</t>
  </si>
  <si>
    <t>蓄水池</t>
  </si>
  <si>
    <t>673.txt</t>
  </si>
  <si>
    <t>Empty Cistern</t>
  </si>
  <si>
    <t>空的蓄水池</t>
  </si>
  <si>
    <t>Порожня цистерна</t>
  </si>
  <si>
    <t>674.txt</t>
  </si>
  <si>
    <t>Limestone</t>
  </si>
  <si>
    <t>石灰石</t>
  </si>
  <si>
    <t>Вапняк</t>
  </si>
  <si>
    <t>675.txt</t>
  </si>
  <si>
    <t>Bowl with Limestone</t>
  </si>
  <si>
    <t>石灰石碗</t>
  </si>
  <si>
    <t>676.txt</t>
  </si>
  <si>
    <t>Bowl of Quicklime</t>
  </si>
  <si>
    <t>一碗生石灰</t>
  </si>
  <si>
    <t>Чаша з негашеним вапном</t>
  </si>
  <si>
    <t>677.txt</t>
  </si>
  <si>
    <t>Bowl of Plaster</t>
  </si>
  <si>
    <t>一碗石膏</t>
  </si>
  <si>
    <t>Миска з гіпсу</t>
  </si>
  <si>
    <t>678.txt</t>
  </si>
  <si>
    <t>Limestone Bowl in Wooden Tongs</t>
  </si>
  <si>
    <t>被木鉗夾著的一碗石灰石</t>
  </si>
  <si>
    <t>被木钳夹着的一碗石灰石</t>
  </si>
  <si>
    <t>Чаша з вапняку в дерев'яних щипцях</t>
  </si>
  <si>
    <t>679.txt</t>
  </si>
  <si>
    <t>Quicklime Bowl in Wooden Tongs</t>
  </si>
  <si>
    <t>被木鉗夾著的一碗生石灰</t>
  </si>
  <si>
    <t>被木钳夹着的一碗生石灰</t>
  </si>
  <si>
    <t>Чаша для негашеного вапна в дерев'яних щипцях</t>
  </si>
  <si>
    <t>680.txt</t>
  </si>
  <si>
    <t>Gold Vein</t>
  </si>
  <si>
    <t>金礦脈</t>
  </si>
  <si>
    <t>金矿脉</t>
  </si>
  <si>
    <t>Золота жила</t>
  </si>
  <si>
    <t>681.txt</t>
  </si>
  <si>
    <t>Gold Flakes#just mined</t>
  </si>
  <si>
    <t>金箔#just mined</t>
  </si>
  <si>
    <t>682.txt</t>
  </si>
  <si>
    <t>Hot Steel Mining Pick on Anvil</t>
  </si>
  <si>
    <t>铁砧上热的钢镐</t>
  </si>
  <si>
    <t>683.txt</t>
  </si>
  <si>
    <t>Steel Mining Pick on Anvil</t>
  </si>
  <si>
    <t>铁砧上的钢镐</t>
  </si>
  <si>
    <t>684.txt</t>
  </si>
  <si>
    <t>Steel Mining Pick</t>
  </si>
  <si>
    <t>沒有碗的枯死盆栽</t>
  </si>
  <si>
    <t>钢镐</t>
  </si>
  <si>
    <t>Мертвий бонсай з миски</t>
  </si>
  <si>
    <t>685.txt</t>
  </si>
  <si>
    <t>Steel Mining Pick Head</t>
  </si>
  <si>
    <t>鋼鎬頭</t>
  </si>
  <si>
    <t>钢镐头</t>
  </si>
  <si>
    <t>Головка видобутку сталі</t>
  </si>
  <si>
    <t>686.txt</t>
  </si>
  <si>
    <t>Bowl of Gold Flakes</t>
  </si>
  <si>
    <t>一碗金箔</t>
  </si>
  <si>
    <t>Чаша із золотими пластівцями</t>
  </si>
  <si>
    <t>687.txt</t>
  </si>
  <si>
    <t>Bowl with Gold Ingot</t>
  </si>
  <si>
    <t>一碗金錠</t>
  </si>
  <si>
    <t>一碗金锭</t>
  </si>
  <si>
    <t>Чаша із золотим зливком</t>
  </si>
  <si>
    <t>688.txt</t>
  </si>
  <si>
    <t>Gold Flakes#dumped</t>
  </si>
  <si>
    <t>金箔#dumped</t>
  </si>
  <si>
    <t>Золоті пластівці#dumped</t>
  </si>
  <si>
    <t>689.txt</t>
  </si>
  <si>
    <t>Gold Ingot</t>
  </si>
  <si>
    <t>金錠</t>
  </si>
  <si>
    <t>金锭</t>
  </si>
  <si>
    <t>Золотий злиток</t>
  </si>
  <si>
    <t>690.txt</t>
  </si>
  <si>
    <t>Bowl of Gold in Wooden Tongs</t>
  </si>
  <si>
    <t>被木鉗夾著的一碗金</t>
  </si>
  <si>
    <t>被木钳夹着的一碗金</t>
  </si>
  <si>
    <t>Чаша із золотом у дерев'яних щипцях</t>
  </si>
  <si>
    <t>691.txt</t>
  </si>
  <si>
    <t>Bowl with Gold Ingot in Wooden Tongs</t>
  </si>
  <si>
    <t>被木鉗夾著的一碗金錠</t>
  </si>
  <si>
    <t>被木钳夹着的一碗金锭</t>
  </si>
  <si>
    <t>Чаша із золотим зливком у дерев'яних щипцях</t>
  </si>
  <si>
    <t>692.txt</t>
  </si>
  <si>
    <t>Crown Blank</t>
  </si>
  <si>
    <t>王冠毛坯</t>
  </si>
  <si>
    <t>素王冠</t>
  </si>
  <si>
    <t>Заготовка корони</t>
  </si>
  <si>
    <t>693.txt</t>
  </si>
  <si>
    <t>Carrot Crown</t>
  </si>
  <si>
    <t>胡蘿蔔王冠</t>
  </si>
  <si>
    <t>胡萝卜王冠</t>
  </si>
  <si>
    <t>Морквяна корона</t>
  </si>
  <si>
    <t>694.txt</t>
  </si>
  <si>
    <t>Leaf Crown</t>
  </si>
  <si>
    <t>樹葉王冠</t>
  </si>
  <si>
    <t>树叶王冠</t>
  </si>
  <si>
    <t>Корона листя</t>
  </si>
  <si>
    <t>695.txt</t>
  </si>
  <si>
    <t>Wolf Crown</t>
  </si>
  <si>
    <t>狼王冠</t>
  </si>
  <si>
    <t>Вовча корона</t>
  </si>
  <si>
    <t>696.txt</t>
  </si>
  <si>
    <t>@ New Scrap Steel</t>
  </si>
  <si>
    <t>697.txt</t>
  </si>
  <si>
    <t>Crown Blank with Leaf</t>
  </si>
  <si>
    <t>王冠坯和樹葉</t>
  </si>
  <si>
    <t>素王冠和树叶</t>
  </si>
  <si>
    <t>Заготовка корони з листям</t>
  </si>
  <si>
    <t>698.txt</t>
  </si>
  <si>
    <t>Crown Blank with Carrot</t>
  </si>
  <si>
    <t>王冠坯和胡蘿蔔</t>
  </si>
  <si>
    <t>素王冠和胡萝卜</t>
  </si>
  <si>
    <t>Заготовка корони з морквою</t>
  </si>
  <si>
    <t>699.txt</t>
  </si>
  <si>
    <t>Crown Blank with Wolf Skin</t>
  </si>
  <si>
    <t>王冠坯和狼皮</t>
  </si>
  <si>
    <t>素王冠和狼皮</t>
  </si>
  <si>
    <t>Заготовка корони з вовчою шкірою</t>
  </si>
  <si>
    <t>700.txt</t>
  </si>
  <si>
    <t>Leaf Crown with Leaf</t>
  </si>
  <si>
    <t>樹葉王冠和樹葉</t>
  </si>
  <si>
    <t>树叶王冠和树叶</t>
  </si>
  <si>
    <t>Лист корона з листом</t>
  </si>
  <si>
    <t>701.txt</t>
  </si>
  <si>
    <t>Carrot Crown with Carrot</t>
  </si>
  <si>
    <t>胡蘿蔔王冠和胡蘿蔔</t>
  </si>
  <si>
    <t>胡萝卜王冠和胡萝卜</t>
  </si>
  <si>
    <t>Морквяна корона з морквою</t>
  </si>
  <si>
    <t>702.txt</t>
  </si>
  <si>
    <t>Wolf Crown with Wolf Skin</t>
  </si>
  <si>
    <t>狼王冠和狼皮</t>
  </si>
  <si>
    <t>Вовча корона з вовчою шкурою</t>
  </si>
  <si>
    <t>703.txt</t>
  </si>
  <si>
    <t>Penguin</t>
  </si>
  <si>
    <t>企鵝</t>
  </si>
  <si>
    <t>企鹅</t>
  </si>
  <si>
    <t>Пінгвін</t>
  </si>
  <si>
    <t>705.txt</t>
  </si>
  <si>
    <t>Penguin#slide</t>
  </si>
  <si>
    <t>企鵝#slide</t>
  </si>
  <si>
    <t>企鹅#slide</t>
  </si>
  <si>
    <t>Пінгвін#slide</t>
  </si>
  <si>
    <t>706.txt</t>
  </si>
  <si>
    <t>Ice Hole</t>
  </si>
  <si>
    <t>冰洞</t>
  </si>
  <si>
    <t>ополонка</t>
  </si>
  <si>
    <t>707.txt</t>
  </si>
  <si>
    <t>Antarctic Fur Seal</t>
  </si>
  <si>
    <t>南極海狗</t>
  </si>
  <si>
    <t>南极海狗</t>
  </si>
  <si>
    <t>Антарктичний морський котик</t>
  </si>
  <si>
    <t>708.txt</t>
  </si>
  <si>
    <t>Clubbed Seal</t>
  </si>
  <si>
    <t>海狗屍體</t>
  </si>
  <si>
    <t>海狗尸体</t>
  </si>
  <si>
    <t>Тюлень булавовидний</t>
  </si>
  <si>
    <t>709.txt</t>
  </si>
  <si>
    <t>Skinned Seal#with fur</t>
  </si>
  <si>
    <t>剝皮海狗#with fur</t>
  </si>
  <si>
    <t>剥皮海狗#with fur</t>
  </si>
  <si>
    <t>Тюлень #with fur</t>
  </si>
  <si>
    <t>710.txt</t>
  </si>
  <si>
    <t>Skinned Seal#no fur</t>
  </si>
  <si>
    <t>剝皮海狗#no fur</t>
  </si>
  <si>
    <t>剥皮海狗#no fur</t>
  </si>
  <si>
    <t>Тюлень #no fur</t>
  </si>
  <si>
    <t>711.txt</t>
  </si>
  <si>
    <t>Seal Skin</t>
  </si>
  <si>
    <t>海狗皮</t>
  </si>
  <si>
    <t>Тюленька шкіра</t>
  </si>
  <si>
    <t>712.txt</t>
  </si>
  <si>
    <t>Sealskin Coat</t>
  </si>
  <si>
    <t>海狗皮棉襖</t>
  </si>
  <si>
    <t>海狗皮棉袄</t>
  </si>
  <si>
    <t>Пальто з тюленячої шкіри</t>
  </si>
  <si>
    <t>713.txt</t>
  </si>
  <si>
    <t>Indigo</t>
  </si>
  <si>
    <t>靛藍</t>
  </si>
  <si>
    <t>靛蓝</t>
  </si>
  <si>
    <t>Індиго</t>
  </si>
  <si>
    <t>714.txt</t>
  </si>
  <si>
    <t>Rose Madder</t>
  </si>
  <si>
    <t>玫瑰茜草</t>
  </si>
  <si>
    <t>Роза Меддер</t>
  </si>
  <si>
    <t>715.txt</t>
  </si>
  <si>
    <t>Rose Madder Root</t>
  </si>
  <si>
    <t>玫瑰茜草根</t>
  </si>
  <si>
    <t>Корінь марени троянди</t>
  </si>
  <si>
    <t>716.txt</t>
  </si>
  <si>
    <t>Indigo Bundle</t>
  </si>
  <si>
    <t>靛藍捆</t>
  </si>
  <si>
    <t>靛蓝捆</t>
  </si>
  <si>
    <t>Пакет індиго</t>
  </si>
  <si>
    <t>717.txt</t>
  </si>
  <si>
    <t>Ice Hole#seal in</t>
  </si>
  <si>
    <t>帶芒果樹剪枝的剪刀</t>
  </si>
  <si>
    <t>冰洞#seal in</t>
  </si>
  <si>
    <t>Ножиці з нарізкою манго</t>
  </si>
  <si>
    <t>718.txt</t>
  </si>
  <si>
    <t>Ice Hole#penguin in</t>
  </si>
  <si>
    <t>芒果樹剪枝</t>
  </si>
  <si>
    <t>冰洞#penguin in</t>
  </si>
  <si>
    <t>Зрізання мангового дерева</t>
  </si>
  <si>
    <t>719.txt</t>
  </si>
  <si>
    <t>Ice Hole#seal out</t>
  </si>
  <si>
    <t>冰洞#seal out</t>
  </si>
  <si>
    <t>Крижана нора#seal out</t>
  </si>
  <si>
    <t>720.txt</t>
  </si>
  <si>
    <t>Ice Hole#penguin out</t>
  </si>
  <si>
    <t>冰洞#penguin out</t>
  </si>
  <si>
    <t>Крижана нора#penguin out</t>
  </si>
  <si>
    <t>721.txt</t>
  </si>
  <si>
    <t>Ice Hole#animal just left</t>
  </si>
  <si>
    <t>冰洞#animal just left</t>
  </si>
  <si>
    <t>Крижана нора##animal just left</t>
  </si>
  <si>
    <t>722.txt</t>
  </si>
  <si>
    <t>@ Shallow Digger</t>
  </si>
  <si>
    <t>723.txt</t>
  </si>
  <si>
    <t>@ Rough Cutter</t>
  </si>
  <si>
    <t>724.txt</t>
  </si>
  <si>
    <t>Boards with Disk</t>
  </si>
  <si>
    <t>木板和原木片</t>
  </si>
  <si>
    <t>木板和圆木片</t>
  </si>
  <si>
    <t>Плати з диском</t>
  </si>
  <si>
    <t>725.txt</t>
  </si>
  <si>
    <t>Indigo Wool Sweater</t>
  </si>
  <si>
    <t>靛藍羊毛衫</t>
  </si>
  <si>
    <t>靛蓝色羊毛杉</t>
  </si>
  <si>
    <t>Вовняний светр кольору індиго</t>
  </si>
  <si>
    <t>726.txt</t>
  </si>
  <si>
    <t>Red Wool Sweater</t>
  </si>
  <si>
    <t>玫瑰紅羊毛衫</t>
  </si>
  <si>
    <t>玫瑰色羊毛衫</t>
  </si>
  <si>
    <t>Червоний вовняний светр</t>
  </si>
  <si>
    <t>729.txt</t>
  </si>
  <si>
    <t>Alum</t>
  </si>
  <si>
    <t>明礬</t>
  </si>
  <si>
    <t>明矾</t>
  </si>
  <si>
    <t>Галун</t>
  </si>
  <si>
    <t>730.txt</t>
  </si>
  <si>
    <t>Simmering Water</t>
  </si>
  <si>
    <t>沸水</t>
  </si>
  <si>
    <t>Кипляча вода</t>
  </si>
  <si>
    <t>731.txt</t>
  </si>
  <si>
    <t>Simmering Dye Mordant</t>
  </si>
  <si>
    <t>煮沸的染料媒染劑</t>
  </si>
  <si>
    <t>煮沸的染料媒染剂</t>
  </si>
  <si>
    <t>Кипляча морилка</t>
  </si>
  <si>
    <t>732.txt</t>
  </si>
  <si>
    <t>Ashes with Bowl</t>
  </si>
  <si>
    <t>灰燼上的碗</t>
  </si>
  <si>
    <t>灰烬上的碗</t>
  </si>
  <si>
    <t>Попіл з мискою</t>
  </si>
  <si>
    <t>733.txt</t>
  </si>
  <si>
    <t>Simmering Indigo Dye</t>
  </si>
  <si>
    <t>煮沸的靛藍染料</t>
  </si>
  <si>
    <t>煮沸的靛蓝染料</t>
  </si>
  <si>
    <t>Киплячий барвник індиго</t>
  </si>
  <si>
    <t>734.txt</t>
  </si>
  <si>
    <t>Simmering Rose Madder Dye</t>
  </si>
  <si>
    <t>煮沸的玫瑰紅染料</t>
  </si>
  <si>
    <t>煮沸的玫瑰茜草染料</t>
  </si>
  <si>
    <t>Кипляча троянда</t>
  </si>
  <si>
    <t>735.txt</t>
  </si>
  <si>
    <t>@ Simmering Liquid</t>
  </si>
  <si>
    <t>736.txt</t>
  </si>
  <si>
    <t>Dye-Ready Wool Booty</t>
  </si>
  <si>
    <t>準備染色的羊毛鞋</t>
  </si>
  <si>
    <t>准备染色的羊毛鞋</t>
  </si>
  <si>
    <t>Готова до фарбування вовна</t>
  </si>
  <si>
    <t>737.txt</t>
  </si>
  <si>
    <t>Dye-Ready Wool Hat</t>
  </si>
  <si>
    <t>準備染色的羊毛帽</t>
  </si>
  <si>
    <t>准备染色的羊毛帽</t>
  </si>
  <si>
    <t>Вовняна шапка, готова до фарбування</t>
  </si>
  <si>
    <t>738.txt</t>
  </si>
  <si>
    <t>Dye-Ready Wool Sweater</t>
  </si>
  <si>
    <t>準備染色的羊毛衫</t>
  </si>
  <si>
    <t>准备染色的羊毛衫</t>
  </si>
  <si>
    <t>Фарбований вовняний светр</t>
  </si>
  <si>
    <t>739.txt</t>
  </si>
  <si>
    <t>Indigo Wool Booty</t>
  </si>
  <si>
    <t>靛藍羊毛鞋</t>
  </si>
  <si>
    <t>靛蓝色羊毛鞋</t>
  </si>
  <si>
    <t>740.txt</t>
  </si>
  <si>
    <t>Red Wool Booty</t>
  </si>
  <si>
    <t>玫瑰紅羊毛鞋</t>
  </si>
  <si>
    <t>玫瑰色羊毛鞋</t>
  </si>
  <si>
    <t>Червона вовняна попа</t>
  </si>
  <si>
    <t>741.txt</t>
  </si>
  <si>
    <t>Red Wool Hat</t>
  </si>
  <si>
    <t>玫瑰紅羊毛帽</t>
  </si>
  <si>
    <t>玫瑰色羊毛帽</t>
  </si>
  <si>
    <t>Червоний вовняний капелюх</t>
  </si>
  <si>
    <t>742.txt</t>
  </si>
  <si>
    <t>Indigo Wool Hat</t>
  </si>
  <si>
    <t>靛藍羊毛帽</t>
  </si>
  <si>
    <t>靛蓝色羊毛帽</t>
  </si>
  <si>
    <t>Вовняний капелюх кольору індиго</t>
  </si>
  <si>
    <t>749.txt</t>
  </si>
  <si>
    <t>Yew Bow#just murdered</t>
  </si>
  <si>
    <t>一碗黃色染料</t>
  </si>
  <si>
    <t>紫衫弓#just murdered</t>
  </si>
  <si>
    <t>Чаша з індійським жовтим пігментом</t>
  </si>
  <si>
    <t>750.txt</t>
  </si>
  <si>
    <t>Knife #just used</t>
  </si>
  <si>
    <t>刀 #just used</t>
  </si>
  <si>
    <t>752.txt</t>
  </si>
  <si>
    <t>Murder Grave# origGrave fromDeath</t>
  </si>
  <si>
    <t>被謀殺的屍體# origGrave fromDeath</t>
  </si>
  <si>
    <t>被杀的尸体# origGrave fromDeath</t>
  </si>
  <si>
    <t>Могила вбивства# origGrave fromDeath</t>
  </si>
  <si>
    <t>753.txt</t>
  </si>
  <si>
    <t>Adobe Rubble</t>
  </si>
  <si>
    <t>一桶牛奶漆</t>
  </si>
  <si>
    <t>土坯墙碎屑</t>
  </si>
  <si>
    <t>Відро молочної фарби</t>
  </si>
  <si>
    <t>754.txt</t>
  </si>
  <si>
    <t>Damp Adobe Wall</t>
  </si>
  <si>
    <t>潮湿的土坯墙</t>
  </si>
  <si>
    <t>755.txt</t>
  </si>
  <si>
    <t>Soft Adobe Wall</t>
  </si>
  <si>
    <t>未上石膏的土坯墙</t>
  </si>
  <si>
    <t>756.txt</t>
  </si>
  <si>
    <t>757.txt</t>
  </si>
  <si>
    <t>758.txt</t>
  </si>
  <si>
    <t>759.txt</t>
  </si>
  <si>
    <t>760.txt</t>
  </si>
  <si>
    <t>Dead Tree</t>
  </si>
  <si>
    <t>枯死的樹</t>
  </si>
  <si>
    <t>枯死的树</t>
  </si>
  <si>
    <t>Мертве дерево</t>
  </si>
  <si>
    <t>761.txt</t>
  </si>
  <si>
    <t>Barrel Cactus</t>
  </si>
  <si>
    <t>仙人掌</t>
  </si>
  <si>
    <t>Бочковий кактус</t>
  </si>
  <si>
    <t>762.txt</t>
  </si>
  <si>
    <t>Flowering Barrel Cactus</t>
  </si>
  <si>
    <t>開花的仙人掌</t>
  </si>
  <si>
    <t>开花的仙人掌</t>
  </si>
  <si>
    <t>Квітучий бочковий кактус</t>
  </si>
  <si>
    <t>763.txt</t>
  </si>
  <si>
    <t>Fruiting Barrel Cactus</t>
  </si>
  <si>
    <t>結果的仙人掌</t>
  </si>
  <si>
    <t>结果的仙人掌</t>
  </si>
  <si>
    <t>Плодоносний бочковий кактус</t>
  </si>
  <si>
    <t>764.txt</t>
  </si>
  <si>
    <t>Rattle Snake</t>
  </si>
  <si>
    <t>響尾蛇</t>
  </si>
  <si>
    <t>响尾蛇</t>
  </si>
  <si>
    <t>Гримуча змія</t>
  </si>
  <si>
    <t>765.txt</t>
  </si>
  <si>
    <t>Snake Skin</t>
  </si>
  <si>
    <t>蛇皮</t>
  </si>
  <si>
    <t>Зміїна шкіра</t>
  </si>
  <si>
    <t>766.txt</t>
  </si>
  <si>
    <t>Snake Skin Boot</t>
  </si>
  <si>
    <t>蛇皮靴</t>
  </si>
  <si>
    <t>Черевик зі шкіри змії</t>
  </si>
  <si>
    <t>767.txt</t>
  </si>
  <si>
    <t>Lasso</t>
  </si>
  <si>
    <t>套索</t>
  </si>
  <si>
    <t>768.txt</t>
  </si>
  <si>
    <t>Cactus Fruit</t>
  </si>
  <si>
    <t>仙人掌果肉</t>
  </si>
  <si>
    <t>Плід кактуса</t>
  </si>
  <si>
    <t>769.txt</t>
  </si>
  <si>
    <t>(outdated) Wild Horse</t>
  </si>
  <si>
    <t>（已过时）野马</t>
  </si>
  <si>
    <t>770.txt</t>
  </si>
  <si>
    <t>(outdated) Riding Horse</t>
  </si>
  <si>
    <t>（已过时）骑马</t>
  </si>
  <si>
    <t>771.txt</t>
  </si>
  <si>
    <t>(outdated) Captured Horse</t>
  </si>
  <si>
    <t>（已过时）捕获的马</t>
  </si>
  <si>
    <t>772.txt</t>
  </si>
  <si>
    <t>(outdated) Hitched Wild Horse</t>
  </si>
  <si>
    <t>（已过时）拴着的野马</t>
  </si>
  <si>
    <t>Корова, отруєна зневодненим урушіолом</t>
  </si>
  <si>
    <t>773.txt</t>
  </si>
  <si>
    <t>(outdated) Hitched Tame Horse</t>
  </si>
  <si>
    <t>（已过时）拴着驯服的马</t>
  </si>
  <si>
    <t>774.txt</t>
  </si>
  <si>
    <t>(outdated) Hitched Riding Horse</t>
  </si>
  <si>
    <t>（已过时）拴着的骑马</t>
  </si>
  <si>
    <t>Сухе родюче домашнє мангове дерево</t>
  </si>
  <si>
    <t>775.txt</t>
  </si>
  <si>
    <t>(outdated) Escaped Riding Horse</t>
  </si>
  <si>
    <t>（已过时）逃脱的骑马</t>
  </si>
  <si>
    <t>Вологе родюче домашнє мангове дерево</t>
  </si>
  <si>
    <t>776.txt</t>
  </si>
  <si>
    <t>Sheepskin Saddle</t>
  </si>
  <si>
    <t>羊皮鞍</t>
  </si>
  <si>
    <t>羊皮马鞍</t>
  </si>
  <si>
    <t>Сідло з овчини</t>
  </si>
  <si>
    <t>778.txt</t>
  </si>
  <si>
    <t>(outdated) Horse-Drawn Cart</t>
  </si>
  <si>
    <t>（已过时）马车</t>
  </si>
  <si>
    <t>779.txt</t>
  </si>
  <si>
    <t>(outdated) Hitched Horse-Drawn Cart</t>
  </si>
  <si>
    <t>（已过时）拴着的马车</t>
  </si>
  <si>
    <t>Туле Пні з кошиком</t>
  </si>
  <si>
    <t>780.txt</t>
  </si>
  <si>
    <t>(outdated) Escaped Horse-Drawn Cart</t>
  </si>
  <si>
    <t>（已过时）逃跑的马车</t>
  </si>
  <si>
    <t>Підручник Stone# tutorial 1921</t>
  </si>
  <si>
    <t>782.txt</t>
  </si>
  <si>
    <t>Filled Empty Trash Pit</t>
  </si>
  <si>
    <t>被填滿的空垃圾堆</t>
  </si>
  <si>
    <t>被填满的空垃圾堆</t>
  </si>
  <si>
    <t>Заповнена порожня сміттєва яма</t>
  </si>
  <si>
    <t>783.txt</t>
  </si>
  <si>
    <t>@ Partial Adobe Build</t>
  </si>
  <si>
    <t>784.txt</t>
  </si>
  <si>
    <t>Stone Pile#rubble</t>
  </si>
  <si>
    <t>一堆圓石#rubble</t>
  </si>
  <si>
    <t>一堆圆石#rubble</t>
  </si>
  <si>
    <t>Кам'яна купа#rubble</t>
  </si>
  <si>
    <t>785.txt</t>
  </si>
  <si>
    <t>@ Stone Rubble Sources</t>
  </si>
  <si>
    <t>787.txt</t>
  </si>
  <si>
    <t>Worm Pit</t>
  </si>
  <si>
    <t>蠕蟲坑</t>
  </si>
  <si>
    <t>蚯蚓坑</t>
  </si>
  <si>
    <t>Хробакова яма</t>
  </si>
  <si>
    <t>788.txt</t>
  </si>
  <si>
    <t>Wormless Soil Pit</t>
  </si>
  <si>
    <t>無蟲的土坑</t>
  </si>
  <si>
    <t>无蚯蚓的土坑</t>
  </si>
  <si>
    <t>Безчервична ґрунтова яма</t>
  </si>
  <si>
    <t>789.txt</t>
  </si>
  <si>
    <t>Worm</t>
  </si>
  <si>
    <t>蠕蟲</t>
  </si>
  <si>
    <t>蚯蚓</t>
  </si>
  <si>
    <t>Черв'як</t>
  </si>
  <si>
    <t>790.txt</t>
  </si>
  <si>
    <t>Composting Compost Pile</t>
  </si>
  <si>
    <t>堆肥中的堆肥堆</t>
  </si>
  <si>
    <t>Компостування Компостна купа</t>
  </si>
  <si>
    <t>791.txt</t>
  </si>
  <si>
    <t>Monolith</t>
  </si>
  <si>
    <t>巨石碑</t>
  </si>
  <si>
    <t>Моноліт</t>
  </si>
  <si>
    <t>792.txt</t>
  </si>
  <si>
    <t>Full Monolith</t>
  </si>
  <si>
    <t>填滿的巨石碑</t>
  </si>
  <si>
    <t>填满的巨石碑</t>
  </si>
  <si>
    <t>Повний моноліт</t>
  </si>
  <si>
    <t>793.txt</t>
  </si>
  <si>
    <t>Oddity</t>
  </si>
  <si>
    <t>奇觀</t>
  </si>
  <si>
    <t>奇观</t>
  </si>
  <si>
    <t>Дивність</t>
  </si>
  <si>
    <t>794.txt</t>
  </si>
  <si>
    <t>(outdated) Crowned Wild Horse</t>
  </si>
  <si>
    <t>梅花A</t>
  </si>
  <si>
    <t>（过时）加冕野马</t>
  </si>
  <si>
    <t>Туз треф</t>
  </si>
  <si>
    <t>795.txt</t>
  </si>
  <si>
    <t>(outdated) Crowned Captured Horse</t>
  </si>
  <si>
    <t>梅花2</t>
  </si>
  <si>
    <t>（已过时）加冕捕获的马</t>
  </si>
  <si>
    <t>Два Трефи</t>
  </si>
  <si>
    <t>796.txt</t>
  </si>
  <si>
    <t>梅花3</t>
  </si>
  <si>
    <t>Трефова трійка</t>
  </si>
  <si>
    <t>797.txt</t>
  </si>
  <si>
    <t>Stab Wound</t>
  </si>
  <si>
    <t>梅花4</t>
  </si>
  <si>
    <t>刀伤</t>
  </si>
  <si>
    <t>Трефова четвірка</t>
  </si>
  <si>
    <t>798.txt</t>
  </si>
  <si>
    <t>Arrow Wound</t>
  </si>
  <si>
    <t>箭矢傷</t>
  </si>
  <si>
    <t>箭矢伤</t>
  </si>
  <si>
    <t>Поранення стріли</t>
  </si>
  <si>
    <t>799.txt</t>
  </si>
  <si>
    <t>Staked Gooseberry Bush</t>
  </si>
  <si>
    <t>被固定的醋栗叢</t>
  </si>
  <si>
    <t>被固定的醋栗丛</t>
  </si>
  <si>
    <t>Ставлений кущ агрусу</t>
  </si>
  <si>
    <t>800.txt</t>
  </si>
  <si>
    <t>Moist Staked Gooseberry Bush</t>
  </si>
  <si>
    <t>湿润的醋栗丛</t>
  </si>
  <si>
    <t>801.txt</t>
  </si>
  <si>
    <t>Dug Gooseberry Bush with Stakes</t>
  </si>
  <si>
    <t>揭示卡</t>
  </si>
  <si>
    <t>被挖起的醋栗桩</t>
  </si>
  <si>
    <t>Розкрита картка</t>
  </si>
  <si>
    <t>802.txt</t>
  </si>
  <si>
    <t>Raw Mutton Pie</t>
  </si>
  <si>
    <t>生羊肉派</t>
  </si>
  <si>
    <t>生的羊肉派</t>
  </si>
  <si>
    <t>Пиріг із сирої баранини</t>
  </si>
  <si>
    <t>803.txt</t>
  </si>
  <si>
    <t>Cooked Mutton Pie</t>
  </si>
  <si>
    <t>烤羊肉派</t>
  </si>
  <si>
    <t>烤熟的羊肉派</t>
  </si>
  <si>
    <t>Приготований пиріг з баранини</t>
  </si>
  <si>
    <t>804.txt</t>
  </si>
  <si>
    <t>Burdock</t>
  </si>
  <si>
    <t>牛蒡</t>
  </si>
  <si>
    <t>牛蒡根</t>
  </si>
  <si>
    <t>лопух</t>
  </si>
  <si>
    <t>805.txt</t>
  </si>
  <si>
    <t>Wild Onion</t>
  </si>
  <si>
    <t>野洋蔥</t>
  </si>
  <si>
    <t>野洋葱</t>
  </si>
  <si>
    <t>Дика цибуля</t>
  </si>
  <si>
    <t>806.txt</t>
  </si>
  <si>
    <t>Dug Burdock</t>
  </si>
  <si>
    <t>被挖起的牛蒡</t>
  </si>
  <si>
    <t>Викопаний лопух</t>
  </si>
  <si>
    <t>807.txt</t>
  </si>
  <si>
    <t>Burdock Root</t>
  </si>
  <si>
    <t>牛蒡塊根</t>
  </si>
  <si>
    <t>Корінь лопуха</t>
  </si>
  <si>
    <t>808.txt</t>
  </si>
  <si>
    <t>809.txt</t>
  </si>
  <si>
    <t>Tower Bell</t>
  </si>
  <si>
    <t>鍾</t>
  </si>
  <si>
    <t>塔钟</t>
  </si>
  <si>
    <t>Баштовий дзвін</t>
  </si>
  <si>
    <t>810.txt</t>
  </si>
  <si>
    <t>Two Gold Ingots</t>
  </si>
  <si>
    <t>兩塊金錠</t>
  </si>
  <si>
    <t>两块金锭</t>
  </si>
  <si>
    <t>Два золотих злитка</t>
  </si>
  <si>
    <t>811.txt</t>
  </si>
  <si>
    <t>Split Big Rock with Chisel</t>
  </si>
  <si>
    <t>鑿子與裂開的大石塊</t>
  </si>
  <si>
    <t>凿子与裂开的大石块</t>
  </si>
  <si>
    <t>Розколоти великий камінь долотом</t>
  </si>
  <si>
    <t>812.txt</t>
  </si>
  <si>
    <t>Stone Block</t>
  </si>
  <si>
    <t>石方塊</t>
  </si>
  <si>
    <t>石块</t>
  </si>
  <si>
    <t>Кам'яна брила</t>
  </si>
  <si>
    <t>813.txt</t>
  </si>
  <si>
    <t>Stone Block with Chisel</t>
  </si>
  <si>
    <t>鑿子與石方塊</t>
  </si>
  <si>
    <t>石块与凿子</t>
  </si>
  <si>
    <t>Кам'яна брила з долотом</t>
  </si>
  <si>
    <t>814.txt</t>
  </si>
  <si>
    <t>Half Bell Tower Base</t>
  </si>
  <si>
    <t>鐘塔基座的一半</t>
  </si>
  <si>
    <t>半钟楼底座</t>
  </si>
  <si>
    <t>Половина основи дзвіниці</t>
  </si>
  <si>
    <t>815.txt</t>
  </si>
  <si>
    <t>Unstable Bell Tower Base#1.2</t>
  </si>
  <si>
    <t>不穩定的鐘塔基座#1.2</t>
  </si>
  <si>
    <t>不稳定的钟楼底座#1.2</t>
  </si>
  <si>
    <t>Нестабільна основа дзвіниці#1.2</t>
  </si>
  <si>
    <t>816.txt</t>
  </si>
  <si>
    <t>Stable Bell Tower Base#1</t>
  </si>
  <si>
    <t>穩定的鐘塔基座#1</t>
  </si>
  <si>
    <t>稳定的钟楼底座#1</t>
  </si>
  <si>
    <t>Стабільна основа дзвіниці#1</t>
  </si>
  <si>
    <t>818.txt</t>
  </si>
  <si>
    <t>Unstable Bell Tower Base#2.2 monumentStep</t>
  </si>
  <si>
    <t>不穩定的鐘塔基座#2.2 monumentStep</t>
  </si>
  <si>
    <t>不稳定的钟楼底座#2.2 monumentStep</t>
  </si>
  <si>
    <t>Нестабільна основа дзвіниці#2.2 monumentStep</t>
  </si>
  <si>
    <t>819.txt</t>
  </si>
  <si>
    <t>Unstable Bell Tower Base#2.1 monumentStep</t>
  </si>
  <si>
    <t>不穩定的鐘塔基座#2.1 monumentStep</t>
  </si>
  <si>
    <t>不稳定的钟楼底座#2.1 monumentStep</t>
  </si>
  <si>
    <t>Нестабільна основа дзвіниці#2.1 monumentStep</t>
  </si>
  <si>
    <t>820.txt</t>
  </si>
  <si>
    <t>Stable Bell Tower Base#2</t>
  </si>
  <si>
    <t>穩定的鐘塔基座#2</t>
  </si>
  <si>
    <t>稳定的钟楼底座#2</t>
  </si>
  <si>
    <t>Стабільна база#2</t>
  </si>
  <si>
    <t>822.txt</t>
  </si>
  <si>
    <t>Unstable Bell Tower Base#3.1 monumentStep</t>
  </si>
  <si>
    <t>不穩定的鐘塔基座#3.1 monumentStep</t>
  </si>
  <si>
    <t>不稳定的钟楼底座#3.1 monumentStep</t>
  </si>
  <si>
    <t>Нестабільна основа дзвіниці #3.1 monumentStep</t>
  </si>
  <si>
    <t>823.txt</t>
  </si>
  <si>
    <t>Unstable Bell Tower Base#3.2 monumentStep</t>
  </si>
  <si>
    <t>不穩定的鐘塔基座#3.2 monumentStep</t>
  </si>
  <si>
    <t>不稳定的钟楼底座#3.2 monumentStep</t>
  </si>
  <si>
    <t>Нестабільна основа дзвіниці#3.2 monumentStep</t>
  </si>
  <si>
    <t>824.txt</t>
  </si>
  <si>
    <t>Stable Bell Tower Base#3</t>
  </si>
  <si>
    <t>穩定的鐘塔基座#3</t>
  </si>
  <si>
    <t>稳定的钟楼底座#3</t>
  </si>
  <si>
    <t>Стабільна база#3</t>
  </si>
  <si>
    <t>825.txt</t>
  </si>
  <si>
    <t>Unstable Bell Tower Base#4.1 monumentStep</t>
  </si>
  <si>
    <t>不穩定的鐘塔基座#4.1 monumentStep</t>
  </si>
  <si>
    <t>不稳定的钟塔基座#4.1 monumentStep</t>
  </si>
  <si>
    <t>Нестабільна основа дзвіниці#4.1 monumentStep</t>
  </si>
  <si>
    <t>826.txt</t>
  </si>
  <si>
    <t>Unstable Bell Tower Base#4.2 monumentStep</t>
  </si>
  <si>
    <t>不穩定的鐘塔基座#4.2 monumentStep</t>
  </si>
  <si>
    <t>不稳定的钟塔基座#4.2 monumentStep</t>
  </si>
  <si>
    <t>Нестабільна основа дзвіниці#4.2 monumentStep</t>
  </si>
  <si>
    <t>827.txt</t>
  </si>
  <si>
    <t>Stable Bell Tower Base#4</t>
  </si>
  <si>
    <t>穩定的鐘塔基座#4</t>
  </si>
  <si>
    <t>稳定的钟塔基座#4</t>
  </si>
  <si>
    <t>Стабільна основа дзвіниці#4</t>
  </si>
  <si>
    <t>828.txt</t>
  </si>
  <si>
    <t>Unstable Bell Tower Base#5.1 monumentStep</t>
  </si>
  <si>
    <t>不穩定的鐘塔基座#5.1 monumentStep</t>
  </si>
  <si>
    <t>不稳定的钟塔基座#5.1 monumentStep</t>
  </si>
  <si>
    <t>Нестабільна основа дзвіниці#5.1 monumentStep</t>
  </si>
  <si>
    <t>829.txt</t>
  </si>
  <si>
    <t>Unstable Bell Tower Base#5.2 monumentStep</t>
  </si>
  <si>
    <t>不穩定的鐘塔基座#5.2 monumentStep</t>
  </si>
  <si>
    <t>不稳定的钟塔基座#5.2 monumentStep</t>
  </si>
  <si>
    <t>Нестабільна основа дзвіниці#5.2 monumentStep</t>
  </si>
  <si>
    <t>830.txt</t>
  </si>
  <si>
    <t>Stable Bell Tower Base#5</t>
  </si>
  <si>
    <t>穩定的鐘塔基座#5</t>
  </si>
  <si>
    <t>稳定的钟塔基座#5</t>
  </si>
  <si>
    <t>Стабільна база#5</t>
  </si>
  <si>
    <t>831.txt</t>
  </si>
  <si>
    <t>Unstable Bell Tower Base#6.1 monumentStep</t>
  </si>
  <si>
    <t>不穩定的鐘塔基座#6.1 monumentStep</t>
  </si>
  <si>
    <t>不稳定的钟塔基座#6.1 monumentStep</t>
  </si>
  <si>
    <t>Нестабільна основа дзвіниці#6.1 monumentStep</t>
  </si>
  <si>
    <t>832.txt</t>
  </si>
  <si>
    <t>Unstable Bell Tower Base#6.2 monumentStep</t>
  </si>
  <si>
    <t>不穩定的鐘塔基座#6.2 monumentStep</t>
  </si>
  <si>
    <t>不稳定的钟塔基座#6.2 monumentStep</t>
  </si>
  <si>
    <t>Нестабільна основа дзвіниці#6.2 monumentStep</t>
  </si>
  <si>
    <t>833.txt</t>
  </si>
  <si>
    <t>Stable Bell Tower Base#6</t>
  </si>
  <si>
    <t>穩定的鐘塔基座#6</t>
  </si>
  <si>
    <t>稳定的钟塔基座#6</t>
  </si>
  <si>
    <t>Стабільна основа дзвіниці#6</t>
  </si>
  <si>
    <t>834.txt</t>
  </si>
  <si>
    <t>Bell Tower Structure# monumentStep</t>
  </si>
  <si>
    <t>鐘塔結構# monumentStep</t>
  </si>
  <si>
    <t>钟塔结构# monumentStep</t>
  </si>
  <si>
    <t>Споруда дзвіниці# monumentStep</t>
  </si>
  <si>
    <t>835.txt</t>
  </si>
  <si>
    <t>Bell Tower# monumentDone</t>
  </si>
  <si>
    <t>鐘塔# monumentDone</t>
  </si>
  <si>
    <t>钟塔# monumentDone</t>
  </si>
  <si>
    <t>Дзвіниця# monumentDone</t>
  </si>
  <si>
    <t>836.txt</t>
  </si>
  <si>
    <t>Tower Bell with Rope</t>
  </si>
  <si>
    <t>鍾與繩</t>
  </si>
  <si>
    <t>带绳索的塔钟</t>
  </si>
  <si>
    <t>Баштовий дзвін з мотузкою</t>
  </si>
  <si>
    <t>837.txt</t>
  </si>
  <si>
    <t>Psilocybe Mushroom# +noFeeding +drug +emotEat_10_10</t>
  </si>
  <si>
    <t>擲出8# 3 5</t>
  </si>
  <si>
    <t>裸盖菇8# 3 5</t>
  </si>
  <si>
    <t>Кидок вісімки # 3 5</t>
  </si>
  <si>
    <t>838.txt</t>
  </si>
  <si>
    <t>Wormless Soil Pit with Mushroom</t>
  </si>
  <si>
    <t>生蘑菇的無蟲土坑</t>
  </si>
  <si>
    <t>生蘑菇的无虫土坑</t>
  </si>
  <si>
    <t>Безчервична яма з грибом</t>
  </si>
  <si>
    <t>839.txt</t>
  </si>
  <si>
    <t>Bell Tower# monumentCall</t>
  </si>
  <si>
    <t>鐘塔# monumentCall</t>
  </si>
  <si>
    <t>钟塔# monumentCall</t>
  </si>
  <si>
    <t>Дзвіниця# monumentCall</t>
  </si>
  <si>
    <t>840.txt</t>
  </si>
  <si>
    <t>Stuck Bell Tower</t>
  </si>
  <si>
    <t>卡住的鐘塔</t>
  </si>
  <si>
    <t>卡住的钟塔</t>
  </si>
  <si>
    <t>Застрягла дзвіниця</t>
  </si>
  <si>
    <t>841.txt</t>
  </si>
  <si>
    <t>Bell Tower# just rang</t>
  </si>
  <si>
    <t>鐘塔# just rang</t>
  </si>
  <si>
    <t>钟塔# just rang</t>
  </si>
  <si>
    <t>Дзвіниця # just rang</t>
  </si>
  <si>
    <t>842.txt</t>
  </si>
  <si>
    <t>Bell Tower# ready to ring</t>
  </si>
  <si>
    <t>擲出10# 5 5</t>
  </si>
  <si>
    <t>钟塔10# 5 5</t>
  </si>
  <si>
    <t>Кидок десяти # 5 5</t>
  </si>
  <si>
    <t>843.txt</t>
  </si>
  <si>
    <t>Stone Block#justDug</t>
  </si>
  <si>
    <t>石方塊#justDug</t>
  </si>
  <si>
    <t>石块#justDug</t>
  </si>
  <si>
    <t>Кам'яна брила#justDug</t>
  </si>
  <si>
    <t>844.txt</t>
  </si>
  <si>
    <t>Fruit Boot</t>
  </si>
  <si>
    <t>水果靴</t>
  </si>
  <si>
    <t>Фруктовий чобіт</t>
  </si>
  <si>
    <t>845.txt</t>
  </si>
  <si>
    <t>Floppy Basket</t>
  </si>
  <si>
    <t>鬆散的籃子</t>
  </si>
  <si>
    <t>松散的篮子</t>
  </si>
  <si>
    <t>Кошик дискет</t>
  </si>
  <si>
    <t>846.txt</t>
  </si>
  <si>
    <t>Broken Hand Cart</t>
  </si>
  <si>
    <t>破損的手推車</t>
  </si>
  <si>
    <t>破损的手推车</t>
  </si>
  <si>
    <t>Зламана ручна візок</t>
  </si>
  <si>
    <t>847.txt</t>
  </si>
  <si>
    <t>Broken Stick</t>
  </si>
  <si>
    <t>断棍</t>
  </si>
  <si>
    <t>Трефова шістка</t>
  </si>
  <si>
    <t>848.txt</t>
  </si>
  <si>
    <t>Hardened Row</t>
  </si>
  <si>
    <t>板結的耕地</t>
  </si>
  <si>
    <t>板结的耕地</t>
  </si>
  <si>
    <t>Загартований ряд</t>
  </si>
  <si>
    <t>849.txt</t>
  </si>
  <si>
    <t>@ Row Tiller</t>
  </si>
  <si>
    <t>850.txt</t>
  </si>
  <si>
    <t>Stone Hoe</t>
  </si>
  <si>
    <t>石锄</t>
  </si>
  <si>
    <t>Трефова дев'ятка</t>
  </si>
  <si>
    <t>851.txt</t>
  </si>
  <si>
    <t>Broken Stone Tool</t>
  </si>
  <si>
    <t>損壞的石制工具</t>
  </si>
  <si>
    <t>损坏的石制工具</t>
  </si>
  <si>
    <t>Інструмент з битого каменю</t>
  </si>
  <si>
    <t>852.txt</t>
  </si>
  <si>
    <t>Weak Stick</t>
  </si>
  <si>
    <t>脆弱的杆子</t>
  </si>
  <si>
    <t>Валет треф</t>
  </si>
  <si>
    <t>853.txt</t>
  </si>
  <si>
    <t>@ Non-tilling Stick</t>
  </si>
  <si>
    <t>Трефова королева</t>
  </si>
  <si>
    <t>854.txt</t>
  </si>
  <si>
    <t>Hot Steel Hoe Blade on Anvil</t>
  </si>
  <si>
    <t>梅花K</t>
  </si>
  <si>
    <t>铁砧上的热钢锄刀片</t>
  </si>
  <si>
    <t>Король треф</t>
  </si>
  <si>
    <t>855.txt</t>
  </si>
  <si>
    <t>Steel Hoe Blade</t>
  </si>
  <si>
    <t>鋼鋤頭</t>
  </si>
  <si>
    <t>钢锄头刀片</t>
  </si>
  <si>
    <t>Сталеве лезо мотики</t>
  </si>
  <si>
    <t>856.txt</t>
  </si>
  <si>
    <t>Steel Hoe Blade on Anvil</t>
  </si>
  <si>
    <t>黑桃2</t>
  </si>
  <si>
    <t>铁砧上的钢锄刀片</t>
  </si>
  <si>
    <t>Дві піки</t>
  </si>
  <si>
    <t>857.txt</t>
  </si>
  <si>
    <t>Steel Hoe</t>
  </si>
  <si>
    <t>黑桃3</t>
  </si>
  <si>
    <t>钢锄</t>
  </si>
  <si>
    <t>Пікова трійка</t>
  </si>
  <si>
    <t>858.txt</t>
  </si>
  <si>
    <t>Broken Steel Tool</t>
  </si>
  <si>
    <t>損壞的鋼製工具</t>
  </si>
  <si>
    <t>损坏的钢制工具</t>
  </si>
  <si>
    <t>Зламаний сталевий інструмент</t>
  </si>
  <si>
    <t>859.txt</t>
  </si>
  <si>
    <t>Broken Small Stone Tool</t>
  </si>
  <si>
    <t>損壞的小型石制工具</t>
  </si>
  <si>
    <t>损坏的小型石制工具</t>
  </si>
  <si>
    <t>Розбитий дрібний кам'яний інструмент</t>
  </si>
  <si>
    <t>860.txt</t>
  </si>
  <si>
    <t>Broken Basket</t>
  </si>
  <si>
    <t>損壞的籃子</t>
  </si>
  <si>
    <t>损坏的篮子</t>
  </si>
  <si>
    <t>Розбитий кошик</t>
  </si>
  <si>
    <t>861.txt</t>
  </si>
  <si>
    <t>Old Hand Cart</t>
  </si>
  <si>
    <t>老舊的手推車</t>
  </si>
  <si>
    <t>老旧的手推车</t>
  </si>
  <si>
    <t>Старий ручний візок</t>
  </si>
  <si>
    <t>862.txt</t>
  </si>
  <si>
    <t>Scrap Steel</t>
  </si>
  <si>
    <t>废钢</t>
  </si>
  <si>
    <t>Пікова вісімка</t>
  </si>
  <si>
    <t>863.txt</t>
  </si>
  <si>
    <t>Broken Wood Tool</t>
  </si>
  <si>
    <t>損壞的木製工具</t>
  </si>
  <si>
    <t>损坏的木制工具</t>
  </si>
  <si>
    <t>Інструмент зламаного дерева</t>
  </si>
  <si>
    <t>864.txt</t>
  </si>
  <si>
    <t>Rag Hat</t>
  </si>
  <si>
    <t>破損的帽子</t>
  </si>
  <si>
    <t>破损的帽子</t>
  </si>
  <si>
    <t>Ганчірковий капелюх</t>
  </si>
  <si>
    <t>865.txt</t>
  </si>
  <si>
    <t>Rag Shirt</t>
  </si>
  <si>
    <t>破損的襯衫</t>
  </si>
  <si>
    <t>破损的衬衫</t>
  </si>
  <si>
    <t>Ганчіркова сорочка</t>
  </si>
  <si>
    <t>866.txt</t>
  </si>
  <si>
    <t>Rag Loincloth</t>
  </si>
  <si>
    <t>破損的纏腰布</t>
  </si>
  <si>
    <t>破损的缠腰布</t>
  </si>
  <si>
    <t>Ганчірка Набедрена пов'язка</t>
  </si>
  <si>
    <t>869.txt</t>
  </si>
  <si>
    <t>Rag Shoe</t>
  </si>
  <si>
    <t>破損的鞋</t>
  </si>
  <si>
    <t>破损的鞋</t>
  </si>
  <si>
    <t>ганчірка взуття</t>
  </si>
  <si>
    <t>870.txt</t>
  </si>
  <si>
    <t>@ Decaying Hat</t>
  </si>
  <si>
    <t>871.txt</t>
  </si>
  <si>
    <t>@ Decaying Shirt</t>
  </si>
  <si>
    <t>872.txt</t>
  </si>
  <si>
    <t>@ Decaying Bottom</t>
  </si>
  <si>
    <t>873.txt</t>
  </si>
  <si>
    <t>@ Decaying Shoe</t>
  </si>
  <si>
    <t>874.txt</t>
  </si>
  <si>
    <t>Tattered Backpack</t>
  </si>
  <si>
    <t>紅桃5</t>
  </si>
  <si>
    <t>破烂的背包</t>
  </si>
  <si>
    <t>П'ятірка Черв</t>
  </si>
  <si>
    <t>875.txt</t>
  </si>
  <si>
    <t>Wooden Door</t>
  </si>
  <si>
    <t>木門</t>
  </si>
  <si>
    <t>木门</t>
  </si>
  <si>
    <t>Дерев'яні двері</t>
  </si>
  <si>
    <t>876.txt</t>
  </si>
  <si>
    <t>Wooden Door# Installed</t>
  </si>
  <si>
    <t>紅桃7</t>
  </si>
  <si>
    <t>木门# Installed</t>
  </si>
  <si>
    <t>Сімка Черв</t>
  </si>
  <si>
    <t>877.txt</t>
  </si>
  <si>
    <t>Wooden Door# installed vert</t>
  </si>
  <si>
    <t>紅桃8</t>
  </si>
  <si>
    <t>木门# installed vert</t>
  </si>
  <si>
    <t>Черва вісімка</t>
  </si>
  <si>
    <t>878.txt</t>
  </si>
  <si>
    <t>Open Wooden Door# installed</t>
  </si>
  <si>
    <t>紅桃9</t>
  </si>
  <si>
    <t>打开的木门# Installed</t>
  </si>
  <si>
    <t>Дев'ятка Черв</t>
  </si>
  <si>
    <t>879.txt</t>
  </si>
  <si>
    <t>Open Wooden Door# installed vert</t>
  </si>
  <si>
    <t>紅桃10</t>
  </si>
  <si>
    <t>打开的木门# installed vert</t>
  </si>
  <si>
    <t>Червова десятка</t>
  </si>
  <si>
    <t>880.txt</t>
  </si>
  <si>
    <t>Big Stack of Boards</t>
  </si>
  <si>
    <t>一大堆木板</t>
  </si>
  <si>
    <t>叠起来的木板</t>
  </si>
  <si>
    <t>Великий стек дощок</t>
  </si>
  <si>
    <t>881.txt</t>
  </si>
  <si>
    <t>Cut Stones</t>
  </si>
  <si>
    <t>大堆碎石</t>
  </si>
  <si>
    <t>碎石</t>
  </si>
  <si>
    <t>Огранене каміння</t>
  </si>
  <si>
    <t>882.txt</t>
  </si>
  <si>
    <t>凿子和劈开的大石头</t>
  </si>
  <si>
    <t>883.txt</t>
  </si>
  <si>
    <t>Cut Stones with Chisel</t>
  </si>
  <si>
    <t>鑿子與大堆碎石</t>
  </si>
  <si>
    <t>凿子和碎石</t>
  </si>
  <si>
    <t>Різати камені зубилом</t>
  </si>
  <si>
    <t>884.txt</t>
  </si>
  <si>
    <t>Stone Floor# groundOnly</t>
  </si>
  <si>
    <t>石地板# groundOnly</t>
  </si>
  <si>
    <t>Кам'яна підлога# groundOnly</t>
  </si>
  <si>
    <t>885.txt</t>
  </si>
  <si>
    <t>Stone Wall</t>
  </si>
  <si>
    <t>方片3</t>
  </si>
  <si>
    <t>石墙</t>
  </si>
  <si>
    <t>Бубнова трійка</t>
  </si>
  <si>
    <t>886.txt</t>
  </si>
  <si>
    <t>方片4</t>
  </si>
  <si>
    <t>Бубнова четвірка</t>
  </si>
  <si>
    <t>887.txt</t>
  </si>
  <si>
    <t>Stone Wall# +useOnContained</t>
  </si>
  <si>
    <t>方片5</t>
  </si>
  <si>
    <t>石墙# +useOnContained</t>
  </si>
  <si>
    <t>Бубнова п'ятірка</t>
  </si>
  <si>
    <t>888.txt</t>
  </si>
  <si>
    <t>Bear Skin Rug# stone</t>
  </si>
  <si>
    <t>熊皮地毯# stone</t>
  </si>
  <si>
    <t>Килимок зі шкіри ведмедя# +cornerStone</t>
  </si>
  <si>
    <t>889.txt</t>
  </si>
  <si>
    <t>Cracking Adobe Wall</t>
  </si>
  <si>
    <t>開裂的土坯牆</t>
  </si>
  <si>
    <t>开裂的土坯墙</t>
  </si>
  <si>
    <t>Розхитування стіни з саману</t>
  </si>
  <si>
    <t>890.txt</t>
  </si>
  <si>
    <t>891.txt</t>
  </si>
  <si>
    <t>892.txt</t>
  </si>
  <si>
    <t>Fixed Adobe Wall</t>
  </si>
  <si>
    <t>修復的土坯牆</t>
  </si>
  <si>
    <t>修复的土坯墙</t>
  </si>
  <si>
    <t>Виправлено Adobe Wall</t>
  </si>
  <si>
    <t>893.txt</t>
  </si>
  <si>
    <t>894.txt</t>
  </si>
  <si>
    <t>895.txt</t>
  </si>
  <si>
    <t>Ancient Stone Wall</t>
  </si>
  <si>
    <t>老旧的石墙</t>
  </si>
  <si>
    <t>Бубновий король</t>
  </si>
  <si>
    <t>896.txt</t>
  </si>
  <si>
    <t>Ancient Stone Wall# +useOnContained</t>
  </si>
  <si>
    <t>老旧的石墙l# +useOnContained</t>
  </si>
  <si>
    <t>897.txt</t>
  </si>
  <si>
    <t>898.txt</t>
  </si>
  <si>
    <t>Mossy Stone Floor# groundOnly</t>
  </si>
  <si>
    <t>苔藓石地板# groundOnly</t>
  </si>
  <si>
    <t>899.txt</t>
  </si>
  <si>
    <t>Dung</t>
  </si>
  <si>
    <t>粪便</t>
  </si>
  <si>
    <t>900.txt</t>
  </si>
  <si>
    <t>Shovel of Dung</t>
  </si>
  <si>
    <t>一鏟子羊糞</t>
  </si>
  <si>
    <t>一铲子羊粪</t>
  </si>
  <si>
    <t>Лопата гною</t>
  </si>
  <si>
    <t>901.txt</t>
  </si>
  <si>
    <t>Wormy Hardened Row</t>
  </si>
  <si>
    <t>有蠕虫的硬化土壤</t>
  </si>
  <si>
    <t>902.txt</t>
  </si>
  <si>
    <t>Tilled Row with Worm</t>
  </si>
  <si>
    <t>带蠕虫的耕行</t>
  </si>
  <si>
    <t>903.txt</t>
  </si>
  <si>
    <t>@ Tillable Row</t>
  </si>
  <si>
    <t>904.txt</t>
  </si>
  <si>
    <t>Lock Blank</t>
  </si>
  <si>
    <t>鎖坯</t>
  </si>
  <si>
    <t>锁坯</t>
  </si>
  <si>
    <t>Замок порожній</t>
  </si>
  <si>
    <t>905.txt</t>
  </si>
  <si>
    <t>Lock Blank with Chisel</t>
  </si>
  <si>
    <t>鑿子與鎖坯</t>
  </si>
  <si>
    <t>凿子与锁坯</t>
  </si>
  <si>
    <t>Замок заготовки за допомогою зубила</t>
  </si>
  <si>
    <t>906.txt</t>
  </si>
  <si>
    <t>Steel Ingot with Chisel</t>
  </si>
  <si>
    <t>鑿子與鋼錠</t>
  </si>
  <si>
    <t>凿子与钢锭</t>
  </si>
  <si>
    <t>Сталевий злиток з долотом</t>
  </si>
  <si>
    <t>907.txt</t>
  </si>
  <si>
    <t>Steel Blade Blank with Chisel</t>
  </si>
  <si>
    <t>鑿子與鋼條</t>
  </si>
  <si>
    <t>带凿子的钢刀片毛坯</t>
  </si>
  <si>
    <t>Заготовка сталевого леза з долотом</t>
  </si>
  <si>
    <t>908.txt</t>
  </si>
  <si>
    <t>Lock and Key Parts</t>
  </si>
  <si>
    <t>鎖和鑰匙部件</t>
  </si>
  <si>
    <t>锁和钥匙零件</t>
  </si>
  <si>
    <t>Деталі замків і ключів</t>
  </si>
  <si>
    <t>910.txt</t>
  </si>
  <si>
    <t>Lock and Key Parts with Chisel</t>
  </si>
  <si>
    <t>鑿子與鎖和鑰匙部件</t>
  </si>
  <si>
    <t>带凿子的锁和钥匙零件</t>
  </si>
  <si>
    <t>Замок і ключові частини з зубилом</t>
  </si>
  <si>
    <t>911.txt</t>
  </si>
  <si>
    <t>Lock and Key Blank</t>
  </si>
  <si>
    <t>鎖和鑰匙坯件</t>
  </si>
  <si>
    <t>锁和钥匙毛坯</t>
  </si>
  <si>
    <t>Замок і ключ пусті</t>
  </si>
  <si>
    <t>912.txt</t>
  </si>
  <si>
    <t>Lock and Key $10</t>
  </si>
  <si>
    <t>鎖和鑰匙 $10</t>
  </si>
  <si>
    <t>锁和钥匙 $10</t>
  </si>
  <si>
    <t>Замок і ключ $10</t>
  </si>
  <si>
    <t>917.txt</t>
  </si>
  <si>
    <t>Key $10</t>
  </si>
  <si>
    <t>鑰匙 $10</t>
  </si>
  <si>
    <t>钥匙 $10</t>
  </si>
  <si>
    <t>Ключ $10</t>
  </si>
  <si>
    <t>921.txt</t>
  </si>
  <si>
    <t>Locked Wooden Door# $10</t>
  </si>
  <si>
    <t>上鎖的木門# $10</t>
  </si>
  <si>
    <t>上锁的木门# $10</t>
  </si>
  <si>
    <t>Замкнені дерев'яні двері# $10</t>
  </si>
  <si>
    <t>922.txt</t>
  </si>
  <si>
    <t>Locked Wooden Door# vert $10</t>
  </si>
  <si>
    <t>上鎖的木門# vert $10</t>
  </si>
  <si>
    <t>上锁的木门# vert $10</t>
  </si>
  <si>
    <t>Замкнені дерев'яні двері# vert $10</t>
  </si>
  <si>
    <t>923.txt</t>
  </si>
  <si>
    <t>Open Locked Wooden Door# vert $10</t>
  </si>
  <si>
    <t>打開的上鎖的木門# vert $10</t>
  </si>
  <si>
    <t>打开的上锁的木门# vert $10</t>
  </si>
  <si>
    <t>Відкрийте замкнені дерев'яні двері# vert $10</t>
  </si>
  <si>
    <t>924.txt</t>
  </si>
  <si>
    <t>Open Locked Wooden Door# $10</t>
  </si>
  <si>
    <t>打開的上鎖的木門# $10</t>
  </si>
  <si>
    <t>打开的上锁的木门# $10</t>
  </si>
  <si>
    <t>Відкрийте замкнені дерев'яні двері#$10</t>
  </si>
  <si>
    <t>927.txt</t>
  </si>
  <si>
    <t>Steel Blade Blank with Key $10</t>
  </si>
  <si>
    <t>鋼條與鑰匙 $10</t>
  </si>
  <si>
    <t>钢条与钥匙 $10</t>
  </si>
  <si>
    <t>Заготовка сталевого леза з ключем $10</t>
  </si>
  <si>
    <t>928.txt</t>
  </si>
  <si>
    <t>Duplicate Keys $10</t>
  </si>
  <si>
    <t>鑰匙複製品 $10</t>
  </si>
  <si>
    <t>钥匙复制品 $10</t>
  </si>
  <si>
    <t>Дублікати ключів $10</t>
  </si>
  <si>
    <t>929.txt</t>
  </si>
  <si>
    <t>@ Decaying Basket</t>
  </si>
  <si>
    <t>930.txt</t>
  </si>
  <si>
    <t>Clump of Scrap Steel</t>
  </si>
  <si>
    <t>廢鋼塊</t>
  </si>
  <si>
    <t>一堆废钢</t>
  </si>
  <si>
    <t>Грудка сталевого брухту</t>
  </si>
  <si>
    <t>931.txt</t>
  </si>
  <si>
    <t>@ Broken Steel Source</t>
  </si>
  <si>
    <t>932.txt</t>
  </si>
  <si>
    <t>@ Weak Chisel Breaker</t>
  </si>
  <si>
    <t>933.txt</t>
  </si>
  <si>
    <t>Fence# just closed</t>
  </si>
  <si>
    <t>围栏# just closed</t>
  </si>
  <si>
    <t>934.txt</t>
  </si>
  <si>
    <t>Fence Rail</t>
  </si>
  <si>
    <t>柵欄軌</t>
  </si>
  <si>
    <t>栅栏轨</t>
  </si>
  <si>
    <t>Рейка огорожі</t>
  </si>
  <si>
    <t>935.txt</t>
  </si>
  <si>
    <t>Sapling with Cutting</t>
  </si>
  <si>
    <t>剪切的樹苗</t>
  </si>
  <si>
    <t>剪切的树苗</t>
  </si>
  <si>
    <t>Саджанець з живцюванням</t>
  </si>
  <si>
    <t>936.txt</t>
  </si>
  <si>
    <t>Sapling Cutting</t>
  </si>
  <si>
    <t>切下的樹苗</t>
  </si>
  <si>
    <t>切下的树苗</t>
  </si>
  <si>
    <t>Обрізка саджанців</t>
  </si>
  <si>
    <t>937.txt</t>
  </si>
  <si>
    <t>Dry Sapling Cutting</t>
  </si>
  <si>
    <t>乾燥的樹苗</t>
  </si>
  <si>
    <t>干燥的树苗</t>
  </si>
  <si>
    <t>Обрізка сухих саджанців</t>
  </si>
  <si>
    <t>938.txt</t>
  </si>
  <si>
    <t>Wet Sapling Cutting</t>
  </si>
  <si>
    <t>溼潤的樹苗</t>
  </si>
  <si>
    <t>湿润的树苗</t>
  </si>
  <si>
    <t>Мокре обрізання саджанців</t>
  </si>
  <si>
    <t>939.txt</t>
  </si>
  <si>
    <t>Domestic Sapling</t>
  </si>
  <si>
    <t>家栽樹苗</t>
  </si>
  <si>
    <t>家栽树苗</t>
  </si>
  <si>
    <t>Вітчизняний Саджанець</t>
  </si>
  <si>
    <t>940.txt</t>
  </si>
  <si>
    <t>Cut Domestic Sapling Stick</t>
  </si>
  <si>
    <t>剪下的家栽树苗</t>
  </si>
  <si>
    <t>941.txt</t>
  </si>
  <si>
    <t>Domestic Sapling with Cutting</t>
  </si>
  <si>
    <t>剪切的家栽樹苗</t>
  </si>
  <si>
    <t>剪切的家栽树苗</t>
  </si>
  <si>
    <t>Вітчизняний саджанець на живцювання</t>
  </si>
  <si>
    <t>942.txt</t>
  </si>
  <si>
    <t>(outdated) Ore Vein</t>
  </si>
  <si>
    <t>（已过时） 矿脉</t>
  </si>
  <si>
    <t>943.txt</t>
  </si>
  <si>
    <t>(outdated) Mining Pit</t>
  </si>
  <si>
    <t>（已过时）矿坑</t>
  </si>
  <si>
    <t>944.txt</t>
  </si>
  <si>
    <t>(outdated) Mine</t>
  </si>
  <si>
    <t>（已过时）矿脉</t>
  </si>
  <si>
    <t>945.txt</t>
  </si>
  <si>
    <t>(outdated) Collapsed Mine</t>
  </si>
  <si>
    <t>（已过时）倒塌的矿井</t>
  </si>
  <si>
    <t>946.txt</t>
  </si>
  <si>
    <t>Letter Stock</t>
  </si>
  <si>
    <t>字母棒</t>
  </si>
  <si>
    <t>947.txt</t>
  </si>
  <si>
    <t>Letter I</t>
  </si>
  <si>
    <t>字母 I</t>
  </si>
  <si>
    <t>Літера І</t>
  </si>
  <si>
    <t>948.txt</t>
  </si>
  <si>
    <t>Hyphen</t>
  </si>
  <si>
    <t>連字符</t>
  </si>
  <si>
    <t>连字符</t>
  </si>
  <si>
    <t>Дефіс</t>
  </si>
  <si>
    <t>949.txt</t>
  </si>
  <si>
    <t>Letter V</t>
  </si>
  <si>
    <t>字母 V</t>
  </si>
  <si>
    <t>Літера V</t>
  </si>
  <si>
    <t>950.txt</t>
  </si>
  <si>
    <t>Bendy Letter Stock</t>
  </si>
  <si>
    <t>易折的字母棒</t>
  </si>
  <si>
    <t>951.txt</t>
  </si>
  <si>
    <t>Letter U</t>
  </si>
  <si>
    <t>字母 U</t>
  </si>
  <si>
    <t>Літера U</t>
  </si>
  <si>
    <t>952.txt</t>
  </si>
  <si>
    <t>Letter C</t>
  </si>
  <si>
    <t>字母 C</t>
  </si>
  <si>
    <t>Літера С</t>
  </si>
  <si>
    <t>953.txt</t>
  </si>
  <si>
    <t>Letter O</t>
  </si>
  <si>
    <t>字母 O</t>
  </si>
  <si>
    <t>Літера О</t>
  </si>
  <si>
    <t>955.txt</t>
  </si>
  <si>
    <t>Letter B</t>
  </si>
  <si>
    <t>字母 B</t>
  </si>
  <si>
    <t>Літера Б</t>
  </si>
  <si>
    <t>956.txt</t>
  </si>
  <si>
    <t>Letter A</t>
  </si>
  <si>
    <t>字母 A</t>
  </si>
  <si>
    <t>Літера А</t>
  </si>
  <si>
    <t>957.txt</t>
  </si>
  <si>
    <t>Letter D</t>
  </si>
  <si>
    <t>字母 D</t>
  </si>
  <si>
    <t>Літера Д</t>
  </si>
  <si>
    <t>958.txt</t>
  </si>
  <si>
    <t>Letter T</t>
  </si>
  <si>
    <t>字母 T</t>
  </si>
  <si>
    <t>Літера Т</t>
  </si>
  <si>
    <t>959.txt</t>
  </si>
  <si>
    <t>Letter F</t>
  </si>
  <si>
    <t>字母 F</t>
  </si>
  <si>
    <t>Літера Ф</t>
  </si>
  <si>
    <t>960.txt</t>
  </si>
  <si>
    <t>Letter E</t>
  </si>
  <si>
    <t>字母 E</t>
  </si>
  <si>
    <t>Літера Е</t>
  </si>
  <si>
    <t>961.txt</t>
  </si>
  <si>
    <t>Letter G</t>
  </si>
  <si>
    <t>字母 G</t>
  </si>
  <si>
    <t>Літера Г</t>
  </si>
  <si>
    <t>962.txt</t>
  </si>
  <si>
    <t>Letter H</t>
  </si>
  <si>
    <t>字母 H</t>
  </si>
  <si>
    <t>Літера H</t>
  </si>
  <si>
    <t>963.txt</t>
  </si>
  <si>
    <t>Letter J</t>
  </si>
  <si>
    <t>字母 J</t>
  </si>
  <si>
    <t>Літера Дж</t>
  </si>
  <si>
    <t>964.txt</t>
  </si>
  <si>
    <t>@ Fine Cutter</t>
  </si>
  <si>
    <t>965.txt</t>
  </si>
  <si>
    <t>Letter K</t>
  </si>
  <si>
    <t>字母 K</t>
  </si>
  <si>
    <t>Літера К</t>
  </si>
  <si>
    <t>966.txt</t>
  </si>
  <si>
    <t>Letter L</t>
  </si>
  <si>
    <t>字母 L</t>
  </si>
  <si>
    <t>Літера Л</t>
  </si>
  <si>
    <t>967.txt</t>
  </si>
  <si>
    <t>Letter W</t>
  </si>
  <si>
    <t>字母 W</t>
  </si>
  <si>
    <t>Літера W</t>
  </si>
  <si>
    <t>968.txt</t>
  </si>
  <si>
    <t>Letter N</t>
  </si>
  <si>
    <t>字母 N</t>
  </si>
  <si>
    <t>Літера Н</t>
  </si>
  <si>
    <t>969.txt</t>
  </si>
  <si>
    <t>Letter M</t>
  </si>
  <si>
    <t>字母 M</t>
  </si>
  <si>
    <t>Літера М</t>
  </si>
  <si>
    <t>970.txt</t>
  </si>
  <si>
    <t>Letter P</t>
  </si>
  <si>
    <t>字母 P</t>
  </si>
  <si>
    <t>Літера П</t>
  </si>
  <si>
    <t>971.txt</t>
  </si>
  <si>
    <t>Letter R</t>
  </si>
  <si>
    <t>字母 R</t>
  </si>
  <si>
    <t>Літера Р</t>
  </si>
  <si>
    <t>972.txt</t>
  </si>
  <si>
    <t>Letter Q</t>
  </si>
  <si>
    <t>字母 Q</t>
  </si>
  <si>
    <t>Літера Q</t>
  </si>
  <si>
    <t>973.txt</t>
  </si>
  <si>
    <t>Letter S</t>
  </si>
  <si>
    <t>字母 S</t>
  </si>
  <si>
    <t>974.txt</t>
  </si>
  <si>
    <t>Letter X</t>
  </si>
  <si>
    <t>字母 X</t>
  </si>
  <si>
    <t>Літера X</t>
  </si>
  <si>
    <t>975.txt</t>
  </si>
  <si>
    <t>Letter Y</t>
  </si>
  <si>
    <t>字母 Y</t>
  </si>
  <si>
    <t>Літера Y</t>
  </si>
  <si>
    <t>976.txt</t>
  </si>
  <si>
    <t>Letter Z</t>
  </si>
  <si>
    <t>字母 Z</t>
  </si>
  <si>
    <t>Літера Z</t>
  </si>
  <si>
    <t>977.txt</t>
  </si>
  <si>
    <t>Small Sign</t>
  </si>
  <si>
    <t>小牌子</t>
  </si>
  <si>
    <t>Малий знак</t>
  </si>
  <si>
    <t>978.txt</t>
  </si>
  <si>
    <t>Big Sign</t>
  </si>
  <si>
    <t>大牌子</t>
  </si>
  <si>
    <t>Великий знак</t>
  </si>
  <si>
    <t>979.txt</t>
  </si>
  <si>
    <t>Loose Small Sign</t>
  </si>
  <si>
    <t>鬆動的小牌子</t>
  </si>
  <si>
    <t>松动的小牌子</t>
  </si>
  <si>
    <t>Невеликий знак</t>
  </si>
  <si>
    <t>980.txt</t>
  </si>
  <si>
    <t>Loose Big Sign</t>
  </si>
  <si>
    <t>鬆動的大牌子</t>
  </si>
  <si>
    <t>松动的大牌子</t>
  </si>
  <si>
    <t>Пустий великий знак</t>
  </si>
  <si>
    <t>981.txt</t>
  </si>
  <si>
    <t>Small Sign on Stone Wall</t>
  </si>
  <si>
    <t>石墙上的小标志</t>
  </si>
  <si>
    <t>982.txt</t>
  </si>
  <si>
    <t>Big Sign on Stone Wall</t>
  </si>
  <si>
    <t>石墙上的大标志</t>
  </si>
  <si>
    <t>983.txt</t>
  </si>
  <si>
    <t>Small Sign on Ancient Stone Wall</t>
  </si>
  <si>
    <t>古代石墙上的小标志</t>
  </si>
  <si>
    <t>984.txt</t>
  </si>
  <si>
    <t>Big Sign on Ancient Stone Wall</t>
  </si>
  <si>
    <t>古代石墙上的大标志</t>
  </si>
  <si>
    <t>985.txt</t>
  </si>
  <si>
    <t>@ Weak Froe Breaker</t>
  </si>
  <si>
    <t>@ Слабкий Фро Брейкер</t>
  </si>
  <si>
    <t>986.txt</t>
  </si>
  <si>
    <t>Open Wooden Chest</t>
  </si>
  <si>
    <t>開啟的木箱子</t>
  </si>
  <si>
    <t>开启的木箱子</t>
  </si>
  <si>
    <t>Відкрита дерев'яна скриня</t>
  </si>
  <si>
    <t>987.txt</t>
  </si>
  <si>
    <t>Closed Wooden Chest</t>
  </si>
  <si>
    <t>关闭的木箱子</t>
  </si>
  <si>
    <t>988.txt</t>
  </si>
  <si>
    <t>Locked Wooden Chest# $10</t>
  </si>
  <si>
    <t>锁上的木箱子# $10</t>
  </si>
  <si>
    <t>989.txt</t>
  </si>
  <si>
    <t>Unlocked Wooden Chest# $10</t>
  </si>
  <si>
    <t>解鎖的木箱子# $10</t>
  </si>
  <si>
    <t>解锁的木箱子# $10</t>
  </si>
  <si>
    <t>Розблокована дерев'яна скриня#$10</t>
  </si>
  <si>
    <t>990.txt</t>
  </si>
  <si>
    <t>Locked Small Sign# $10</t>
  </si>
  <si>
    <t>鎖上的小牌子# $10</t>
  </si>
  <si>
    <t>锁上的小牌子# $10</t>
  </si>
  <si>
    <t>Заблокований маленький знак#$10</t>
  </si>
  <si>
    <t>991.txt</t>
  </si>
  <si>
    <t>Locked Big Sign# $10</t>
  </si>
  <si>
    <t>鎖上的大牌子# $10</t>
  </si>
  <si>
    <t>锁上的大牌子# $10</t>
  </si>
  <si>
    <t>Заблокований великий знак#$10</t>
  </si>
  <si>
    <t>992.txt</t>
  </si>
  <si>
    <t>Loose Locked Small Sign# $10</t>
  </si>
  <si>
    <t>鬆動的鎖上的小牌子# $10</t>
  </si>
  <si>
    <t>松动的锁上的小牌子# $10</t>
  </si>
  <si>
    <t>Незакріплений невеликий знак#$10</t>
  </si>
  <si>
    <t>993.txt</t>
  </si>
  <si>
    <t>Loose Locked Big Sign# $10</t>
  </si>
  <si>
    <t>鬆動的鎖上的大牌子# $10</t>
  </si>
  <si>
    <t>松动的锁上的大牌子# $10</t>
  </si>
  <si>
    <t>Незакріплений великий знак#$10</t>
  </si>
  <si>
    <t>994.txt</t>
  </si>
  <si>
    <t>Locked Small Sign on Stone Wall# $10</t>
  </si>
  <si>
    <t>石墙上锁的小标志# $10</t>
  </si>
  <si>
    <t>995.txt</t>
  </si>
  <si>
    <t>Locked Big Sign on Stone Wall# $10</t>
  </si>
  <si>
    <t>石墙上锁的大标志# $10</t>
  </si>
  <si>
    <t>996.txt</t>
  </si>
  <si>
    <t>Locked Small Sign on Ancient Stone Wall# $10</t>
  </si>
  <si>
    <t>古代石墙上锁的小标志# $10</t>
  </si>
  <si>
    <t>997.txt</t>
  </si>
  <si>
    <t>Locked Big Sign on Ancient Stone Wall# $10</t>
  </si>
  <si>
    <t>古代石墙上锁的大标志# $10</t>
  </si>
  <si>
    <t>998.txt</t>
  </si>
  <si>
    <t>@ Unlocked Sign</t>
  </si>
  <si>
    <t>999.txt</t>
  </si>
  <si>
    <t>@ Locked Sign</t>
  </si>
  <si>
    <t>1000.txt</t>
  </si>
  <si>
    <t>Lock and Key $10# removed</t>
  </si>
  <si>
    <t>鎖與鑰匙 $10 # removed</t>
  </si>
  <si>
    <t>锁与钥匙 $10 # removed</t>
  </si>
  <si>
    <t>Замок і ключ $10# removed</t>
  </si>
  <si>
    <t>1001.txt</t>
  </si>
  <si>
    <t>@ Free Lock</t>
  </si>
  <si>
    <t>1002.txt</t>
  </si>
  <si>
    <t>Duplicate Lock and Key $10</t>
  </si>
  <si>
    <t>未加工的鎖與鑰匙 $10</t>
  </si>
  <si>
    <t>未加工的锁与钥匙 $10</t>
  </si>
  <si>
    <t>Дублікат замка та ключа $10</t>
  </si>
  <si>
    <t>1003.txt</t>
  </si>
  <si>
    <t>Lock Removal Key $10</t>
  </si>
  <si>
    <t>開鎖鑰匙 $10</t>
  </si>
  <si>
    <t>开锁钥匙 $10</t>
  </si>
  <si>
    <t>Ключ для зняття замка $10</t>
  </si>
  <si>
    <t>1006.txt</t>
  </si>
  <si>
    <t>Clay Bowl#bender</t>
  </si>
  <si>
    <t>黏土碗#bender</t>
  </si>
  <si>
    <t>粘土碗#bender</t>
  </si>
  <si>
    <t>Глиняна чаша#bender</t>
  </si>
  <si>
    <t>1007.txt</t>
  </si>
  <si>
    <t>Female009 D</t>
  </si>
  <si>
    <t>女性009 D</t>
  </si>
  <si>
    <t>Жінка009 Д</t>
  </si>
  <si>
    <t>1008.txt</t>
  </si>
  <si>
    <t>Male010 D</t>
  </si>
  <si>
    <t>男性010 D</t>
  </si>
  <si>
    <t>Чоловік010 Д</t>
  </si>
  <si>
    <t>1009.txt</t>
  </si>
  <si>
    <t>Female011 C</t>
  </si>
  <si>
    <t>女性011 C</t>
  </si>
  <si>
    <t>Жінка011 C</t>
  </si>
  <si>
    <t>1010.txt</t>
  </si>
  <si>
    <t>Male012 C</t>
  </si>
  <si>
    <t>男性012 C</t>
  </si>
  <si>
    <t>Чоловік012 C</t>
  </si>
  <si>
    <t>1011.txt</t>
  </si>
  <si>
    <t>Buried Grave# origGrave groundOnly</t>
  </si>
  <si>
    <t>被埋葬的屍體# origGrave groundOnly</t>
  </si>
  <si>
    <t>被埋葬的尸体# origGrave groundOnly</t>
  </si>
  <si>
    <t>Похована могила# origGrave groundOnly</t>
  </si>
  <si>
    <t>1012.txt</t>
  </si>
  <si>
    <t>Marked Grave# origGrave</t>
  </si>
  <si>
    <t>墓碑# origGrave</t>
  </si>
  <si>
    <t>Позначено Grave# origGrave</t>
  </si>
  <si>
    <t>1013.txt</t>
  </si>
  <si>
    <t>Wild Rose with Fruit</t>
  </si>
  <si>
    <t>結果的野玫瑰</t>
  </si>
  <si>
    <t>结果的野玫瑰</t>
  </si>
  <si>
    <t>Троянда з фруктами</t>
  </si>
  <si>
    <t>1014.txt</t>
  </si>
  <si>
    <t>Wild Rose# picked</t>
  </si>
  <si>
    <t>野玫瑰# picked</t>
  </si>
  <si>
    <t>Дика троянда# picked</t>
  </si>
  <si>
    <t>1015.txt</t>
  </si>
  <si>
    <t>Wild Rose Hip</t>
  </si>
  <si>
    <t>野玫瑰果</t>
  </si>
  <si>
    <t>Дика шипшина</t>
  </si>
  <si>
    <t>1016.txt</t>
  </si>
  <si>
    <t>Wild Rose Seed# pink</t>
  </si>
  <si>
    <t>野玫瑰種子# pink</t>
  </si>
  <si>
    <t>野玫瑰种子# pink</t>
  </si>
  <si>
    <t>Насіння дикої троянди# pink</t>
  </si>
  <si>
    <t>1017.txt</t>
  </si>
  <si>
    <t>Dry Planted Rose Seed# pink</t>
  </si>
  <si>
    <t>乾燥的玫瑰地# pink</t>
  </si>
  <si>
    <t>干燥的玫瑰地# pink</t>
  </si>
  <si>
    <t>Сухе посаджене насіння троянд # pink</t>
  </si>
  <si>
    <t>1018.txt</t>
  </si>
  <si>
    <t>Wet Planted Rose Seed# pink</t>
  </si>
  <si>
    <t>溼潤的玫瑰地# pink</t>
  </si>
  <si>
    <t>湿润的玫瑰地# pink</t>
  </si>
  <si>
    <t>Насіння троянд із вологим посадкою # pink</t>
  </si>
  <si>
    <t>1019.txt</t>
  </si>
  <si>
    <t>Rose Sprout# pink</t>
  </si>
  <si>
    <t>玫瑰芽# pink</t>
  </si>
  <si>
    <t>1020.txt</t>
  </si>
  <si>
    <t>Snow Bank</t>
  </si>
  <si>
    <t>雪堆</t>
  </si>
  <si>
    <t>Сніговий берег</t>
  </si>
  <si>
    <t>1021.txt</t>
  </si>
  <si>
    <t>Cold Bowl</t>
  </si>
  <si>
    <t>冷藏容器</t>
  </si>
  <si>
    <t>Холодна чаша</t>
  </si>
  <si>
    <t>1022.txt</t>
  </si>
  <si>
    <t>Cold Bowl with Rose Seed# pink</t>
  </si>
  <si>
    <t>裝著玫瑰種子的冷藏容器# pink</t>
  </si>
  <si>
    <t>装着玫瑰种子的冷藏容器# pink</t>
  </si>
  <si>
    <t>Холодна чаша з насінням троянд # pink</t>
  </si>
  <si>
    <t>1023.txt</t>
  </si>
  <si>
    <t>Cold Bowl with Stratified Rose Seed# pink</t>
  </si>
  <si>
    <t>裝著分層玫瑰種子的冷藏容器# pink</t>
  </si>
  <si>
    <t>装着分层玫瑰种子的冷藏容器# pink</t>
  </si>
  <si>
    <t>Cold Bowl із стратифікованим насінням троянд# pink</t>
  </si>
  <si>
    <t>1024.txt</t>
  </si>
  <si>
    <t>Stratified Rose Seed# pink</t>
  </si>
  <si>
    <t>分層的野玫瑰種子# pink</t>
  </si>
  <si>
    <t>分层的野玫瑰种子# pink</t>
  </si>
  <si>
    <t>Стратифіковане насіння троянд# pink</t>
  </si>
  <si>
    <t>1025.txt</t>
  </si>
  <si>
    <t>Wild Rose Seed# red</t>
  </si>
  <si>
    <t>野玫瑰種子# red</t>
  </si>
  <si>
    <t>野玫瑰种子# red</t>
  </si>
  <si>
    <t>Насіння дикої троянди# red</t>
  </si>
  <si>
    <t>1026.txt</t>
  </si>
  <si>
    <t>Wild Rose Seed# white</t>
  </si>
  <si>
    <t>野玫瑰種子# white</t>
  </si>
  <si>
    <t>野玫瑰种子# white</t>
  </si>
  <si>
    <t>Насіння дикої троянди# white</t>
  </si>
  <si>
    <t>1027.txt</t>
  </si>
  <si>
    <t>Cold Bowl with Rose Seed# red</t>
  </si>
  <si>
    <t>裝著玫瑰種子的冷藏容器# red</t>
  </si>
  <si>
    <t>装着玫瑰种子的冷藏容器# red</t>
  </si>
  <si>
    <t>Холодна чаша з насінням троянд# red</t>
  </si>
  <si>
    <t>1028.txt</t>
  </si>
  <si>
    <t>Cold Bowl with Stratified Rose Seed# red</t>
  </si>
  <si>
    <t>裝著分層玫瑰種子的冷藏容器# red</t>
  </si>
  <si>
    <t>装着分层玫瑰种子的冷藏容器# red</t>
  </si>
  <si>
    <t>Cold Bowl із стратифікованим насінням троянд# red</t>
  </si>
  <si>
    <t>1029.txt</t>
  </si>
  <si>
    <t>Cold Bowl with Rose Seed# white</t>
  </si>
  <si>
    <t>裝著玫瑰種子的冷藏容器# white</t>
  </si>
  <si>
    <t>装着玫瑰种子的冷藏容器# white</t>
  </si>
  <si>
    <t>Холодна миска з насінням троянд# white</t>
  </si>
  <si>
    <t>1030.txt</t>
  </si>
  <si>
    <t>Cold Bowl with Stratified Rose Seed# white</t>
  </si>
  <si>
    <t>裝著分層玫瑰種子的冷藏容器# white</t>
  </si>
  <si>
    <t>装着分层玫瑰种子的冷藏容器# white</t>
  </si>
  <si>
    <t>Cold Bowl із стратифікованим насінням троянд# white</t>
  </si>
  <si>
    <t>1031.txt</t>
  </si>
  <si>
    <t>Stratified Rose Seed# red</t>
  </si>
  <si>
    <t>分層玫瑰種子# red</t>
  </si>
  <si>
    <t>分层玫瑰种子# red</t>
  </si>
  <si>
    <t>Насіння стратифікованих троянд# red</t>
  </si>
  <si>
    <t>1032.txt</t>
  </si>
  <si>
    <t>Stratified Rose Seed# white</t>
  </si>
  <si>
    <t>分層玫瑰種子# white</t>
  </si>
  <si>
    <t>分层玫瑰种子# white</t>
  </si>
  <si>
    <t>Насіння стратифікованих троянд # white</t>
  </si>
  <si>
    <t>1033.txt</t>
  </si>
  <si>
    <t>Pink Rose Bush</t>
  </si>
  <si>
    <t>粉玫瑰灌木叢</t>
  </si>
  <si>
    <t>粉玫瑰灌木丛</t>
  </si>
  <si>
    <t>Кущ рожевої троянди</t>
  </si>
  <si>
    <t>1034.txt</t>
  </si>
  <si>
    <t>Dry Pink Rose Bush</t>
  </si>
  <si>
    <t>乾燥的粉玫瑰灌木叢</t>
  </si>
  <si>
    <t>干燥的粉玫瑰灌木丛</t>
  </si>
  <si>
    <t>Сухий рожевий кущ троянд</t>
  </si>
  <si>
    <t>1035.txt</t>
  </si>
  <si>
    <t>Vigorous Pink Rose Bush</t>
  </si>
  <si>
    <t>茂盛的粉玫瑰灌木叢</t>
  </si>
  <si>
    <t>茂盛的粉玫瑰灌木丛</t>
  </si>
  <si>
    <t>Енергійний кущ рожевої троянди</t>
  </si>
  <si>
    <t>1036.txt</t>
  </si>
  <si>
    <t>Pink Rose</t>
  </si>
  <si>
    <t>粉玫瑰</t>
  </si>
  <si>
    <t>Рожева троянда</t>
  </si>
  <si>
    <t>1037.txt</t>
  </si>
  <si>
    <t>Rose Hip# pink</t>
  </si>
  <si>
    <t>玫瑰果# pink</t>
  </si>
  <si>
    <t>Шипшина # pink</t>
  </si>
  <si>
    <t>1039.txt</t>
  </si>
  <si>
    <t>Rose Seed# pink</t>
  </si>
  <si>
    <t>玫瑰種子# pink</t>
  </si>
  <si>
    <t>玫瑰种子# pink</t>
  </si>
  <si>
    <t>Насіння троянди # pink</t>
  </si>
  <si>
    <t>1040.txt</t>
  </si>
  <si>
    <t>Rose Seed# red</t>
  </si>
  <si>
    <t>玫瑰種子# red</t>
  </si>
  <si>
    <t>玫瑰种子# red</t>
  </si>
  <si>
    <t>Насіння троянди # red</t>
  </si>
  <si>
    <t>1041.txt</t>
  </si>
  <si>
    <t>Rose Seed# white</t>
  </si>
  <si>
    <t>玫瑰種子# white</t>
  </si>
  <si>
    <t>玫瑰种子# white</t>
  </si>
  <si>
    <t>Насіння троянди # white</t>
  </si>
  <si>
    <t>1042.txt</t>
  </si>
  <si>
    <t>Dry Planted Rose Seed# red</t>
  </si>
  <si>
    <t>乾燥的玫瑰地# red</t>
  </si>
  <si>
    <t>干燥的玫瑰地# red</t>
  </si>
  <si>
    <t>Сухе посаджене насіння троянд# red</t>
  </si>
  <si>
    <t>1043.txt</t>
  </si>
  <si>
    <t>Wet Planted Rose Seed# red</t>
  </si>
  <si>
    <t>溼潤的玫瑰地# red</t>
  </si>
  <si>
    <t>湿润的玫瑰地# red</t>
  </si>
  <si>
    <t>Насіння троянд для мокрого посадки # red</t>
  </si>
  <si>
    <t>1044.txt</t>
  </si>
  <si>
    <t>Rose Sprout# red</t>
  </si>
  <si>
    <t>玫瑰幼苗# red</t>
  </si>
  <si>
    <t>Троянда Sprout# red</t>
  </si>
  <si>
    <t>1045.txt</t>
  </si>
  <si>
    <t>Dry Planted Rose Seed# white</t>
  </si>
  <si>
    <t>乾燥的玫瑰地# white</t>
  </si>
  <si>
    <t>干燥的玫瑰地# white</t>
  </si>
  <si>
    <t>Сухе посаджене насіння троянд # red</t>
  </si>
  <si>
    <t>1046.txt</t>
  </si>
  <si>
    <t>Wet Planted Rose Seed# white</t>
  </si>
  <si>
    <t>溼潤的玫瑰地# white</t>
  </si>
  <si>
    <t>湿润的玫瑰地# white</t>
  </si>
  <si>
    <t>Насіння троянд, посаджених у вологому стані, # white</t>
  </si>
  <si>
    <t>1047.txt</t>
  </si>
  <si>
    <t>Rose Sprout# white</t>
  </si>
  <si>
    <t>玫瑰芽# white</t>
  </si>
  <si>
    <t>Троянда Sprout# white</t>
  </si>
  <si>
    <t>1051.txt</t>
  </si>
  <si>
    <t>Red Rose</t>
  </si>
  <si>
    <t>紅玫瑰</t>
  </si>
  <si>
    <t>红玫瑰</t>
  </si>
  <si>
    <t>Червона роза</t>
  </si>
  <si>
    <t>1052.txt</t>
  </si>
  <si>
    <t>White Rose</t>
  </si>
  <si>
    <t>白玫瑰</t>
  </si>
  <si>
    <t>Біла троянда</t>
  </si>
  <si>
    <t>1053.txt</t>
  </si>
  <si>
    <t>Rose Hip# red</t>
  </si>
  <si>
    <t>玫瑰果# red</t>
  </si>
  <si>
    <t>Шипшина# red</t>
  </si>
  <si>
    <t>1054.txt</t>
  </si>
  <si>
    <t>Rose Hip# white</t>
  </si>
  <si>
    <t>玫瑰果# white</t>
  </si>
  <si>
    <t>1055.txt</t>
  </si>
  <si>
    <t>Dry White Rose Bush</t>
  </si>
  <si>
    <t>乾燥的白玫瑰灌木叢</t>
  </si>
  <si>
    <t>干燥的白玫瑰灌木丛</t>
  </si>
  <si>
    <t>Сухий кущ білої троянди</t>
  </si>
  <si>
    <t>1056.txt</t>
  </si>
  <si>
    <t>Dry Red Rose Bush</t>
  </si>
  <si>
    <t>乾燥的紅玫瑰灌木叢</t>
  </si>
  <si>
    <t>干燥的红玫瑰灌木丛</t>
  </si>
  <si>
    <t>Сухий кущ червоної троянди</t>
  </si>
  <si>
    <t>1057.txt</t>
  </si>
  <si>
    <t>Vigorous Red Rose Bush</t>
  </si>
  <si>
    <t>茂盛的紅玫瑰灌木叢</t>
  </si>
  <si>
    <t>茂盛的红玫瑰灌木丛</t>
  </si>
  <si>
    <t>Сильнорослий кущ червоної троянди</t>
  </si>
  <si>
    <t>1058.txt</t>
  </si>
  <si>
    <t>Vigorous White Rose Bush</t>
  </si>
  <si>
    <t>茂盛的白玫瑰灌木叢</t>
  </si>
  <si>
    <t>茂盛的白玫瑰灌木丛</t>
  </si>
  <si>
    <t>Сильнорослий кущ білої троянди</t>
  </si>
  <si>
    <t>1059.txt</t>
  </si>
  <si>
    <t>Red Rose Bush</t>
  </si>
  <si>
    <t>紅玫瑰灌木叢</t>
  </si>
  <si>
    <t>红玫瑰灌木丛</t>
  </si>
  <si>
    <t>Кущ червоної троянди</t>
  </si>
  <si>
    <t>1060.txt</t>
  </si>
  <si>
    <t>White Rose Bush</t>
  </si>
  <si>
    <t>白玫瑰灌木叢</t>
  </si>
  <si>
    <t>白玫瑰灌木丛</t>
  </si>
  <si>
    <t>Кущ білої троянди</t>
  </si>
  <si>
    <t>1061.txt</t>
  </si>
  <si>
    <t>Cold Bowl# just inserted</t>
  </si>
  <si>
    <t>冷藏容器# just inserted</t>
  </si>
  <si>
    <t>1062.txt</t>
  </si>
  <si>
    <t>Marked Grave# origGrave mother</t>
  </si>
  <si>
    <t>墓碑# origGrave mother</t>
  </si>
  <si>
    <t>Позначено Могила# # origGrave mother</t>
  </si>
  <si>
    <t>1063.txt</t>
  </si>
  <si>
    <t>Marked Grave# origGrave brother</t>
  </si>
  <si>
    <t>墓碑# origGrave brother</t>
  </si>
  <si>
    <t>Позначено Могила# origGrave brother</t>
  </si>
  <si>
    <t>1064.txt</t>
  </si>
  <si>
    <t>Marked Grave# origGrave sister</t>
  </si>
  <si>
    <t>墓碑# origGrave sister</t>
  </si>
  <si>
    <t>Позначено Grave# origGrave sister</t>
  </si>
  <si>
    <t>1065.txt</t>
  </si>
  <si>
    <t>Marked Grave# origGrave uncle</t>
  </si>
  <si>
    <t>墓碑# origGrave uncle</t>
  </si>
  <si>
    <t>Позначено Могила# origGrave uncle</t>
  </si>
  <si>
    <t>1066.txt</t>
  </si>
  <si>
    <t>Marked Grave# origGrave son</t>
  </si>
  <si>
    <t>墓碑# origGrave son</t>
  </si>
  <si>
    <t>Позначено Могила# # origGrave son</t>
  </si>
  <si>
    <t>1067.txt</t>
  </si>
  <si>
    <t>Marked Grave# origGrave daughter</t>
  </si>
  <si>
    <t>墓碑# origGrave daughter</t>
  </si>
  <si>
    <t>Позначено Grave# origGrave daughter</t>
  </si>
  <si>
    <t>1068.txt</t>
  </si>
  <si>
    <t>Marked Grave# origGrave aunt</t>
  </si>
  <si>
    <t>墓碑# origGrave aunt</t>
  </si>
  <si>
    <t>Позначено Могила# origGrave aunt</t>
  </si>
  <si>
    <t>1069.txt</t>
  </si>
  <si>
    <t>Mother Template Grave# origGrave</t>
  </si>
  <si>
    <t>母親的墓碑# origGrave</t>
  </si>
  <si>
    <t>母亲的墓碑# origGrave</t>
  </si>
  <si>
    <t>1070.txt</t>
  </si>
  <si>
    <t>Mother Template Grave with Chisel# origGrave</t>
  </si>
  <si>
    <t>母親的墓碑與鑿子# origGrave</t>
  </si>
  <si>
    <t>母亲的墓碑与凿子# origGrave</t>
  </si>
  <si>
    <t>1071.txt</t>
  </si>
  <si>
    <t>Marked Grave with Chisel# origGrave mother</t>
  </si>
  <si>
    <t>墓碑與鑿子# origGrave mother</t>
  </si>
  <si>
    <t>墓碑与凿子# origGrave mother</t>
  </si>
  <si>
    <t>Позначена Могила Долотом# origGrave mother</t>
  </si>
  <si>
    <t>1072.txt</t>
  </si>
  <si>
    <t>Marked Grave# origGrave just placed</t>
  </si>
  <si>
    <t>墓碑# origGrave just placed</t>
  </si>
  <si>
    <t>Позначено Могила# origGrave just placed</t>
  </si>
  <si>
    <t>1073.txt</t>
  </si>
  <si>
    <t>Double S</t>
  </si>
  <si>
    <t>兩個S</t>
  </si>
  <si>
    <t>两个S</t>
  </si>
  <si>
    <t>Подвійний S</t>
  </si>
  <si>
    <t>1074.txt</t>
  </si>
  <si>
    <t>Aunt Template Grave# origGrave</t>
  </si>
  <si>
    <t>姑媽的墓碑# origGrave</t>
  </si>
  <si>
    <t>姑妈的墓碑# origGrave</t>
  </si>
  <si>
    <t>Тітка Шаблон Могила# origGrave</t>
  </si>
  <si>
    <t>1075.txt</t>
  </si>
  <si>
    <t>Aunt Template Grave with Chisel# origGrave</t>
  </si>
  <si>
    <t>姑媽的墓碑與鑿子# origGrave</t>
  </si>
  <si>
    <t>姑妈的墓碑与凿子# origGrave</t>
  </si>
  <si>
    <t>Тітка Шаблон Могила з долотом# origGrave</t>
  </si>
  <si>
    <t>1077.txt</t>
  </si>
  <si>
    <t>Marked Grave with Chisel# origGrave aunt</t>
  </si>
  <si>
    <t>墓碑與鑿子# origGrave aunt</t>
  </si>
  <si>
    <t>墓碑与凿子# origGrave aunt</t>
  </si>
  <si>
    <t>Позначена могила різцем# # origGrave aunt</t>
  </si>
  <si>
    <t>1078.txt</t>
  </si>
  <si>
    <t>Uncle Template Grave# origGrave</t>
  </si>
  <si>
    <t>舅舅的墓碑# origGrave</t>
  </si>
  <si>
    <t>Дядько Шаблон Могила# origGrave</t>
  </si>
  <si>
    <t>1079.txt</t>
  </si>
  <si>
    <t>Uncle Template Grave with Chisel# origGrave</t>
  </si>
  <si>
    <t>舅舅的墓碑與鑿子# origGrave</t>
  </si>
  <si>
    <t>舅舅的墓碑与凿子# origGrave</t>
  </si>
  <si>
    <t>Дядько Шаблон Могила з Долотом# origGrave</t>
  </si>
  <si>
    <t>1080.txt</t>
  </si>
  <si>
    <t>Marked Grave with Chisel# origGrave uncle</t>
  </si>
  <si>
    <t>墓碑與鑿子# origGrave uncle</t>
  </si>
  <si>
    <t>墓碑与凿子# origGrave uncle</t>
  </si>
  <si>
    <t>Позначена могила різцем# origGrave uncle</t>
  </si>
  <si>
    <t>1081.txt</t>
  </si>
  <si>
    <t>Brother Template Grave# origGrave</t>
  </si>
  <si>
    <t>兄弟的墓碑# origGrave</t>
  </si>
  <si>
    <t>Шаблон Brother Grave# origGrave</t>
  </si>
  <si>
    <t>1082.txt</t>
  </si>
  <si>
    <t>Brother Template Grave with Chisel# origGrave</t>
  </si>
  <si>
    <t>兄弟的墓碑與鑿子# origGrave</t>
  </si>
  <si>
    <t>兄弟的墓碑与凿子# origGrave</t>
  </si>
  <si>
    <t>1083.txt</t>
  </si>
  <si>
    <t>Marked Grave with Chisel# origGrave brother</t>
  </si>
  <si>
    <t>墓碑與鑿子# origGrave brother</t>
  </si>
  <si>
    <t>墓碑与凿子# origGrave brother</t>
  </si>
  <si>
    <t>Могила позначена різцем# origGrave brother</t>
  </si>
  <si>
    <t>1084.txt</t>
  </si>
  <si>
    <t>Sister Template Grave# origGrave</t>
  </si>
  <si>
    <t>姐妹的墓碑# origGrave</t>
  </si>
  <si>
    <t>Могила сестринського шаблону# origGrave</t>
  </si>
  <si>
    <t>1085.txt</t>
  </si>
  <si>
    <t>Sister Template Grave with Chisel# origGrave</t>
  </si>
  <si>
    <t>姐妹的墓碑與鑿子# origGrave</t>
  </si>
  <si>
    <t>姐妹的墓碑与凿子# origGrave</t>
  </si>
  <si>
    <t>Могила сестринського шаблону з долотом # origGrave</t>
  </si>
  <si>
    <t>1086.txt</t>
  </si>
  <si>
    <t>Marked Grave with Chisel# origGrave sister</t>
  </si>
  <si>
    <t>墓碑與鑿子# origGrave sister</t>
  </si>
  <si>
    <t>墓碑与凿子# origGrave sister</t>
  </si>
  <si>
    <t>Позначена могила різцем# origGrave sister</t>
  </si>
  <si>
    <t>1087.txt</t>
  </si>
  <si>
    <t>Son Template Grave# origGrave</t>
  </si>
  <si>
    <t>兒子的墓碑# origGrave</t>
  </si>
  <si>
    <t>儿子的墓碑# origGrave</t>
  </si>
  <si>
    <t>Син Шаблон Grave# origGrave</t>
  </si>
  <si>
    <t>1088.txt</t>
  </si>
  <si>
    <t>Son Template Grave with Chisel# origGrave</t>
  </si>
  <si>
    <t>兒子的墓碑與鑿子# origGrave</t>
  </si>
  <si>
    <t>儿子的墓碑与凿子# origGrave</t>
  </si>
  <si>
    <t>Син Шаблон Могила з долотом # origGrave</t>
  </si>
  <si>
    <t>1089.txt</t>
  </si>
  <si>
    <t>Marked Grave with Chisel# origGrave son</t>
  </si>
  <si>
    <t>墓碑與鑿子# origGrave son</t>
  </si>
  <si>
    <t>墓碑与凿子# origGrave son</t>
  </si>
  <si>
    <t>Позначена могила долотом## origGrave son</t>
  </si>
  <si>
    <t>1090.txt</t>
  </si>
  <si>
    <t>Daughter Template Grave# origGrave</t>
  </si>
  <si>
    <t>女兒的墓碑# origGrave</t>
  </si>
  <si>
    <t>女儿的墓碑# origGrave</t>
  </si>
  <si>
    <t>Дочірній шаблон Grave# origGrave</t>
  </si>
  <si>
    <t>1091.txt</t>
  </si>
  <si>
    <t>Daughter Template Grave with Chisel# origGrave</t>
  </si>
  <si>
    <t>女兒的墓碑與鑿子# origGrave</t>
  </si>
  <si>
    <t>女儿的墓碑与凿子# origGrave</t>
  </si>
  <si>
    <t>Дочірній шаблон Grave з долотом # origGrave</t>
  </si>
  <si>
    <t>1092.txt</t>
  </si>
  <si>
    <t>Marked Grave with Chisel# origGrave daughter</t>
  </si>
  <si>
    <t>墓碑與鑿子# origGrave daughter</t>
  </si>
  <si>
    <t>墓碑与凿子# origGrave daughter</t>
  </si>
  <si>
    <t>Позначена могила різцем# origGrave daughter</t>
  </si>
  <si>
    <t>1093.txt</t>
  </si>
  <si>
    <t>Blue Rose</t>
  </si>
  <si>
    <t>藍玫瑰</t>
  </si>
  <si>
    <t>蓝玫瑰</t>
  </si>
  <si>
    <t>Блакитна троянда</t>
  </si>
  <si>
    <t>1096.txt</t>
  </si>
  <si>
    <t>Well Site# eveSecondaryLoc</t>
  </si>
  <si>
    <t>井址# eveSecondaryLoc</t>
  </si>
  <si>
    <t>1097.txt</t>
  </si>
  <si>
    <t>Full Deep Well</t>
  </si>
  <si>
    <t>填满的深井</t>
  </si>
  <si>
    <t>1098.txt</t>
  </si>
  <si>
    <t>Full Shallow Well</t>
  </si>
  <si>
    <t>填满的浅井</t>
  </si>
  <si>
    <t>1099.txt</t>
  </si>
  <si>
    <t>Partial Bucket of Water</t>
  </si>
  <si>
    <t>未滿水桶</t>
  </si>
  <si>
    <t>未满水桶</t>
  </si>
  <si>
    <t>Часткове відро води</t>
  </si>
  <si>
    <t>1100.txt</t>
  </si>
  <si>
    <t>Empty Bucket# just emptied</t>
  </si>
  <si>
    <t>空桶# just emptied</t>
  </si>
  <si>
    <t>Порожнє відро # just emptied</t>
  </si>
  <si>
    <t>1101.txt</t>
  </si>
  <si>
    <t>Fertile Soil Pile</t>
  </si>
  <si>
    <t>肥沃的土堆</t>
  </si>
  <si>
    <t>Купа родючого ґрунту</t>
  </si>
  <si>
    <t>1105.txt</t>
  </si>
  <si>
    <t>@ Non Vigorous Gooseberry</t>
  </si>
  <si>
    <t>1106.txt</t>
  </si>
  <si>
    <t>Dug Fertile Soil Pit#partial</t>
  </si>
  <si>
    <t>挖過的沃土堆#partial</t>
  </si>
  <si>
    <t>挖过的沃土堆#partial</t>
  </si>
  <si>
    <t>Викопана яма для родючого ґрунту#частково</t>
  </si>
  <si>
    <t>1107.txt</t>
  </si>
  <si>
    <t>Teosinte</t>
  </si>
  <si>
    <t>野生蜀黍</t>
  </si>
  <si>
    <t>Теосинт</t>
  </si>
  <si>
    <t>1108.txt</t>
  </si>
  <si>
    <t>Teosinte Seed Head</t>
  </si>
  <si>
    <t>野生蜀黍種子</t>
  </si>
  <si>
    <t>野生蜀黍种子</t>
  </si>
  <si>
    <t>Насіннєва головка теосинту</t>
  </si>
  <si>
    <t>1109.txt</t>
  </si>
  <si>
    <t>Dry Planted Corn Seed</t>
  </si>
  <si>
    <t>乾燥的玉米地</t>
  </si>
  <si>
    <t>干燥的玉米地</t>
  </si>
  <si>
    <t>Сухе посаджене насіння кукурудзи</t>
  </si>
  <si>
    <t>1110.txt</t>
  </si>
  <si>
    <t>Wet Planted Corn Seed</t>
  </si>
  <si>
    <t>溼潤的玉米地</t>
  </si>
  <si>
    <t>湿润的玉米地</t>
  </si>
  <si>
    <t>Вологе посаджене насіння кукурудзи</t>
  </si>
  <si>
    <t>1111.txt</t>
  </si>
  <si>
    <t>Corn Sprout</t>
  </si>
  <si>
    <t>玉米幼苗</t>
  </si>
  <si>
    <t>Паросток кукурудзи</t>
  </si>
  <si>
    <t>1112.txt</t>
  </si>
  <si>
    <t>Corn Plant</t>
  </si>
  <si>
    <t>玉米</t>
  </si>
  <si>
    <t>Завод кукурудзи</t>
  </si>
  <si>
    <t>1113.txt</t>
  </si>
  <si>
    <t>Ear of Corn</t>
  </si>
  <si>
    <t>玉米穗</t>
  </si>
  <si>
    <t>Колосок</t>
  </si>
  <si>
    <t>1114.txt</t>
  </si>
  <si>
    <t>Shucked Ear of Corn</t>
  </si>
  <si>
    <t>剝殼玉米穗</t>
  </si>
  <si>
    <t>剥壳玉米穗</t>
  </si>
  <si>
    <t>Очищене колосся</t>
  </si>
  <si>
    <t>1115.txt</t>
  </si>
  <si>
    <t>Dried Ear of Corn</t>
  </si>
  <si>
    <t>乾燥的玉米穗</t>
  </si>
  <si>
    <t>干燥的玉米穗</t>
  </si>
  <si>
    <t>Сушений колос</t>
  </si>
  <si>
    <t>1117.txt</t>
  </si>
  <si>
    <t>Straw Hat</t>
  </si>
  <si>
    <t>草帽</t>
  </si>
  <si>
    <t>Солом'яний капелюх</t>
  </si>
  <si>
    <t>1118.txt</t>
  </si>
  <si>
    <t>Dried Ear of Corn with Kernel</t>
  </si>
  <si>
    <t>乾燥的玉米穗與玉米粒</t>
  </si>
  <si>
    <t>干燥的玉米穗与玉米粒</t>
  </si>
  <si>
    <t>Сушений колос із зерном</t>
  </si>
  <si>
    <t>1119.txt</t>
  </si>
  <si>
    <t>Corn Kernel</t>
  </si>
  <si>
    <t>玉米粒</t>
  </si>
  <si>
    <t>Кукурудзяне зерно</t>
  </si>
  <si>
    <t>1120.txt</t>
  </si>
  <si>
    <t>Bowl with Corn Cob</t>
  </si>
  <si>
    <t>一碗玉米芯</t>
  </si>
  <si>
    <t>Чаша з качанами кукурудзи</t>
  </si>
  <si>
    <t>1121.txt</t>
  </si>
  <si>
    <t>Popcorn</t>
  </si>
  <si>
    <t>爆米花</t>
  </si>
  <si>
    <t>1122.txt</t>
  </si>
  <si>
    <t>Popping Corn</t>
  </si>
  <si>
    <t>正在爆開的玉米粒</t>
  </si>
  <si>
    <t>正在爆开的玉米粒</t>
  </si>
  <si>
    <t>Попінг кукурудза</t>
  </si>
  <si>
    <t>1123.txt</t>
  </si>
  <si>
    <t>Bare Teosinte</t>
  </si>
  <si>
    <t>空的蜀黍</t>
  </si>
  <si>
    <t>Голий Теосинт</t>
  </si>
  <si>
    <t>1125.txt</t>
  </si>
  <si>
    <t>Ball of Thread</t>
  </si>
  <si>
    <t>毛線球</t>
  </si>
  <si>
    <t>毛线球</t>
  </si>
  <si>
    <t>Клубок ниток</t>
  </si>
  <si>
    <t>1126.txt</t>
  </si>
  <si>
    <t>Needle and Ball of Thread</t>
  </si>
  <si>
    <t>针线球</t>
  </si>
  <si>
    <t>1127.txt</t>
  </si>
  <si>
    <t>@ Hand Sew</t>
  </si>
  <si>
    <t>1128.txt</t>
  </si>
  <si>
    <t>Dug Teosinte</t>
  </si>
  <si>
    <t>被挖起的蜀黍</t>
  </si>
  <si>
    <t>Викопаний Теосинте</t>
  </si>
  <si>
    <t>1129.txt</t>
  </si>
  <si>
    <t>(outdated) Snake-Bit Riding Horse# just died</t>
  </si>
  <si>
    <t>（过时）蛇咬骑马# just died</t>
  </si>
  <si>
    <t>1130.txt</t>
  </si>
  <si>
    <t>(outdated) Snake-Bit Riding Horse# ground</t>
  </si>
  <si>
    <t>（过时）蛇咬骑马# ground</t>
  </si>
  <si>
    <t>1132.txt</t>
  </si>
  <si>
    <t>(outdated) Tipped Horse-Drawn Cart# just tipped</t>
  </si>
  <si>
    <t>（过时）倾斜的马车# just tipped</t>
  </si>
  <si>
    <t>1133.txt</t>
  </si>
  <si>
    <t>(outdated) Tipped Horse-Drawn Cart# ground</t>
  </si>
  <si>
    <t>（过时）倾斜马车# ground</t>
  </si>
  <si>
    <t>1134.txt</t>
  </si>
  <si>
    <t>Vigorous Domestic Gooseberry Bush</t>
  </si>
  <si>
    <t>蓬勃的家栽醋栗叢</t>
  </si>
  <si>
    <t>蓬勃的家栽醋栗丛</t>
  </si>
  <si>
    <t>Кущ домашнього агрусу сильнорослий</t>
  </si>
  <si>
    <t>1135.txt</t>
  </si>
  <si>
    <t>Empty Domestic Gooseberry Bush</t>
  </si>
  <si>
    <t>空的家栽醋栗叢</t>
  </si>
  <si>
    <t>空的家栽醋栗丛</t>
  </si>
  <si>
    <t>Порожній домашній кущ агрусу</t>
  </si>
  <si>
    <t>1136.txt</t>
  </si>
  <si>
    <t>Shallow Tilled Row# groundOnly</t>
  </si>
  <si>
    <t>浅耕地# groundOnly</t>
  </si>
  <si>
    <t>1137.txt</t>
  </si>
  <si>
    <t>Bowl of Soil</t>
  </si>
  <si>
    <t>一碗土</t>
  </si>
  <si>
    <t>Чаша з ґрунтом</t>
  </si>
  <si>
    <t>1138.txt</t>
  </si>
  <si>
    <t>Fertile Soil</t>
  </si>
  <si>
    <t>沃土</t>
  </si>
  <si>
    <t>肥沃的土壤</t>
  </si>
  <si>
    <t>Родюча земля</t>
  </si>
  <si>
    <t>1140.txt</t>
  </si>
  <si>
    <t>Wild Potato</t>
  </si>
  <si>
    <t>野生馬鈴薯</t>
  </si>
  <si>
    <t>野生马铃薯</t>
  </si>
  <si>
    <t>Дика картопля</t>
  </si>
  <si>
    <t>1141.txt</t>
  </si>
  <si>
    <t>Wild Potato Tubers</t>
  </si>
  <si>
    <t>野生馬鈴薯塊根</t>
  </si>
  <si>
    <t>野生马铃薯块根</t>
  </si>
  <si>
    <t>Бульби дикої картоплі</t>
  </si>
  <si>
    <t>1142.txt</t>
  </si>
  <si>
    <t>Wet Planted Potatoes</t>
  </si>
  <si>
    <t>溼潤的馬鈴薯田</t>
  </si>
  <si>
    <t>湿润的马铃薯田</t>
  </si>
  <si>
    <t>Мокра посадка картоплі</t>
  </si>
  <si>
    <t>1143.txt</t>
  </si>
  <si>
    <t>Potato Plants</t>
  </si>
  <si>
    <t>馬鈴薯</t>
  </si>
  <si>
    <t>马铃薯</t>
  </si>
  <si>
    <t>Рослини картоплі</t>
  </si>
  <si>
    <t>1144.txt</t>
  </si>
  <si>
    <t>Mounded Potato Plants</t>
  </si>
  <si>
    <t>馬鈴薯田壟</t>
  </si>
  <si>
    <t>马铃薯田垄</t>
  </si>
  <si>
    <t>Насипні рослини картоплі</t>
  </si>
  <si>
    <t>1145.txt</t>
  </si>
  <si>
    <t>Dry Planted Potatoes</t>
  </si>
  <si>
    <t>乾燥的馬鈴薯田</t>
  </si>
  <si>
    <t>干燥的马铃薯田</t>
  </si>
  <si>
    <t>Суха посаджена картопля</t>
  </si>
  <si>
    <t>1146.txt</t>
  </si>
  <si>
    <t>Mature Potato Plants</t>
  </si>
  <si>
    <t>成熟的馬鈴薯</t>
  </si>
  <si>
    <t>成熟的马铃薯</t>
  </si>
  <si>
    <t>Дорослі рослини картоплі</t>
  </si>
  <si>
    <t>1147.txt</t>
  </si>
  <si>
    <t>Raw Potato</t>
  </si>
  <si>
    <t>生馬鈴薯</t>
  </si>
  <si>
    <t>生马铃薯</t>
  </si>
  <si>
    <t>Сира картопля</t>
  </si>
  <si>
    <t>1148.txt</t>
  </si>
  <si>
    <t>Baked Potato</t>
  </si>
  <si>
    <t>烤馬鈴薯</t>
  </si>
  <si>
    <t>烤马铃薯</t>
  </si>
  <si>
    <t>Запечена картопля</t>
  </si>
  <si>
    <t>1149.txt</t>
  </si>
  <si>
    <t>Half Baked Potato</t>
  </si>
  <si>
    <t>半烤土豆</t>
  </si>
  <si>
    <t>1150.txt</t>
  </si>
  <si>
    <t>Dug Potato</t>
  </si>
  <si>
    <t>挖土豆</t>
  </si>
  <si>
    <t>1152.txt</t>
  </si>
  <si>
    <t>Potato in Water</t>
  </si>
  <si>
    <t>用水浸泡的馬鈴薯</t>
  </si>
  <si>
    <t>用水浸泡的马铃薯</t>
  </si>
  <si>
    <t>Картопля у воді</t>
  </si>
  <si>
    <t>1153.txt</t>
  </si>
  <si>
    <t>Sprouting Potato</t>
  </si>
  <si>
    <t>發芽的馬鈴薯</t>
  </si>
  <si>
    <t>发芽的马铃薯</t>
  </si>
  <si>
    <t>Пророщення картоплі</t>
  </si>
  <si>
    <t>1154.txt</t>
  </si>
  <si>
    <t>1155.txt</t>
  </si>
  <si>
    <t>Split Potato Sprouts</t>
  </si>
  <si>
    <t>切片馬鈴薯芽</t>
  </si>
  <si>
    <t>切片马铃薯芽</t>
  </si>
  <si>
    <t>Паростки картоплі</t>
  </si>
  <si>
    <t>1156.txt</t>
  </si>
  <si>
    <t>Raw Potato# just dug</t>
  </si>
  <si>
    <t>生馬鈴薯# just dug</t>
  </si>
  <si>
    <t>生马铃薯# just dug</t>
  </si>
  <si>
    <t>Сира картопля# just dug</t>
  </si>
  <si>
    <t>1157.txt</t>
  </si>
  <si>
    <t>Wild Bean Plant</t>
  </si>
  <si>
    <t>野生豆</t>
  </si>
  <si>
    <t>Дика квасоля</t>
  </si>
  <si>
    <t>1158.txt</t>
  </si>
  <si>
    <t>Empty Wild Bean Plant</t>
  </si>
  <si>
    <t>空的野生豆</t>
  </si>
  <si>
    <t>Порожній завод дикої квасолі</t>
  </si>
  <si>
    <t>1159.txt</t>
  </si>
  <si>
    <t>Dug Wild Bean Plant</t>
  </si>
  <si>
    <t>被挖起的野生豆</t>
  </si>
  <si>
    <t>Викопана дика квасоля</t>
  </si>
  <si>
    <t>1160.txt</t>
  </si>
  <si>
    <t>Dry Bean Pod</t>
  </si>
  <si>
    <t>乾燥豆莢</t>
  </si>
  <si>
    <t>干燥豆荚</t>
  </si>
  <si>
    <t>Сухі стручки квасолі</t>
  </si>
  <si>
    <t>1161.txt</t>
  </si>
  <si>
    <t>Dry Planted Beans</t>
  </si>
  <si>
    <t>乾燥的豆田</t>
  </si>
  <si>
    <t>干燥的豆田</t>
  </si>
  <si>
    <t>Сухі посаджені боби</t>
  </si>
  <si>
    <t>1162.txt</t>
  </si>
  <si>
    <t>Wet Planted Beans</t>
  </si>
  <si>
    <t>溼潤的豆田</t>
  </si>
  <si>
    <t>湿润的豆田</t>
  </si>
  <si>
    <t>Волога посадка квасолі</t>
  </si>
  <si>
    <t>1163.txt</t>
  </si>
  <si>
    <t>Bean Sprouts</t>
  </si>
  <si>
    <t>豆芽</t>
  </si>
  <si>
    <t>Паростки квасолі</t>
  </si>
  <si>
    <t>1172.txt</t>
  </si>
  <si>
    <t>Dry Bean Plants</t>
  </si>
  <si>
    <t>乾燥的豆</t>
  </si>
  <si>
    <t>干燥的豆子</t>
  </si>
  <si>
    <t>Сухі бобові рослини</t>
  </si>
  <si>
    <t>1173.txt</t>
  </si>
  <si>
    <t>Green Bean Plants</t>
  </si>
  <si>
    <t>新鮮豆</t>
  </si>
  <si>
    <t>新鲜豆子</t>
  </si>
  <si>
    <t>Рослини зеленої квасолі</t>
  </si>
  <si>
    <t>1175.txt</t>
  </si>
  <si>
    <t>Bowl of Green Beans</t>
  </si>
  <si>
    <t>一碗豆</t>
  </si>
  <si>
    <t>一碗豆子</t>
  </si>
  <si>
    <t>Чаша зелених бобів</t>
  </si>
  <si>
    <t>1176.txt</t>
  </si>
  <si>
    <t>Bowl of Dry Beans</t>
  </si>
  <si>
    <t>一碗乾燥的豆</t>
  </si>
  <si>
    <t>一碗干燥的豆子</t>
  </si>
  <si>
    <t>Чаша сухих бобів</t>
  </si>
  <si>
    <t>1177.txt</t>
  </si>
  <si>
    <t>Dry Beans with Chaff</t>
  </si>
  <si>
    <t>一碗剝殼豆</t>
  </si>
  <si>
    <t>一碗剥壳豆子</t>
  </si>
  <si>
    <t>Суха квасоля з половою</t>
  </si>
  <si>
    <t>1178.txt</t>
  </si>
  <si>
    <t>Winnowed Dry Beans</t>
  </si>
  <si>
    <t>簸箕幹豆</t>
  </si>
  <si>
    <t>簸箕干豆子</t>
  </si>
  <si>
    <t>Відвіяна суха квасоля</t>
  </si>
  <si>
    <t>1179.txt</t>
  </si>
  <si>
    <t>Bowl of Cleaned Dried Beans</t>
  </si>
  <si>
    <t>一碗乾淨的豆</t>
  </si>
  <si>
    <t>一碗干净的豆子</t>
  </si>
  <si>
    <t>Чаша очищених сушених бобів</t>
  </si>
  <si>
    <t>1180.txt</t>
  </si>
  <si>
    <t>Bowl of Soaking Beans</t>
  </si>
  <si>
    <t>一碗正在浸泡的豆子</t>
  </si>
  <si>
    <t>1181.txt</t>
  </si>
  <si>
    <t>Bowl of Soaked Beans</t>
  </si>
  <si>
    <t>一碗浸泡過的豆</t>
  </si>
  <si>
    <t>一碗浸泡过的豆子</t>
  </si>
  <si>
    <t>Миска замоченої квасолі# +contFoodDish</t>
  </si>
  <si>
    <t>1183.txt</t>
  </si>
  <si>
    <t>Wild Squash</t>
  </si>
  <si>
    <t>野生筍瓜</t>
  </si>
  <si>
    <t>野生笋瓜</t>
  </si>
  <si>
    <t>Дикий кабачок</t>
  </si>
  <si>
    <t>1184.txt</t>
  </si>
  <si>
    <t>Wild Squash Plant</t>
  </si>
  <si>
    <t>Дика кабачкова рослина</t>
  </si>
  <si>
    <t>1185.txt</t>
  </si>
  <si>
    <t>Empty Wild Squash Plant</t>
  </si>
  <si>
    <t>空的野生筍瓜</t>
  </si>
  <si>
    <t>空的野生笋瓜</t>
  </si>
  <si>
    <t>Порожній дикий кабачковий завод</t>
  </si>
  <si>
    <t>1186.txt</t>
  </si>
  <si>
    <t>Squash Seeds</t>
  </si>
  <si>
    <t>筍瓜種子</t>
  </si>
  <si>
    <t>笋瓜种子</t>
  </si>
  <si>
    <t>Насіння кабачків</t>
  </si>
  <si>
    <t>1188.txt</t>
  </si>
  <si>
    <t>Dug Wild Squash Plant</t>
  </si>
  <si>
    <t>被挖起的野生筍瓜</t>
  </si>
  <si>
    <t>被挖起的野生笋瓜</t>
  </si>
  <si>
    <t>Викопаний дикий кабачок</t>
  </si>
  <si>
    <t>1189.txt</t>
  </si>
  <si>
    <t>@ Pounder</t>
  </si>
  <si>
    <t>1190.txt</t>
  </si>
  <si>
    <t>Wet Planted Squash Seed</t>
  </si>
  <si>
    <t>湿栽南瓜籽</t>
  </si>
  <si>
    <t>1191.txt</t>
  </si>
  <si>
    <t>Squash Sprout</t>
  </si>
  <si>
    <t>筍瓜芽</t>
  </si>
  <si>
    <t>笋瓜芽</t>
  </si>
  <si>
    <t>Росток кабачка</t>
  </si>
  <si>
    <t>1192.txt</t>
  </si>
  <si>
    <t>Dry Planted Squash Seed</t>
  </si>
  <si>
    <t>干栽南瓜籽</t>
  </si>
  <si>
    <t>1195.txt</t>
  </si>
  <si>
    <t>Blooming Squash Plant</t>
  </si>
  <si>
    <t>盛開的筍瓜</t>
  </si>
  <si>
    <t>盛开的笋瓜</t>
  </si>
  <si>
    <t>Квітучий кабачок</t>
  </si>
  <si>
    <t>1196.txt</t>
  </si>
  <si>
    <t>Ripe Squash Plant</t>
  </si>
  <si>
    <t>結果的筍瓜</t>
  </si>
  <si>
    <t>结果的笋瓜</t>
  </si>
  <si>
    <t>Стиглий кабачок</t>
  </si>
  <si>
    <t>1197.txt</t>
  </si>
  <si>
    <t>Growing Squash Plant</t>
  </si>
  <si>
    <t>生長中的筍瓜</t>
  </si>
  <si>
    <t>生长中的笋瓜</t>
  </si>
  <si>
    <t>Вирощування кабачків</t>
  </si>
  <si>
    <t>1198.txt</t>
  </si>
  <si>
    <t>Cut Hubbard Squash</t>
  </si>
  <si>
    <t>被切下的筍瓜</t>
  </si>
  <si>
    <t>被切下的笋瓜</t>
  </si>
  <si>
    <t>Нарізати кабачок Хаббард</t>
  </si>
  <si>
    <t>1199.txt</t>
  </si>
  <si>
    <t>Hubbard Squash</t>
  </si>
  <si>
    <t>筍瓜</t>
  </si>
  <si>
    <t>笋瓜</t>
  </si>
  <si>
    <t>Хаббард Сквош</t>
  </si>
  <si>
    <t>1200.txt</t>
  </si>
  <si>
    <t>Hubbard Squash On Plate</t>
  </si>
  <si>
    <t>盤子上的筍瓜</t>
  </si>
  <si>
    <t>盘子上的笋瓜</t>
  </si>
  <si>
    <t>Кабачок Хаббард на тарілці</t>
  </si>
  <si>
    <t>1201.txt</t>
  </si>
  <si>
    <t>Plate of Squash Chunks with Seeds</t>
  </si>
  <si>
    <t>一盘带籽南瓜块</t>
  </si>
  <si>
    <t>Упакований Loom</t>
  </si>
  <si>
    <t>1202.txt</t>
  </si>
  <si>
    <t>Plate of Squash Chunks</t>
  </si>
  <si>
    <t>一盘南瓜块</t>
  </si>
  <si>
    <t>Наповнений ставок# +hungryWork10</t>
  </si>
  <si>
    <t>1203.txt</t>
  </si>
  <si>
    <t>Wild Cabbage</t>
  </si>
  <si>
    <t>野生捲心菜</t>
  </si>
  <si>
    <t>野生卷心菜</t>
  </si>
  <si>
    <t>Дика капуста</t>
  </si>
  <si>
    <t>1204.txt</t>
  </si>
  <si>
    <t>Dug Wild Cabbage</t>
  </si>
  <si>
    <t>被挖起的野生捲心菜</t>
  </si>
  <si>
    <t>被挖起的野生卷心菜</t>
  </si>
  <si>
    <t>Викопана дика капуста</t>
  </si>
  <si>
    <t>1206.txt</t>
  </si>
  <si>
    <t>Cabbage Seed</t>
  </si>
  <si>
    <t>捲心菜種子</t>
  </si>
  <si>
    <t>卷心菜种子</t>
  </si>
  <si>
    <t>Насіння капусти</t>
  </si>
  <si>
    <t>1207.txt</t>
  </si>
  <si>
    <t>Dry Planted Cabbage Seed</t>
  </si>
  <si>
    <t>乾燥的捲心菜田</t>
  </si>
  <si>
    <t>干燥的卷心菜田</t>
  </si>
  <si>
    <t>Сухе посаджене насіння капусти</t>
  </si>
  <si>
    <t>1208.txt</t>
  </si>
  <si>
    <t>Wet Planted Cabbage Seed</t>
  </si>
  <si>
    <t>溼潤的捲心菜田</t>
  </si>
  <si>
    <t>湿润的卷心菜田</t>
  </si>
  <si>
    <t>Вологе посаджене насіння капусти</t>
  </si>
  <si>
    <t>1209.txt</t>
  </si>
  <si>
    <t>Cabbage Sprout</t>
  </si>
  <si>
    <t>捲心菜幼苗</t>
  </si>
  <si>
    <t>卷心菜幼苗</t>
  </si>
  <si>
    <t>Розсада капусти</t>
  </si>
  <si>
    <t>1210.txt</t>
  </si>
  <si>
    <t>Ripe Cabbage Plant</t>
  </si>
  <si>
    <t>結果的捲心菜</t>
  </si>
  <si>
    <t>结果的卷心菜</t>
  </si>
  <si>
    <t>Стигла капуста</t>
  </si>
  <si>
    <t>1211.txt</t>
  </si>
  <si>
    <t>Cut Red Cabbage</t>
  </si>
  <si>
    <t>被切下的紅捲心菜</t>
  </si>
  <si>
    <t>被切下的红卷心菜</t>
  </si>
  <si>
    <t>Нарізати червонокачанну капусту</t>
  </si>
  <si>
    <t>1212.txt</t>
  </si>
  <si>
    <t>Red Cabbage</t>
  </si>
  <si>
    <t>紅捲心菜</t>
  </si>
  <si>
    <t>红卷心菜</t>
  </si>
  <si>
    <t>Червона капуста</t>
  </si>
  <si>
    <t>1213.txt</t>
  </si>
  <si>
    <t>Three Steel Blades</t>
  </si>
  <si>
    <t>三條鋼製刀刃</t>
  </si>
  <si>
    <t>三条钢制刀刃</t>
  </si>
  <si>
    <t>Три сталеві леза</t>
  </si>
  <si>
    <t>1214.txt</t>
  </si>
  <si>
    <t>Kraut Board</t>
  </si>
  <si>
    <t>切菜板</t>
  </si>
  <si>
    <t>Краут дошка</t>
  </si>
  <si>
    <t>1215.txt</t>
  </si>
  <si>
    <t>Seeding Cabbage Plant</t>
  </si>
  <si>
    <t>結種的捲心菜</t>
  </si>
  <si>
    <t>结种的卷心菜</t>
  </si>
  <si>
    <t>Посів капусти</t>
  </si>
  <si>
    <t>1216.txt</t>
  </si>
  <si>
    <t>Wet Clay Crock</t>
  </si>
  <si>
    <t>濕粘土罐</t>
  </si>
  <si>
    <t>湿的粘土罐</t>
  </si>
  <si>
    <t>Втеча, запряжена кіньми, візок</t>
  </si>
  <si>
    <t>1217.txt</t>
  </si>
  <si>
    <t>Clay Crock</t>
  </si>
  <si>
    <t>粘土罐</t>
  </si>
  <si>
    <t>Гужовий візок</t>
  </si>
  <si>
    <t>1218.txt</t>
  </si>
  <si>
    <t>Wet Crock in Wooden Tongs</t>
  </si>
  <si>
    <t>被木鉗夾著的溼黏土罐</t>
  </si>
  <si>
    <t>被木钳夹着的湿黏土罐</t>
  </si>
  <si>
    <t>Мокрий кувшин у дерев’яних щипцях</t>
  </si>
  <si>
    <t>1219.txt</t>
  </si>
  <si>
    <t>Wooden Tongs with Fired Crock</t>
  </si>
  <si>
    <t>被木鉗夾著的燒製黏土罐</t>
  </si>
  <si>
    <t>被木钳夹着的烧制黏土罐</t>
  </si>
  <si>
    <t>Дерев'яні щипці з обпаленим глиняним краєм</t>
  </si>
  <si>
    <t>1220.txt</t>
  </si>
  <si>
    <t>Crock with Kraut Board</t>
  </si>
  <si>
    <t>切菜板與罐</t>
  </si>
  <si>
    <t>切菜板与罐</t>
  </si>
  <si>
    <t>Глиняний горщик з дошкою для крауту</t>
  </si>
  <si>
    <t>1221.txt</t>
  </si>
  <si>
    <t>Stomper</t>
  </si>
  <si>
    <t>攪拌勺</t>
  </si>
  <si>
    <t>搅拌勺</t>
  </si>
  <si>
    <t>Стомпер</t>
  </si>
  <si>
    <t>1222.txt</t>
  </si>
  <si>
    <t>Shredded Cabbage</t>
  </si>
  <si>
    <t>手撕包菜</t>
  </si>
  <si>
    <t>1225.txt</t>
  </si>
  <si>
    <t>Shredded Cabbage with Board</t>
  </si>
  <si>
    <t>切菜板與切碎的捲心菜</t>
  </si>
  <si>
    <t>切菜板与切碎的卷心菜</t>
  </si>
  <si>
    <t>Нашаткована капуста з дошкою</t>
  </si>
  <si>
    <t>1226.txt</t>
  </si>
  <si>
    <t>Bowl of Salt Water</t>
  </si>
  <si>
    <t>@ Any Water Tank</t>
  </si>
  <si>
    <t>一碗盐水</t>
  </si>
  <si>
    <t>1227.txt</t>
  </si>
  <si>
    <t>@ Any Ice Hole</t>
  </si>
  <si>
    <t>1228.txt</t>
  </si>
  <si>
    <t>Full Salt Water Pouch</t>
  </si>
  <si>
    <t>裝滿的鹽水袋</t>
  </si>
  <si>
    <t>装满的盐水袋</t>
  </si>
  <si>
    <t>Повний пакет із солоною водою</t>
  </si>
  <si>
    <t>1230.txt</t>
  </si>
  <si>
    <t>Ice Hole# water dumped</t>
  </si>
  <si>
    <t>冰洞# water dumped</t>
  </si>
  <si>
    <t>1231.txt</t>
  </si>
  <si>
    <t>Simmering Salt Water</t>
  </si>
  <si>
    <t>煮沸的鹽水</t>
  </si>
  <si>
    <t>煮沸的盐水</t>
  </si>
  <si>
    <t>Кип'ятіння солоної води</t>
  </si>
  <si>
    <t>1232.txt</t>
  </si>
  <si>
    <t>Dried Salt</t>
  </si>
  <si>
    <t>乾燥的鹽</t>
  </si>
  <si>
    <t>干燥的盐</t>
  </si>
  <si>
    <t>Сушена сіль</t>
  </si>
  <si>
    <t>1233.txt</t>
  </si>
  <si>
    <t>Ashes with Bowl of Salt</t>
  </si>
  <si>
    <t>灰燼堆中的一碗鹽</t>
  </si>
  <si>
    <t>灰烬堆中的一碗盐</t>
  </si>
  <si>
    <t>Попіл із чашею солі</t>
  </si>
  <si>
    <t>1234.txt</t>
  </si>
  <si>
    <t>Bowl of Salt</t>
  </si>
  <si>
    <t>一碗鹽</t>
  </si>
  <si>
    <t>一碗盐</t>
  </si>
  <si>
    <t>Чаша з сіллю</t>
  </si>
  <si>
    <t>1235.txt</t>
  </si>
  <si>
    <t>Shredded Cabbage with Salt</t>
  </si>
  <si>
    <t>切碎的捲心菜和鹽</t>
  </si>
  <si>
    <t>切碎的卷心菜和盐</t>
  </si>
  <si>
    <t>Нашаткована капуста з сіллю</t>
  </si>
  <si>
    <t>1236.txt</t>
  </si>
  <si>
    <t>Stomped Fresh Sauerkraut</t>
  </si>
  <si>
    <t>鲜酸菜</t>
  </si>
  <si>
    <t>1237.txt</t>
  </si>
  <si>
    <t>Covered Fresh Sauerkraut</t>
  </si>
  <si>
    <t>带盖的鲜酸菜</t>
  </si>
  <si>
    <t>1238.txt</t>
  </si>
  <si>
    <t>Weighted Fresh Sauerkraut</t>
  </si>
  <si>
    <t>加重的鲜酸菜</t>
  </si>
  <si>
    <t>1239.txt</t>
  </si>
  <si>
    <t>Fermented Sauerkraut</t>
  </si>
  <si>
    <t>发酵酸菜</t>
  </si>
  <si>
    <t>1240.txt</t>
  </si>
  <si>
    <t>Covered Fermented Sauerkraut</t>
  </si>
  <si>
    <t>带盖的发酵酸菜</t>
  </si>
  <si>
    <t>1241.txt</t>
  </si>
  <si>
    <t>Open Fermented Sauerkraut</t>
  </si>
  <si>
    <t>打开的发酵酸菜</t>
  </si>
  <si>
    <t>1242.txt</t>
  </si>
  <si>
    <t>Bowl of Sauerkraut</t>
  </si>
  <si>
    <t>一碗泡菜</t>
  </si>
  <si>
    <t>Миска квашеної капусти</t>
  </si>
  <si>
    <t>1243.txt</t>
  </si>
  <si>
    <t>Crock with Squash</t>
  </si>
  <si>
    <t>一罐筍瓜</t>
  </si>
  <si>
    <t>一罐笋瓜</t>
  </si>
  <si>
    <t>Кувшин з кабачком</t>
  </si>
  <si>
    <t>1244.txt</t>
  </si>
  <si>
    <t>Crock with Squash and Beans</t>
  </si>
  <si>
    <t>一罐筍瓜和豆</t>
  </si>
  <si>
    <t>一罐笋瓜和豆</t>
  </si>
  <si>
    <t>Кувшин з кабачками та квасолею</t>
  </si>
  <si>
    <t>1245.txt</t>
  </si>
  <si>
    <t>Dry Stew Pot</t>
  </si>
  <si>
    <t>一罐乾的燉菜</t>
  </si>
  <si>
    <t>一罐干的炖菜</t>
  </si>
  <si>
    <t>Суха тушонка</t>
  </si>
  <si>
    <t>1246.txt</t>
  </si>
  <si>
    <t>Raw Stew Pot</t>
  </si>
  <si>
    <t>一罐生的燉菜</t>
  </si>
  <si>
    <t>一罐生的炖菜</t>
  </si>
  <si>
    <t>1247.txt</t>
  </si>
  <si>
    <t>Bowl with Corn Kernels</t>
  </si>
  <si>
    <t>已損毀的骨堆</t>
  </si>
  <si>
    <t>已损毁的骨堆</t>
  </si>
  <si>
    <t>Пошкоджена купа кісток</t>
  </si>
  <si>
    <t>1248.txt</t>
  </si>
  <si>
    <t>Cooking Three Sisters Stew</t>
  </si>
  <si>
    <t>烹飪中的三姐妹燉菜</t>
  </si>
  <si>
    <t>烹饪中的三姐妹炖菜</t>
  </si>
  <si>
    <t>Приготування рагу «Три сестри».</t>
  </si>
  <si>
    <t>1249.txt</t>
  </si>
  <si>
    <t>Three Sisters Stew</t>
  </si>
  <si>
    <t>三姐妹燉菜</t>
  </si>
  <si>
    <t>三姐妹炖菜</t>
  </si>
  <si>
    <t>1250.txt</t>
  </si>
  <si>
    <t>Empty Pot</t>
  </si>
  <si>
    <t>空罐子</t>
  </si>
  <si>
    <t>1251.txt</t>
  </si>
  <si>
    <t>Bowl of Stew</t>
  </si>
  <si>
    <t>一碗燉菜</t>
  </si>
  <si>
    <t>一碗炖菜</t>
  </si>
  <si>
    <t>Чаша рагу</t>
  </si>
  <si>
    <t>1252.txt</t>
  </si>
  <si>
    <t>Ice Hole# water dumped 2</t>
  </si>
  <si>
    <t>冰洞# water dumped 2</t>
  </si>
  <si>
    <t>Крижана ополонка# water dumped 2</t>
  </si>
  <si>
    <t>1253.txt</t>
  </si>
  <si>
    <t>(outdated) Squash Seed</t>
  </si>
  <si>
    <t>南瓜籽</t>
  </si>
  <si>
    <t>1254.txt</t>
  </si>
  <si>
    <t>Weak Stick# just dug</t>
  </si>
  <si>
    <t>弱棒# just dug</t>
  </si>
  <si>
    <t>1255.txt</t>
  </si>
  <si>
    <t>Gosling</t>
  </si>
  <si>
    <t>雛鵝</t>
  </si>
  <si>
    <t>雏鹅</t>
  </si>
  <si>
    <t>Гусенятко</t>
  </si>
  <si>
    <t>1256.txt</t>
  </si>
  <si>
    <t>Domestic Goose</t>
  </si>
  <si>
    <t>家養鵝</t>
  </si>
  <si>
    <t>家养鹅</t>
  </si>
  <si>
    <t>Гуска домашня</t>
  </si>
  <si>
    <t>1260.txt</t>
  </si>
  <si>
    <t>Goose Beheaded</t>
  </si>
  <si>
    <t>斷頭的鵝</t>
  </si>
  <si>
    <t>断头的鹅</t>
  </si>
  <si>
    <t>Гусак обезголовлений</t>
  </si>
  <si>
    <t>1261.txt</t>
  </si>
  <si>
    <t>Canada Goose Pond with Egg</t>
  </si>
  <si>
    <t>有蛋的鵝塘</t>
  </si>
  <si>
    <t>有蛋的鹅塘</t>
  </si>
  <si>
    <t>1262.txt</t>
  </si>
  <si>
    <t>Cold Goose Egg</t>
  </si>
  <si>
    <t>鵝蛋</t>
  </si>
  <si>
    <t>鹅蛋</t>
  </si>
  <si>
    <t>Холодне гусяче яйце</t>
  </si>
  <si>
    <t>1263.txt</t>
  </si>
  <si>
    <t>Dung Goose Egg Incubator</t>
  </si>
  <si>
    <t>糞堆孵蛋器</t>
  </si>
  <si>
    <t>粪堆孵蛋器</t>
  </si>
  <si>
    <t>Інкубатор гнойових гусячих яєць</t>
  </si>
  <si>
    <t>1264.txt</t>
  </si>
  <si>
    <t>Dung with Hatched Egg</t>
  </si>
  <si>
    <t>糞堆和蛋殼</t>
  </si>
  <si>
    <t>粪堆和蛋壳</t>
  </si>
  <si>
    <t>Гній з вилупленим яйцем</t>
  </si>
  <si>
    <t>1265.txt</t>
  </si>
  <si>
    <t>Dung with Hatched Gosling</t>
  </si>
  <si>
    <t>糞堆和已孵化的鵝</t>
  </si>
  <si>
    <t>粪堆和已孵化的鹅</t>
  </si>
  <si>
    <t>Гній з вилупилися гусенятом</t>
  </si>
  <si>
    <t>1266.txt</t>
  </si>
  <si>
    <t>@ Dung Shovel Source</t>
  </si>
  <si>
    <t>1267.txt</t>
  </si>
  <si>
    <t>Domestic Goose# held</t>
  </si>
  <si>
    <t>家養鵝# held</t>
  </si>
  <si>
    <t>家养鹅# held</t>
  </si>
  <si>
    <t>Гуска домашня# held</t>
  </si>
  <si>
    <t>1268.txt</t>
  </si>
  <si>
    <t>Goose On Stump</t>
  </si>
  <si>
    <t>在樹樁上的鵝</t>
  </si>
  <si>
    <t>在树桩上的鹅</t>
  </si>
  <si>
    <t>Гусак на пні</t>
  </si>
  <si>
    <t>1269.txt</t>
  </si>
  <si>
    <t>Domestic Goose# Dropped</t>
  </si>
  <si>
    <t>家養的鵝# Dropped</t>
  </si>
  <si>
    <t>家养的鹅# Dropped</t>
  </si>
  <si>
    <t>Домашня гуска# Dropped</t>
  </si>
  <si>
    <t>1270.txt</t>
  </si>
  <si>
    <t>Stump# goose just left</t>
  </si>
  <si>
    <t>樹樁# goose just left</t>
  </si>
  <si>
    <t>树桩# goose just left</t>
  </si>
  <si>
    <t>Пень# goose just left</t>
  </si>
  <si>
    <t>1271.txt</t>
  </si>
  <si>
    <t>Beheaded Goose On Stump</t>
  </si>
  <si>
    <t>在树桩上的断头鹅</t>
  </si>
  <si>
    <t>1272.txt</t>
  </si>
  <si>
    <t>Beheaded Goose</t>
  </si>
  <si>
    <t>断头鹅</t>
  </si>
  <si>
    <t>1273.txt</t>
  </si>
  <si>
    <t>Dead Goose</t>
  </si>
  <si>
    <t>1274.txt</t>
  </si>
  <si>
    <t>Stump with Goose Head# just left</t>
  </si>
  <si>
    <t>放在树桩上的鹅头# just left</t>
  </si>
  <si>
    <t>1275.txt</t>
  </si>
  <si>
    <t>Stump with Goose Head</t>
  </si>
  <si>
    <t>放在树桩上的鹅头</t>
  </si>
  <si>
    <t>1277.txt</t>
  </si>
  <si>
    <t>Domestic Goose with Corn</t>
  </si>
  <si>
    <t>正进食玉米的家养鹅</t>
  </si>
  <si>
    <t>1278.txt</t>
  </si>
  <si>
    <t>Fed Domestic Goose</t>
  </si>
  <si>
    <t>喂饱的家养鹅</t>
  </si>
  <si>
    <t>1279.txt</t>
  </si>
  <si>
    <t>Cold Goose Egg# just laid</t>
  </si>
  <si>
    <t>冷鹅蛋# just laid</t>
  </si>
  <si>
    <t>1280.txt</t>
  </si>
  <si>
    <t>Hot Flat Rock</t>
  </si>
  <si>
    <t>熱的扁石</t>
  </si>
  <si>
    <t>热的扁石</t>
  </si>
  <si>
    <t>1281.txt</t>
  </si>
  <si>
    <t>Cooked Omelette</t>
  </si>
  <si>
    <t>煎蛋卷</t>
  </si>
  <si>
    <t>1283.txt</t>
  </si>
  <si>
    <t>Burned Omelette</t>
  </si>
  <si>
    <t>燒焦的煎蛋卷</t>
  </si>
  <si>
    <t>烧焦的煎蛋卷</t>
  </si>
  <si>
    <t>1284.txt</t>
  </si>
  <si>
    <t>Cool Flat Rock</t>
  </si>
  <si>
    <t>冷的扁石</t>
  </si>
  <si>
    <t>1285.txt</t>
  </si>
  <si>
    <t>Omelette</t>
  </si>
  <si>
    <t>煎蛋</t>
  </si>
  <si>
    <t>1286.txt</t>
  </si>
  <si>
    <t>Flat Rock with Wheat Dough</t>
  </si>
  <si>
    <t>扁石上的麵糰</t>
  </si>
  <si>
    <t>扁石上的面团</t>
  </si>
  <si>
    <t>Flat Rock з пшеничним тістом</t>
  </si>
  <si>
    <t>1287.txt</t>
  </si>
  <si>
    <t>Flat Rock with Masa Dough</t>
  </si>
  <si>
    <t>扁石上的玉米麵團</t>
  </si>
  <si>
    <t>扁石上的玉米面团</t>
  </si>
  <si>
    <t>Флет Рок з тістом Masa</t>
  </si>
  <si>
    <t>1288.txt</t>
  </si>
  <si>
    <t>Flat Rock with Wheat Tortilla</t>
  </si>
  <si>
    <t>扁石上的小麥餅</t>
  </si>
  <si>
    <t>扁石上的小麦饼</t>
  </si>
  <si>
    <t>Плоский камінь з пшеничним коржиком</t>
  </si>
  <si>
    <t>1289.txt</t>
  </si>
  <si>
    <t>Raw Wheat Tortilla</t>
  </si>
  <si>
    <t>生小麥餅</t>
  </si>
  <si>
    <t>生小麦饼</t>
  </si>
  <si>
    <t>Сирий пшеничний корж</t>
  </si>
  <si>
    <t>1290.txt</t>
  </si>
  <si>
    <t>Cooked Wheat Tortilla</t>
  </si>
  <si>
    <t>熟小麥餅</t>
  </si>
  <si>
    <t>熟小麦饼</t>
  </si>
  <si>
    <t>Варена пшенична коржик</t>
  </si>
  <si>
    <t>1291.txt</t>
  </si>
  <si>
    <t>Stack of Wheat Tortillas</t>
  </si>
  <si>
    <t>乾涸的北方梯度泉眼</t>
  </si>
  <si>
    <t>干涸的北方梯度泉眼</t>
  </si>
  <si>
    <t>Суха весна з градієнтом на північ</t>
  </si>
  <si>
    <t>1292.txt</t>
  </si>
  <si>
    <t>Bowl of Cooked Beans</t>
  </si>
  <si>
    <t>一碗煮豆</t>
  </si>
  <si>
    <t>Чаша вареної квасолі</t>
  </si>
  <si>
    <t>1293.txt</t>
  </si>
  <si>
    <t>Stack of Bean Burritos</t>
  </si>
  <si>
    <t>枯竭的北方梯度油井</t>
  </si>
  <si>
    <t>Північний градієнт сухої смолистої плями</t>
  </si>
  <si>
    <t>1294.txt</t>
  </si>
  <si>
    <t>Bean Burrito</t>
  </si>
  <si>
    <t>豆捲餅</t>
  </si>
  <si>
    <t>豆卷饼</t>
  </si>
  <si>
    <t>Буріто з квасолі</t>
  </si>
  <si>
    <t>1295.txt</t>
  </si>
  <si>
    <t>Cooked Wheat Tortilla# just cooked</t>
  </si>
  <si>
    <t>熟小麥餅# just cooked</t>
  </si>
  <si>
    <t>熟小麦饼# just cooked</t>
  </si>
  <si>
    <t>Варена пшенична коржик # just cooked</t>
  </si>
  <si>
    <t>1296.txt</t>
  </si>
  <si>
    <t>Stack of Bean Burritos# just Made</t>
  </si>
  <si>
    <t>墨西哥卷饼# just Made</t>
  </si>
  <si>
    <t>1297.txt</t>
  </si>
  <si>
    <t>Bowl of Slaked Lime</t>
  </si>
  <si>
    <t>一碗熟石灰</t>
  </si>
  <si>
    <t>1298.txt</t>
  </si>
  <si>
    <t>Bowl of Corn in Lime Water</t>
  </si>
  <si>
    <t>石灰水中的一碗玉米</t>
  </si>
  <si>
    <t>1299.txt</t>
  </si>
  <si>
    <t>Bowl of Limed Corn</t>
  </si>
  <si>
    <t>一碗處理過的玉米</t>
  </si>
  <si>
    <t>一碗处理过的玉米</t>
  </si>
  <si>
    <t>Чаша вапнованої кукурудзи</t>
  </si>
  <si>
    <t>1300.txt</t>
  </si>
  <si>
    <t>Bowl of Masa Dough</t>
  </si>
  <si>
    <t>一碗玉米麵團</t>
  </si>
  <si>
    <t>一碗玉米面团</t>
  </si>
  <si>
    <t>Миска з тіста Маса</t>
  </si>
  <si>
    <t>1301.txt</t>
  </si>
  <si>
    <t>Flat Rock with Corn Tortilla</t>
  </si>
  <si>
    <t>扁石上的玉米餅</t>
  </si>
  <si>
    <t>扁石上的玉米饼</t>
  </si>
  <si>
    <t>1302.txt</t>
  </si>
  <si>
    <t>Raw Corn Tortilla</t>
  </si>
  <si>
    <t>生玉米餅</t>
  </si>
  <si>
    <t>生玉米饼</t>
  </si>
  <si>
    <t>1303.txt</t>
  </si>
  <si>
    <t>Cooked Corn Tortilla# just cooked</t>
  </si>
  <si>
    <t>熟玉米餅# just cooked</t>
  </si>
  <si>
    <t>熟玉米饼# just cooked</t>
  </si>
  <si>
    <t>1304.txt</t>
  </si>
  <si>
    <t>Cooked Corn Tortilla</t>
  </si>
  <si>
    <t>熟玉米餅</t>
  </si>
  <si>
    <t>熟玉米饼</t>
  </si>
  <si>
    <t>Варена кукурудзяна коржик</t>
  </si>
  <si>
    <t>1305.txt</t>
  </si>
  <si>
    <t>Stack of Corn Tortillas</t>
  </si>
  <si>
    <t>一堆玉米卷</t>
  </si>
  <si>
    <t>1307.txt</t>
  </si>
  <si>
    <t>Stack of Bean Tacos</t>
  </si>
  <si>
    <t>一叠豆玉米饼</t>
  </si>
  <si>
    <t>1308.txt</t>
  </si>
  <si>
    <t>Stack of Bean Tacos# just made</t>
  </si>
  <si>
    <t>一叠豆玉米饼# just made</t>
  </si>
  <si>
    <t>1309.txt</t>
  </si>
  <si>
    <t>Bean Taco</t>
  </si>
  <si>
    <t>豆塔可</t>
  </si>
  <si>
    <t>Бобове тако</t>
  </si>
  <si>
    <t>1310.txt</t>
  </si>
  <si>
    <t>Flat Rock with Wheat Tortilla# just made</t>
  </si>
  <si>
    <t>扁石上的小麥餅# just made</t>
  </si>
  <si>
    <t>扁石上的小麦饼# just made</t>
  </si>
  <si>
    <t>1311.txt</t>
  </si>
  <si>
    <t>Flat Rock with Corn Tortilla# just made</t>
  </si>
  <si>
    <t>扁石上的玉米餅# just made</t>
  </si>
  <si>
    <t>扁石上的玉米饼# just made</t>
  </si>
  <si>
    <t>Flat Rock з кукурудзяною коржиком# just made</t>
  </si>
  <si>
    <t>1312.txt</t>
  </si>
  <si>
    <t>Bowl of Cabbage Seeds</t>
  </si>
  <si>
    <t>一碗捲心菜種子</t>
  </si>
  <si>
    <t>一碗卷心菜种子</t>
  </si>
  <si>
    <t>Чаша з насінням капусти</t>
  </si>
  <si>
    <t>1313.txt</t>
  </si>
  <si>
    <t>Bowl of Squash Seeds</t>
  </si>
  <si>
    <t>一碗筍瓜種子</t>
  </si>
  <si>
    <t>一碗笋瓜种子</t>
  </si>
  <si>
    <t>Чаша кабачкового насіння</t>
  </si>
  <si>
    <t>1314.txt</t>
  </si>
  <si>
    <t>Toque Blanche</t>
  </si>
  <si>
    <t>廚師帽</t>
  </si>
  <si>
    <t>厨师帽</t>
  </si>
  <si>
    <t>Токе Бланш</t>
  </si>
  <si>
    <t>1315.txt</t>
  </si>
  <si>
    <t>White Apron</t>
  </si>
  <si>
    <t>白色围裙</t>
  </si>
  <si>
    <t>1316.txt</t>
  </si>
  <si>
    <t>Stack of Firewood</t>
  </si>
  <si>
    <t>一堆木柴</t>
  </si>
  <si>
    <t>Стек дров</t>
  </si>
  <si>
    <t>1317.txt</t>
  </si>
  <si>
    <t>Stack of Logs</t>
  </si>
  <si>
    <t>一堆原木</t>
  </si>
  <si>
    <t>Стек журналів</t>
  </si>
  <si>
    <t>1318.txt</t>
  </si>
  <si>
    <t>@ Young Stone Wall</t>
  </si>
  <si>
    <t>橡膠圈損耗的油泵</t>
  </si>
  <si>
    <t>橡胶圈损耗的油泵</t>
  </si>
  <si>
    <t>Нафтовий насос із розірваною пломбою</t>
  </si>
  <si>
    <t>1321.txt</t>
  </si>
  <si>
    <t>Old Wheelbarrow</t>
  </si>
  <si>
    <t>老舊的獨輪車</t>
  </si>
  <si>
    <t>老旧的独轮车</t>
  </si>
  <si>
    <t>Стара тачка</t>
  </si>
  <si>
    <t>1322.txt</t>
  </si>
  <si>
    <t>Broken Wheelbarrow</t>
  </si>
  <si>
    <t>損壞的獨輪車</t>
  </si>
  <si>
    <t>损坏的独轮车</t>
  </si>
  <si>
    <t>Зламана тачка</t>
  </si>
  <si>
    <t>1323.txt</t>
  </si>
  <si>
    <t>Wild Boar</t>
  </si>
  <si>
    <t>野豬</t>
  </si>
  <si>
    <t>野猪</t>
  </si>
  <si>
    <t>Кабан</t>
  </si>
  <si>
    <t>1324.txt</t>
  </si>
  <si>
    <t>Wild Piglet# held</t>
  </si>
  <si>
    <t>野豬崽# held</t>
  </si>
  <si>
    <t>野猪崽# held</t>
  </si>
  <si>
    <t>Дике порося# тримається</t>
  </si>
  <si>
    <t>1325.txt</t>
  </si>
  <si>
    <t>Domestic Pig</t>
  </si>
  <si>
    <t>家養豬</t>
  </si>
  <si>
    <t>家养猪</t>
  </si>
  <si>
    <t>Свиня домашня</t>
  </si>
  <si>
    <t>1327.txt</t>
  </si>
  <si>
    <t>Domestic Piglet</t>
  </si>
  <si>
    <t>家養豬崽</t>
  </si>
  <si>
    <t>家养猪崽</t>
  </si>
  <si>
    <t>Домашнє порося</t>
  </si>
  <si>
    <t>1328.txt</t>
  </si>
  <si>
    <t>Wild Boar with Piglet</t>
  </si>
  <si>
    <t>有崽的野豬</t>
  </si>
  <si>
    <t>有崽的野猪</t>
  </si>
  <si>
    <t>Кабан з поросятком</t>
  </si>
  <si>
    <t>1329.txt</t>
  </si>
  <si>
    <t>Shot Wild Boar with Piglet# arrow</t>
  </si>
  <si>
    <t>被射中的有崽的野豬# arrow</t>
  </si>
  <si>
    <t>被射中的有崽的野猪# arrow</t>
  </si>
  <si>
    <t>Постріл у дикого кабана# arrow</t>
  </si>
  <si>
    <t>1330.txt</t>
  </si>
  <si>
    <t>Shot Boar# arrow</t>
  </si>
  <si>
    <t>被射中的野豬# arrow</t>
  </si>
  <si>
    <t>被射中的野猪# arrow</t>
  </si>
  <si>
    <t>Застрелений кабан# arrow</t>
  </si>
  <si>
    <t>1331.txt</t>
  </si>
  <si>
    <t>Shot Boar with Piglet# no arrow</t>
  </si>
  <si>
    <t>被射中的有崽的野豬# no arrow</t>
  </si>
  <si>
    <t>被射中的有崽的野猪# no arrow</t>
  </si>
  <si>
    <t>Постріл в кабана з поросятком # no arrow</t>
  </si>
  <si>
    <t>1332.txt</t>
  </si>
  <si>
    <t>Dead Boar# no arrow</t>
  </si>
  <si>
    <t>野豬屍體# no arrow</t>
  </si>
  <si>
    <t>野猪尸体# no arrow</t>
  </si>
  <si>
    <t>Мертвий кабан# no arrow</t>
  </si>
  <si>
    <t>1333.txt</t>
  </si>
  <si>
    <t>Attacking Wild Boar</t>
  </si>
  <si>
    <t>進攻的野豬</t>
  </si>
  <si>
    <t>进攻的野猪</t>
  </si>
  <si>
    <t>Напад дикого кабана</t>
  </si>
  <si>
    <t>1334.txt</t>
  </si>
  <si>
    <t>Attacking Wild Boar with Piglet</t>
  </si>
  <si>
    <t>進攻的有崽的野豬</t>
  </si>
  <si>
    <t>进攻的有崽的野猪</t>
  </si>
  <si>
    <t>Напад кабана з поросятком</t>
  </si>
  <si>
    <t>1335.txt</t>
  </si>
  <si>
    <t>Fleeing Wild Piglet</t>
  </si>
  <si>
    <t>逃跑的野猪崽</t>
  </si>
  <si>
    <t>1336.txt</t>
  </si>
  <si>
    <t>Hungry Wild Piglet</t>
  </si>
  <si>
    <t>饥饿的野猪崽</t>
  </si>
  <si>
    <t>1337.txt</t>
  </si>
  <si>
    <t>Dead Wild Piglet</t>
  </si>
  <si>
    <t>野猪崽尸体</t>
  </si>
  <si>
    <t>1338.txt</t>
  </si>
  <si>
    <t>Fed Wild Piglet</t>
  </si>
  <si>
    <t>餵過的野豬崽</t>
  </si>
  <si>
    <t>喂过的野猪崽</t>
  </si>
  <si>
    <t>Відгодований дикий порося</t>
  </si>
  <si>
    <t>1339.txt</t>
  </si>
  <si>
    <t>Domestic Boar</t>
  </si>
  <si>
    <t>家養野豬</t>
  </si>
  <si>
    <t>家养野猪</t>
  </si>
  <si>
    <t>Домашній кабан</t>
  </si>
  <si>
    <t>1340.txt</t>
  </si>
  <si>
    <t>Butchered Pig</t>
  </si>
  <si>
    <t>被屠宰的豬</t>
  </si>
  <si>
    <t>被屠宰的猪</t>
  </si>
  <si>
    <t>Зарізана свиня</t>
  </si>
  <si>
    <t>1341.txt</t>
  </si>
  <si>
    <t>Domestic Boar with Piglet</t>
  </si>
  <si>
    <t>家養的有崽野豬</t>
  </si>
  <si>
    <t>家养的有崽野猪</t>
  </si>
  <si>
    <t>Домашній кабан з поросятком</t>
  </si>
  <si>
    <t>1342.txt</t>
  </si>
  <si>
    <t>Raw Pork</t>
  </si>
  <si>
    <t>生豬肉</t>
  </si>
  <si>
    <t>生猪肉</t>
  </si>
  <si>
    <t>Сира свинина</t>
  </si>
  <si>
    <t>1343.txt</t>
  </si>
  <si>
    <t>Pig Bones</t>
  </si>
  <si>
    <t>豬骨堆</t>
  </si>
  <si>
    <t>猪骨堆</t>
  </si>
  <si>
    <t>Свинячі кістки</t>
  </si>
  <si>
    <t>1344.txt</t>
  </si>
  <si>
    <t>Basket of Pig Bones</t>
  </si>
  <si>
    <t>一籃豬骨頭</t>
  </si>
  <si>
    <t>一篮猪骨头</t>
  </si>
  <si>
    <t>Кошик свинячих кісток</t>
  </si>
  <si>
    <t>1345.txt</t>
  </si>
  <si>
    <t>Pig Bones#dumped</t>
  </si>
  <si>
    <t>豬骨堆#dumped</t>
  </si>
  <si>
    <t>猪骨堆#dumped</t>
  </si>
  <si>
    <t>Свинячі кістки#dumped</t>
  </si>
  <si>
    <t>1347.txt</t>
  </si>
  <si>
    <t>Attacking Boar# domestic</t>
  </si>
  <si>
    <t>進攻的野豬# domestic</t>
  </si>
  <si>
    <t>进攻的野猪# domestic</t>
  </si>
  <si>
    <t>Атакуючий Кабан# domestic</t>
  </si>
  <si>
    <t>1348.txt</t>
  </si>
  <si>
    <t>Attacking Boar with Piglet# domestic</t>
  </si>
  <si>
    <t>進攻的有崽野豬# domestic</t>
  </si>
  <si>
    <t>进攻的有崽野猪# domestic</t>
  </si>
  <si>
    <t>Напад на кабана з поросятком # domestic</t>
  </si>
  <si>
    <t>1349.txt</t>
  </si>
  <si>
    <t>Hungry Domestic Piglet</t>
  </si>
  <si>
    <t>飢餓的豬崽</t>
  </si>
  <si>
    <t>饥饿的猪崽</t>
  </si>
  <si>
    <t>Голодне домашнє порося</t>
  </si>
  <si>
    <t>1350.txt</t>
  </si>
  <si>
    <t>Dead Piglet</t>
  </si>
  <si>
    <t>豬崽屍體</t>
  </si>
  <si>
    <t>猪崽尸体</t>
  </si>
  <si>
    <t>Мертве порося</t>
  </si>
  <si>
    <t>1351.txt</t>
  </si>
  <si>
    <t>Fed Domestic Piglet</t>
  </si>
  <si>
    <t>餵過的豬崽</t>
  </si>
  <si>
    <t>喂过的猪崽</t>
  </si>
  <si>
    <t>Вгодоване домашнє порося</t>
  </si>
  <si>
    <t>1352.txt</t>
  </si>
  <si>
    <t>Dead Domestic Pig</t>
  </si>
  <si>
    <t>家豬屍體</t>
  </si>
  <si>
    <t>家猪尸体</t>
  </si>
  <si>
    <t>Мертва домашня свиня</t>
  </si>
  <si>
    <t>1353.txt</t>
  </si>
  <si>
    <t>Domestic Pig with Piglet</t>
  </si>
  <si>
    <t>有崽的家猪</t>
  </si>
  <si>
    <t>1354.txt</t>
  </si>
  <si>
    <t>Bowl of Raw Pork</t>
  </si>
  <si>
    <t>一碗生豬肉</t>
  </si>
  <si>
    <t>一碗生猪肉</t>
  </si>
  <si>
    <t>Чаша сирої свинини</t>
  </si>
  <si>
    <t>1355.txt</t>
  </si>
  <si>
    <t>Bowl of Carnitas</t>
  </si>
  <si>
    <t>一碗豬肉絲</t>
  </si>
  <si>
    <t>一碗猪肉丝</t>
  </si>
  <si>
    <t>Чаша Карнітас</t>
  </si>
  <si>
    <t>1356.txt</t>
  </si>
  <si>
    <t>Stack of Pork Tacos</t>
  </si>
  <si>
    <t>一叠猪肉玉米饼</t>
  </si>
  <si>
    <t>1357.txt</t>
  </si>
  <si>
    <t>Stack of Pork Tacos# just made</t>
  </si>
  <si>
    <t>一叠猪肉玉米饼# just made</t>
  </si>
  <si>
    <t>1358.txt</t>
  </si>
  <si>
    <t>Pork Taco</t>
  </si>
  <si>
    <t>豬肉塔可</t>
  </si>
  <si>
    <t>猪肉塔可</t>
  </si>
  <si>
    <t>Тако зі свинини</t>
  </si>
  <si>
    <t>1359.txt</t>
  </si>
  <si>
    <t>Fed Domestic Piglet# just fed</t>
  </si>
  <si>
    <t>餵過的家養豬崽# just fed</t>
  </si>
  <si>
    <t>喂过的家养猪崽# just fed</t>
  </si>
  <si>
    <t>Відгодоване домашнє порося# just fed</t>
  </si>
  <si>
    <t>1360.txt</t>
  </si>
  <si>
    <t>Fed Wild Piglet# just fed</t>
  </si>
  <si>
    <t>餵過的野豬崽# just fed</t>
  </si>
  <si>
    <t>喂过的野猪崽# just fed</t>
  </si>
  <si>
    <t>Нагодоване Дике порося # just fed</t>
  </si>
  <si>
    <t>1361.txt</t>
  </si>
  <si>
    <t>Dirty Raw Corn Tortilla</t>
  </si>
  <si>
    <t>髒的生玉米餅</t>
  </si>
  <si>
    <t>脏的生玉米饼</t>
  </si>
  <si>
    <t>Брудна сира кукурудзяна коржик</t>
  </si>
  <si>
    <t>1362.txt</t>
  </si>
  <si>
    <t>Dirty Raw Wheat Tortilla</t>
  </si>
  <si>
    <t>髒的生小麥玉米餅</t>
  </si>
  <si>
    <t>脏的生小麦玉米饼</t>
  </si>
  <si>
    <t>Брудна сира пшенична коржик</t>
  </si>
  <si>
    <t>1363.txt</t>
  </si>
  <si>
    <t>Bite Wound</t>
  </si>
  <si>
    <t>咬傷</t>
  </si>
  <si>
    <t>咬伤</t>
  </si>
  <si>
    <t>Рана від укусу</t>
  </si>
  <si>
    <t>1364.txt</t>
  </si>
  <si>
    <t>Hog Cut</t>
  </si>
  <si>
    <t>豬咬傷口</t>
  </si>
  <si>
    <t>猪咬伤口</t>
  </si>
  <si>
    <t>свиняча порізка</t>
  </si>
  <si>
    <t>1365.txt</t>
  </si>
  <si>
    <t>Embedded Arrowhead Wound</t>
  </si>
  <si>
    <t>嵌著箭頭的箭矢傷</t>
  </si>
  <si>
    <t>嵌着箭头的箭矢伤</t>
  </si>
  <si>
    <t>Вбудована рана стріли</t>
  </si>
  <si>
    <t>1366.txt</t>
  </si>
  <si>
    <t>Empty Arrow Wound</t>
  </si>
  <si>
    <t>空箭矢傷</t>
  </si>
  <si>
    <t>空箭矢伤</t>
  </si>
  <si>
    <t>Порожня стріла рана</t>
  </si>
  <si>
    <t>1367.txt</t>
  </si>
  <si>
    <t>Extracted Arrowhead Wound</t>
  </si>
  <si>
    <t>挑出箭頭的傷口</t>
  </si>
  <si>
    <t>挑出箭头的伤口</t>
  </si>
  <si>
    <t>Витягнуте наконечник стріли</t>
  </si>
  <si>
    <t>1368.txt</t>
  </si>
  <si>
    <t>Sterilized Knife</t>
  </si>
  <si>
    <t>葡萄剪枝</t>
  </si>
  <si>
    <t>Ножиці з різанням винограду</t>
  </si>
  <si>
    <t>1369.txt</t>
  </si>
  <si>
    <t>@ high heat source</t>
  </si>
  <si>
    <t>1370.txt</t>
  </si>
  <si>
    <t>Headless Arrow# just pulled</t>
  </si>
  <si>
    <t>無頭箭# just pulled</t>
  </si>
  <si>
    <t>无头箭# just pulled</t>
  </si>
  <si>
    <t>Стріла без голови# just pulled</t>
  </si>
  <si>
    <t>1371.txt</t>
  </si>
  <si>
    <t>Flint Arrowhead# just removed</t>
  </si>
  <si>
    <t>燧石箭頭# just removed</t>
  </si>
  <si>
    <t>燧石箭头# just removed</t>
  </si>
  <si>
    <t>Flint Arrowhead # just removed</t>
  </si>
  <si>
    <t>1372.txt</t>
  </si>
  <si>
    <t>Knife# surgery</t>
  </si>
  <si>
    <t>刀# surgery</t>
  </si>
  <si>
    <t>Нож # surgery</t>
  </si>
  <si>
    <t>1373.txt</t>
  </si>
  <si>
    <t>Bowl of Antivenom Blood</t>
  </si>
  <si>
    <t>溼潤的葡萄植株</t>
  </si>
  <si>
    <t>湿润的葡萄植株</t>
  </si>
  <si>
    <t>Вологе нарізання винограду</t>
  </si>
  <si>
    <t>1374.txt</t>
  </si>
  <si>
    <t>Antivenom Knife</t>
  </si>
  <si>
    <t>抗蛇毒刀</t>
  </si>
  <si>
    <t>Протиотрутний ніж</t>
  </si>
  <si>
    <t>1375.txt</t>
  </si>
  <si>
    <t>(outdated) Snake-Bit Horse with Blood Leak# ground</t>
  </si>
  <si>
    <t>未修剪的葡萄植株</t>
  </si>
  <si>
    <t>Каберне Совіньйон зі сплячими очеретами</t>
  </si>
  <si>
    <t>1376.txt</t>
  </si>
  <si>
    <t>Medical Apron</t>
  </si>
  <si>
    <t>生長中的葡萄植株</t>
  </si>
  <si>
    <t>生长中的葡萄植株</t>
  </si>
  <si>
    <t>Вирощування сорту Каберне Совіньйон</t>
  </si>
  <si>
    <t>1377.txt</t>
  </si>
  <si>
    <t>Snake Bite</t>
  </si>
  <si>
    <t>蛇咬傷口</t>
  </si>
  <si>
    <t>蛇咬伤口</t>
  </si>
  <si>
    <t>Укус змії</t>
  </si>
  <si>
    <t>1378.txt</t>
  </si>
  <si>
    <t>Sterile Wool Pad</t>
  </si>
  <si>
    <t>未結果的葡萄植株</t>
  </si>
  <si>
    <t>未结果的葡萄植株</t>
  </si>
  <si>
    <t>Незріла рослина Каберне Совіньйон</t>
  </si>
  <si>
    <t>1379.txt</t>
  </si>
  <si>
    <t>Bloody Wool Pad</t>
  </si>
  <si>
    <t>帶血的羊毛墊</t>
  </si>
  <si>
    <t>带血的羊毛垫</t>
  </si>
  <si>
    <t>Кривава вовна</t>
  </si>
  <si>
    <t>1380.txt</t>
  </si>
  <si>
    <t>Clean Knife Wound</t>
  </si>
  <si>
    <t>清潔過的刀傷</t>
  </si>
  <si>
    <t>清洁过的刀伤</t>
  </si>
  <si>
    <t>Чиста ножова рана</t>
  </si>
  <si>
    <t>1381.txt</t>
  </si>
  <si>
    <t>Clean Bite Wound</t>
  </si>
  <si>
    <t>清潔過的咬傷</t>
  </si>
  <si>
    <t>清洁过的咬伤</t>
  </si>
  <si>
    <t>Чиста рана від укусу</t>
  </si>
  <si>
    <t>1382.txt</t>
  </si>
  <si>
    <t>Clean Arrow Wound</t>
  </si>
  <si>
    <t>清潔過的箭矢傷</t>
  </si>
  <si>
    <t>清洁过的箭矢伤</t>
  </si>
  <si>
    <t>Чиста рана стріли</t>
  </si>
  <si>
    <t>1383.txt</t>
  </si>
  <si>
    <t>Clean Hog Cut</t>
  </si>
  <si>
    <t>清潔過的豬咬傷</t>
  </si>
  <si>
    <t>清洁过的猪咬伤</t>
  </si>
  <si>
    <t>1384.txt</t>
  </si>
  <si>
    <t>Clean Snake Bite</t>
  </si>
  <si>
    <t>清潔過的蛇咬傷</t>
  </si>
  <si>
    <t>清洁过的蛇咬伤</t>
  </si>
  <si>
    <t>Чистий укус змії</t>
  </si>
  <si>
    <t>1385.txt</t>
  </si>
  <si>
    <t>Attacking Rattle Snake</t>
  </si>
  <si>
    <t>正在攻擊的響尾蛇</t>
  </si>
  <si>
    <t>正在攻击的响尾蛇</t>
  </si>
  <si>
    <t>Атакуюча гримуча змія</t>
  </si>
  <si>
    <t>1386.txt</t>
  </si>
  <si>
    <t>Bowl of Sterile Pads</t>
  </si>
  <si>
    <t>一碗消毒墊</t>
  </si>
  <si>
    <t>一碗消毒垫</t>
  </si>
  <si>
    <t>Чаша зі стерильними прокладками</t>
  </si>
  <si>
    <t>1387.txt</t>
  </si>
  <si>
    <t>Dirty Wool Pad</t>
  </si>
  <si>
    <t>髒羊毛墊</t>
  </si>
  <si>
    <t>脏羊毛垫</t>
  </si>
  <si>
    <t>Брудна вовна</t>
  </si>
  <si>
    <t>1388.txt</t>
  </si>
  <si>
    <t>Knife# no longer sterile</t>
  </si>
  <si>
    <t>刀# no longer sterile</t>
  </si>
  <si>
    <t>Ніж # no longer sterile</t>
  </si>
  <si>
    <t>1389.txt</t>
  </si>
  <si>
    <t>Sterile Wool Pad# just cleaned</t>
  </si>
  <si>
    <t>消毒羊毛墊# just cleaned</t>
  </si>
  <si>
    <t>消毒羊毛垫# just cleaned</t>
  </si>
  <si>
    <t>Стерильна вовняна подушечка# just cleaned</t>
  </si>
  <si>
    <t>1390.txt</t>
  </si>
  <si>
    <t>Tutorial Stone# tutorial 1</t>
  </si>
  <si>
    <t>教程石# tutorial 1</t>
  </si>
  <si>
    <t>Навчальний камінь# tutorial 1</t>
  </si>
  <si>
    <t>1391.txt</t>
  </si>
  <si>
    <t>Tutorial Stone# tutorial 2</t>
  </si>
  <si>
    <t>教程石# tutorial 2</t>
  </si>
  <si>
    <t>Навчальний камінь# tutorial 2</t>
  </si>
  <si>
    <t>1392.txt</t>
  </si>
  <si>
    <t>Tutorial Stone# tutorial 3</t>
  </si>
  <si>
    <t>教程石# tutorial 3</t>
  </si>
  <si>
    <t>Навчальний камінь# tutorial 3</t>
  </si>
  <si>
    <t>1393.txt</t>
  </si>
  <si>
    <t>Tutorial Stone# tutorial 99 done</t>
  </si>
  <si>
    <t>教程石# tutorial 99 done</t>
  </si>
  <si>
    <t>Навчальний камінь # tutorial 99 done</t>
  </si>
  <si>
    <t>1394.txt</t>
  </si>
  <si>
    <t>Tutorial Stone# tutorial 4</t>
  </si>
  <si>
    <t>教程石# tutorial 4</t>
  </si>
  <si>
    <t>Навчальний камінь # tutorial 4</t>
  </si>
  <si>
    <t>1395.txt</t>
  </si>
  <si>
    <t>Tutorial Stone# tutorial 5</t>
  </si>
  <si>
    <t>教程石# tutorial 5</t>
  </si>
  <si>
    <t>Навчальний камінь # tutorial 5</t>
  </si>
  <si>
    <t>1398.txt</t>
  </si>
  <si>
    <t>Tutorial Stone# tutorial 6</t>
  </si>
  <si>
    <t>教程石# tutorial 6</t>
  </si>
  <si>
    <t>Навчальний камінь # tutorial 6</t>
  </si>
  <si>
    <t>1399.txt</t>
  </si>
  <si>
    <t>Tutorial Stone# tutorial 7</t>
  </si>
  <si>
    <t>教程石# tutorial 7</t>
  </si>
  <si>
    <t>1400.txt</t>
  </si>
  <si>
    <t>Tutorial Stone# tutorial 8</t>
  </si>
  <si>
    <t>教程石# tutorial 8</t>
  </si>
  <si>
    <t>Навчальний камінь # tutorial 8</t>
  </si>
  <si>
    <t>1401.txt</t>
  </si>
  <si>
    <t>Tutorial Stone# tutorial 9</t>
  </si>
  <si>
    <t>教程石# tutorial 9</t>
  </si>
  <si>
    <t>Навчальний камінь # tutorial 9</t>
  </si>
  <si>
    <t>1402.txt</t>
  </si>
  <si>
    <t>Tutorial Stone# tutorial 601</t>
  </si>
  <si>
    <t>教程石# tutorial 601</t>
  </si>
  <si>
    <t>Навчальний камінь# tutorial 601</t>
  </si>
  <si>
    <t>1403.txt</t>
  </si>
  <si>
    <t>Tutorial Stone# tutorial 10</t>
  </si>
  <si>
    <t>教程石# tutorial 10</t>
  </si>
  <si>
    <t>1404.txt</t>
  </si>
  <si>
    <t>Tutorial Stone# tutorial 11</t>
  </si>
  <si>
    <t>教程石# tutorial 11</t>
  </si>
  <si>
    <t>Навчальний камінь # tutorial 11</t>
  </si>
  <si>
    <t>1405.txt</t>
  </si>
  <si>
    <t>Tutorial Stone# tutorial 12</t>
  </si>
  <si>
    <t>教程石# tutorial 12</t>
  </si>
  <si>
    <t>Навчальний камінь# tutorial 12</t>
  </si>
  <si>
    <t>1406.txt</t>
  </si>
  <si>
    <t>Tutorial Stone# tutorial 13</t>
  </si>
  <si>
    <t>教程石# tutorial 13</t>
  </si>
  <si>
    <t>Навчальний камінь # tutorial 13</t>
  </si>
  <si>
    <t>1407.txt</t>
  </si>
  <si>
    <t>Fire# Tut_only burns forever</t>
  </si>
  <si>
    <t>火# Tut_only burns forever</t>
  </si>
  <si>
    <t>Вогонь# Tut_only burns forever</t>
  </si>
  <si>
    <t>1408.txt</t>
  </si>
  <si>
    <t>Tutorial Stone# tutorial 14</t>
  </si>
  <si>
    <t>教程石# tutorial 14</t>
  </si>
  <si>
    <t>Навчальний камінь # tutorial 14</t>
  </si>
  <si>
    <t>1409.txt</t>
  </si>
  <si>
    <t>Tutorial Stone# tutorial 15</t>
  </si>
  <si>
    <t>教程石# tutorial 15</t>
  </si>
  <si>
    <t>Навчальний камінь# tutorial 15</t>
  </si>
  <si>
    <t>1410.txt</t>
  </si>
  <si>
    <t>Tutorial Stone# tutorial 16</t>
  </si>
  <si>
    <t>教程石# tutorial 16</t>
  </si>
  <si>
    <t>Навчальний камінь # tutorial 16</t>
  </si>
  <si>
    <t>1411.txt</t>
  </si>
  <si>
    <t>Tutorial Stone# tutorial 17</t>
  </si>
  <si>
    <t>教程石# tutorial 17</t>
  </si>
  <si>
    <t>Навчальний камінь # tutorial 17</t>
  </si>
  <si>
    <t>1412.txt</t>
  </si>
  <si>
    <t>Tutorial Stone# tutorial 18</t>
  </si>
  <si>
    <t>教程石# tutorial 18</t>
  </si>
  <si>
    <t>Навчальний камінь # tutorial 18</t>
  </si>
  <si>
    <t>1413.txt</t>
  </si>
  <si>
    <t>Tutorial Stone# tutorial 19</t>
  </si>
  <si>
    <t>教程石# tutorial 19</t>
  </si>
  <si>
    <t>1414.txt</t>
  </si>
  <si>
    <t>Tutorial Stone# tutorial 20</t>
  </si>
  <si>
    <t>教程石# tutorial 20</t>
  </si>
  <si>
    <t>Навчальний камінь# tutorial 20</t>
  </si>
  <si>
    <t>1415.txt</t>
  </si>
  <si>
    <t>Final Tutorial Torch</t>
  </si>
  <si>
    <t>教程結束火炬</t>
  </si>
  <si>
    <t>教程结束火炬</t>
  </si>
  <si>
    <t>Останній навчальний факел</t>
  </si>
  <si>
    <t>1416.txt</t>
  </si>
  <si>
    <t>燃烧的教程火炬# tutorial 21 done</t>
  </si>
  <si>
    <t>1417.txt</t>
  </si>
  <si>
    <t>Hot Coals# Tut_only burns forever</t>
  </si>
  <si>
    <t>熱炭# Tut_only burns forever</t>
  </si>
  <si>
    <t>热炭# Tut_only burns forever</t>
  </si>
  <si>
    <t>Гаряче вугілля# Tut_only burns forever</t>
  </si>
  <si>
    <t>1418.txt</t>
  </si>
  <si>
    <t>Tutorial Stone# tutorial 1901</t>
  </si>
  <si>
    <t>教程石# tutorial 1901</t>
  </si>
  <si>
    <t>Навчальний камінь # tutorial 1901</t>
  </si>
  <si>
    <t>1420.txt</t>
  </si>
  <si>
    <t>Tutorial Stone# tutorial 1902</t>
  </si>
  <si>
    <t>教程石# tutorial 1902</t>
  </si>
  <si>
    <t>Навчальний камінь # tutorial 1902</t>
  </si>
  <si>
    <t>1421.txt</t>
  </si>
  <si>
    <t>(outdated) Escaped Riding Horse# just released</t>
  </si>
  <si>
    <t>逃跑的马# just released</t>
  </si>
  <si>
    <t>1422.txt</t>
  </si>
  <si>
    <t>(outdated) Escaped Horse-Drawn Cart# just released</t>
  </si>
  <si>
    <t>逃跑的马车# just released</t>
  </si>
  <si>
    <t>1423.txt</t>
  </si>
  <si>
    <t>Bow Drill with Removed Tip</t>
  </si>
  <si>
    <t>移除鑽頭的弓鑽</t>
  </si>
  <si>
    <t>移除钻头的弓钻</t>
  </si>
  <si>
    <t>Лучкове свердло зі знятим наконечником</t>
  </si>
  <si>
    <t>1424.txt</t>
  </si>
  <si>
    <t>Tutorial Stone# tutorial 22</t>
  </si>
  <si>
    <t>教程石# tutorial 22</t>
  </si>
  <si>
    <t>Навчальний камінь# tutorial 22</t>
  </si>
  <si>
    <t>1425.txt</t>
  </si>
  <si>
    <t>Tutorial Stone# tutorial 23</t>
  </si>
  <si>
    <t>教程石# tutorial 23</t>
  </si>
  <si>
    <t>Навчальний камінь # tutorial 23</t>
  </si>
  <si>
    <t>1426.txt</t>
  </si>
  <si>
    <t>Tutorial Stone# tutorial 24</t>
  </si>
  <si>
    <t>教程石# tutorial 24</t>
  </si>
  <si>
    <t>Навчальний камінь # tutorial 24</t>
  </si>
  <si>
    <t>1427.txt</t>
  </si>
  <si>
    <t>Tutorial Stone# tutorial 25</t>
  </si>
  <si>
    <t>教程石# tutorial 25</t>
  </si>
  <si>
    <t>Навчальний камінь # tutorial 25</t>
  </si>
  <si>
    <t>1428.txt</t>
  </si>
  <si>
    <t>Tutorial Stone# tutorial 26</t>
  </si>
  <si>
    <t>教程石# tutorial 26</t>
  </si>
  <si>
    <t>Навчальний камінь# tutorial 26</t>
  </si>
  <si>
    <t>1429.txt</t>
  </si>
  <si>
    <t>Tutorial Stone# tutorial 27</t>
  </si>
  <si>
    <t>教程石# tutorial 27</t>
  </si>
  <si>
    <t>Навчальний камінь # tutorial 27</t>
  </si>
  <si>
    <t>1435.txt</t>
  </si>
  <si>
    <t>Bison</t>
  </si>
  <si>
    <t>野牛</t>
  </si>
  <si>
    <t>Бізон</t>
  </si>
  <si>
    <t>1436.txt</t>
  </si>
  <si>
    <t>Bison with Calf</t>
  </si>
  <si>
    <t>野牛與牛犢</t>
  </si>
  <si>
    <t>野牛与牛犊</t>
  </si>
  <si>
    <t>Зубр з телятиною</t>
  </si>
  <si>
    <t>1437.txt</t>
  </si>
  <si>
    <t>Bison Calf</t>
  </si>
  <si>
    <t>野牛犢</t>
  </si>
  <si>
    <t>野牛犊</t>
  </si>
  <si>
    <t>Теля бізона</t>
  </si>
  <si>
    <t>1438.txt</t>
  </si>
  <si>
    <t>Shot Bison</t>
  </si>
  <si>
    <t>被射中的野牛</t>
  </si>
  <si>
    <t>Застрелений бізон</t>
  </si>
  <si>
    <t>1440.txt</t>
  </si>
  <si>
    <t>Shot Bison with Calf</t>
  </si>
  <si>
    <t>被射中的野牛與牛犢</t>
  </si>
  <si>
    <t>被射中的野牛与牛犊</t>
  </si>
  <si>
    <t>Застрелений бізон з телятиною</t>
  </si>
  <si>
    <t>1441.txt</t>
  </si>
  <si>
    <t>Dead Bison with Calf#arrow 2</t>
  </si>
  <si>
    <t>野牛屍體與崽#arrow 2</t>
  </si>
  <si>
    <t>野牛尸体与崽#arrow 2</t>
  </si>
  <si>
    <t>Мертвий бізон з телятою#arrow 2</t>
  </si>
  <si>
    <t>1442.txt</t>
  </si>
  <si>
    <t>Dead Bison#arrow 2</t>
  </si>
  <si>
    <t>野牛屍體#arrow 2</t>
  </si>
  <si>
    <t>野牛尸体#arrow 2</t>
  </si>
  <si>
    <t>Мертвий бізон#arrow 2</t>
  </si>
  <si>
    <t>1443.txt</t>
  </si>
  <si>
    <t>Dead Bison with Calf#arrow 1</t>
  </si>
  <si>
    <t>野牛屍體與崽#arrow 1</t>
  </si>
  <si>
    <t>野牛尸体与崽#arrow 1</t>
  </si>
  <si>
    <t>Мертвий бізон із теляти#arrow 1</t>
  </si>
  <si>
    <t>1444.txt</t>
  </si>
  <si>
    <t>Dead Bison#arrow 1</t>
  </si>
  <si>
    <t>野牛屍體#arrow 1</t>
  </si>
  <si>
    <t>野牛尸体#arrow 1</t>
  </si>
  <si>
    <t>Мертвий бізон#arrow 1</t>
  </si>
  <si>
    <t>1445.txt</t>
  </si>
  <si>
    <t>Dead Bison with Calf</t>
  </si>
  <si>
    <t>野牛屍體與崽</t>
  </si>
  <si>
    <t>野牛尸体与崽</t>
  </si>
  <si>
    <t>Мертвий бізон з телятиною</t>
  </si>
  <si>
    <t>1446.txt</t>
  </si>
  <si>
    <t>Dead Bison</t>
  </si>
  <si>
    <t>野牛屍體</t>
  </si>
  <si>
    <t>野牛尸体</t>
  </si>
  <si>
    <t>Мертвий бізон</t>
  </si>
  <si>
    <t>1447.txt</t>
  </si>
  <si>
    <t>Domestic Bison</t>
  </si>
  <si>
    <t>家養野牛</t>
  </si>
  <si>
    <t>家养野牛</t>
  </si>
  <si>
    <t>Зубр свійський</t>
  </si>
  <si>
    <t>1448.txt</t>
  </si>
  <si>
    <t>Bison Calf#rope</t>
  </si>
  <si>
    <t>野牛犢#rope</t>
  </si>
  <si>
    <t>野牛犊#rope</t>
  </si>
  <si>
    <t>Теля Бізон#rope</t>
  </si>
  <si>
    <t>1450.txt</t>
  </si>
  <si>
    <t>Domestic Bison with Calf</t>
  </si>
  <si>
    <t>家養野牛與牛犢</t>
  </si>
  <si>
    <t>家养野牛与牛犊</t>
  </si>
  <si>
    <t>Домашній бізон з телятиною</t>
  </si>
  <si>
    <t>1454.txt</t>
  </si>
  <si>
    <t>Domestic Cow with Calf</t>
  </si>
  <si>
    <t>家養牛與牛犢</t>
  </si>
  <si>
    <t>家养牛与牛犊</t>
  </si>
  <si>
    <t>Домашня корова з телям</t>
  </si>
  <si>
    <t>1458.txt</t>
  </si>
  <si>
    <t>Domestic Cow</t>
  </si>
  <si>
    <t>家养牛</t>
  </si>
  <si>
    <t>1459.txt</t>
  </si>
  <si>
    <t>Domestic Calf</t>
  </si>
  <si>
    <t>家養牛犢</t>
  </si>
  <si>
    <t>家养牛犊</t>
  </si>
  <si>
    <t>Теля домашнє</t>
  </si>
  <si>
    <t>1461.txt</t>
  </si>
  <si>
    <t>Hungry Bison Calf</t>
  </si>
  <si>
    <t>飢餓的野牛犢</t>
  </si>
  <si>
    <t>饥饿的野牛犊</t>
  </si>
  <si>
    <t>Голодне теля бізона</t>
  </si>
  <si>
    <t>1462.txt</t>
  </si>
  <si>
    <t>Hungry Domestic Calf</t>
  </si>
  <si>
    <t>飢餓的家養牛犢</t>
  </si>
  <si>
    <t>饥饿的家养牛犊</t>
  </si>
  <si>
    <t>Голодне домашнє теля</t>
  </si>
  <si>
    <t>1463.txt</t>
  </si>
  <si>
    <t>Bowl of Whole Milk</t>
  </si>
  <si>
    <t>一碗牛奶</t>
  </si>
  <si>
    <t>Значок B Половина X</t>
  </si>
  <si>
    <t>1464.txt</t>
  </si>
  <si>
    <t>Bowl of Cream</t>
  </si>
  <si>
    <t>一碗奶油</t>
  </si>
  <si>
    <t>Значок C Половина X</t>
  </si>
  <si>
    <t>1465.txt</t>
  </si>
  <si>
    <t>Bowl of Butter</t>
  </si>
  <si>
    <t>一碗黃油</t>
  </si>
  <si>
    <t>一碗黄油</t>
  </si>
  <si>
    <t>Миска з маслом</t>
  </si>
  <si>
    <t>1466.txt</t>
  </si>
  <si>
    <t>Bowl of Leavened Dough</t>
  </si>
  <si>
    <t>一碗发酵面团</t>
  </si>
  <si>
    <t>Значок E Половина X</t>
  </si>
  <si>
    <t>1467.txt</t>
  </si>
  <si>
    <t>Butter Knife</t>
  </si>
  <si>
    <t>黃油刀</t>
  </si>
  <si>
    <t>黄油刀</t>
  </si>
  <si>
    <t>Ніж для масла</t>
  </si>
  <si>
    <t>1468.txt</t>
  </si>
  <si>
    <t>Leavened Dough on Clay Plate</t>
  </si>
  <si>
    <t>粘土盘上的发酵面团</t>
  </si>
  <si>
    <t>Значок G Половина X</t>
  </si>
  <si>
    <t>1469.txt</t>
  </si>
  <si>
    <t>Raw Bread Loaf</t>
  </si>
  <si>
    <t>生面包条</t>
  </si>
  <si>
    <t>Значок H, половина X</t>
  </si>
  <si>
    <t>1470.txt</t>
  </si>
  <si>
    <t>Baked Bread</t>
  </si>
  <si>
    <t>烤面包</t>
  </si>
  <si>
    <t>1471.txt</t>
  </si>
  <si>
    <t>Sliced Bread</t>
  </si>
  <si>
    <t>切开的面包</t>
  </si>
  <si>
    <t>Значок A Full X</t>
  </si>
  <si>
    <t>1473.txt</t>
  </si>
  <si>
    <t>Buttered Bread on Clay Plate</t>
  </si>
  <si>
    <t>粘土盘上的黄油面包</t>
  </si>
  <si>
    <t>Значок B Full X</t>
  </si>
  <si>
    <t>1474.txt</t>
  </si>
  <si>
    <t>Bread Slice on Clay Plate</t>
  </si>
  <si>
    <t>粘土盘上的面包切片</t>
  </si>
  <si>
    <t>Значок C Full X</t>
  </si>
  <si>
    <t>1476.txt</t>
  </si>
  <si>
    <t>Slice of Bread</t>
  </si>
  <si>
    <t>麵包切片</t>
  </si>
  <si>
    <t>面包切片</t>
  </si>
  <si>
    <t>Скибочка хліба</t>
  </si>
  <si>
    <t>1478.txt</t>
  </si>
  <si>
    <t>Full Bucket of Milk</t>
  </si>
  <si>
    <t>一桶牛奶</t>
  </si>
  <si>
    <t>Повне відро молока</t>
  </si>
  <si>
    <t>1479.txt</t>
  </si>
  <si>
    <t>Partial Bucket of Milk</t>
  </si>
  <si>
    <t>未滿牛奶桶</t>
  </si>
  <si>
    <t>未满牛奶桶</t>
  </si>
  <si>
    <t>Часткове відро молока</t>
  </si>
  <si>
    <t>1480.txt</t>
  </si>
  <si>
    <t>Bucket of Separated Milk</t>
  </si>
  <si>
    <t>一桶分層牛奶</t>
  </si>
  <si>
    <t>一桶分层牛奶</t>
  </si>
  <si>
    <t>Відро сепарованого молока</t>
  </si>
  <si>
    <t>1481.txt</t>
  </si>
  <si>
    <t>Bowl of Skim Milk</t>
  </si>
  <si>
    <t>一碗脱脂牛奶</t>
  </si>
  <si>
    <t>Значок H Full X</t>
  </si>
  <si>
    <t>1483.txt</t>
  </si>
  <si>
    <t>Partial Bucket of Skim Milk</t>
  </si>
  <si>
    <t>未滿脫脂牛奶桶</t>
  </si>
  <si>
    <t>未满脱脂牛奶桶</t>
  </si>
  <si>
    <t>Часткове відро знежиреного молока</t>
  </si>
  <si>
    <t>1484.txt</t>
  </si>
  <si>
    <t>Fed Bison Calf</t>
  </si>
  <si>
    <t>喂过的野牛犊</t>
  </si>
  <si>
    <t>1485.txt</t>
  </si>
  <si>
    <t>Fed Domestic Calf</t>
  </si>
  <si>
    <t>喂过的家养牛犊</t>
  </si>
  <si>
    <t>1486.txt</t>
  </si>
  <si>
    <t>Dead Bison Calf</t>
  </si>
  <si>
    <t>野牛犊尸体</t>
  </si>
  <si>
    <t>1487.txt</t>
  </si>
  <si>
    <t>Dead Domestic Calf</t>
  </si>
  <si>
    <t>家養牛犢屍體</t>
  </si>
  <si>
    <t>家养牛犊尸体</t>
  </si>
  <si>
    <t>Мертве домашнє теля</t>
  </si>
  <si>
    <t>1488.txt</t>
  </si>
  <si>
    <t>Fed Domestic Cow</t>
  </si>
  <si>
    <t>餵過的家養牛</t>
  </si>
  <si>
    <t>喂过的家养牛</t>
  </si>
  <si>
    <t>Відгодована домашня корова</t>
  </si>
  <si>
    <t>1489.txt</t>
  </si>
  <si>
    <t>Milk Cow</t>
  </si>
  <si>
    <t>奶牛</t>
  </si>
  <si>
    <t>Дійна корова</t>
  </si>
  <si>
    <t>1491.txt</t>
  </si>
  <si>
    <t>Full Bucket of Milk#just refilled</t>
  </si>
  <si>
    <t>一桶牛奶#just refilled</t>
  </si>
  <si>
    <t>Повне відро молока#just refilled</t>
  </si>
  <si>
    <t>1492.txt</t>
  </si>
  <si>
    <t>Dry Milk Cow</t>
  </si>
  <si>
    <t>擠過奶的奶牛</t>
  </si>
  <si>
    <t>挤过奶的奶牛</t>
  </si>
  <si>
    <t>Корова сухого молока</t>
  </si>
  <si>
    <t>1493.txt</t>
  </si>
  <si>
    <t>Milk Cow#justDrank</t>
  </si>
  <si>
    <t>奶牛#justDrank</t>
  </si>
  <si>
    <t>Дійна корова#justDrank</t>
  </si>
  <si>
    <t>1510.txt</t>
  </si>
  <si>
    <t>Track End #S</t>
  </si>
  <si>
    <t>埋葬的狼</t>
  </si>
  <si>
    <t>Похований Вовк</t>
  </si>
  <si>
    <t>1511.txt</t>
  </si>
  <si>
    <t>Track End #N</t>
  </si>
  <si>
    <t>佩羽毛黑色圓頂禮帽</t>
  </si>
  <si>
    <t>佩羽毛黑色圆顶礼帽</t>
  </si>
  <si>
    <t>Чорний казанок з пір'ям</t>
  </si>
  <si>
    <t>1512.txt</t>
  </si>
  <si>
    <t>Track #EW</t>
  </si>
  <si>
    <t>佩羽毛靛藍圓頂禮帽</t>
  </si>
  <si>
    <t>佩羽毛靛蓝圆顶礼帽</t>
  </si>
  <si>
    <t>Капелюх-котелок кольору індиго з пір'ям</t>
  </si>
  <si>
    <t>1513.txt</t>
  </si>
  <si>
    <t>Track #NS</t>
  </si>
  <si>
    <t>佩羽毛黃色圓頂禮帽</t>
  </si>
  <si>
    <t>佩羽毛黄色圆顶礼帽</t>
  </si>
  <si>
    <t>Жовтий казанок з пір'ям</t>
  </si>
  <si>
    <t>1514.txt</t>
  </si>
  <si>
    <t>Track End #W</t>
  </si>
  <si>
    <t>佩羽毛未染色圓頂禮帽</t>
  </si>
  <si>
    <t>佩羽毛未染色圆顶礼帽</t>
  </si>
  <si>
    <t>Нефарбований котелок з пір'ям</t>
  </si>
  <si>
    <t>1515.txt</t>
  </si>
  <si>
    <t>Track End #E</t>
  </si>
  <si>
    <t>佩羽毛綠色圓頂禮帽</t>
  </si>
  <si>
    <t>佩羽毛绿色圆顶礼帽</t>
  </si>
  <si>
    <t>Зелений казанок з пір'ям</t>
  </si>
  <si>
    <t>1521.txt</t>
  </si>
  <si>
    <t>Moving Track Cart #N</t>
  </si>
  <si>
    <t>佩羽毛玫瑰紅圓頂禮帽</t>
  </si>
  <si>
    <t>佩羽毛玫瑰红圆顶礼帽</t>
  </si>
  <si>
    <t>Червоний казанок з пером</t>
  </si>
  <si>
    <t>1522.txt</t>
  </si>
  <si>
    <t>Moving Track Cart #E</t>
  </si>
  <si>
    <t>佩羽毛黃色禮帽</t>
  </si>
  <si>
    <t>佩羽毛黄色礼帽</t>
  </si>
  <si>
    <t>Жовтий циліндр з пером</t>
  </si>
  <si>
    <t>1524.txt</t>
  </si>
  <si>
    <t>Hot Steel Spring in Wooden Tongs</t>
  </si>
  <si>
    <t>被木鉗夾著的熱鋼彈簧</t>
  </si>
  <si>
    <t>被木钳夹着的热钢弹簧</t>
  </si>
  <si>
    <t>Гаряча сталева пружина в дерев'яних щипцях</t>
  </si>
  <si>
    <t>1525.txt</t>
  </si>
  <si>
    <t>Hot Steel Blade in Wooden Tongs</t>
  </si>
  <si>
    <t>被木鉗夾著的熱鋼條</t>
  </si>
  <si>
    <t>被木钳夹着的热钢条</t>
  </si>
  <si>
    <t>Гаряче сталеве лезо в дерев'яних щипцях</t>
  </si>
  <si>
    <t>1526.txt</t>
  </si>
  <si>
    <t>Cool Steel Blade in Wooden Tongs</t>
  </si>
  <si>
    <t>被木鉗夾著的冷鋼條</t>
  </si>
  <si>
    <t>被木钳夹着的冷钢条</t>
  </si>
  <si>
    <t>Круте сталеве лезо в дерев'яних щипцях</t>
  </si>
  <si>
    <t>1527.txt</t>
  </si>
  <si>
    <t>Soft Steel Spring in Wooden Tongs</t>
  </si>
  <si>
    <t>被木鉗夾著的軟鋼彈簧</t>
  </si>
  <si>
    <t>被木钳夹着的软钢弹簧</t>
  </si>
  <si>
    <t>М'яка сталева пружина в дерев'яних щипцях</t>
  </si>
  <si>
    <t>1528.txt</t>
  </si>
  <si>
    <t>Quenching Spring Steel</t>
  </si>
  <si>
    <t>淬火中的彈簧鋼</t>
  </si>
  <si>
    <t>淬火中的弹簧钢</t>
  </si>
  <si>
    <t>Загартування пружинної сталі</t>
  </si>
  <si>
    <t>1529.txt</t>
  </si>
  <si>
    <t>Quenched Spring Steel</t>
  </si>
  <si>
    <t>淬火好的彈簧鋼</t>
  </si>
  <si>
    <t>淬火好的弹簧钢</t>
  </si>
  <si>
    <t>Загартована пружинна сталь</t>
  </si>
  <si>
    <t>1530.txt</t>
  </si>
  <si>
    <t>Track Kit</t>
  </si>
  <si>
    <t>軌道組件</t>
  </si>
  <si>
    <t>轨道组件</t>
  </si>
  <si>
    <t>1531.txt</t>
  </si>
  <si>
    <t>East Track End Stakes</t>
  </si>
  <si>
    <t>東軌道終點樁</t>
  </si>
  <si>
    <t>东轨道终点桩</t>
  </si>
  <si>
    <t>1532.txt</t>
  </si>
  <si>
    <t>西軌道終點樁</t>
  </si>
  <si>
    <t>西轨道终点桩</t>
  </si>
  <si>
    <t>1533.txt</t>
  </si>
  <si>
    <t>North Track End Stakes</t>
  </si>
  <si>
    <t>北軌道終點樁</t>
  </si>
  <si>
    <t>北轨道终点桩</t>
  </si>
  <si>
    <t>1534.txt</t>
  </si>
  <si>
    <t>South Track End Stakes</t>
  </si>
  <si>
    <t>南軌道終點樁</t>
  </si>
  <si>
    <t>南轨道终点桩</t>
  </si>
  <si>
    <t>1539.txt</t>
  </si>
  <si>
    <t>Quenched Steel Spring in Wooden Tongs</t>
  </si>
  <si>
    <t>被木鉗夾著的淬火鋼彈簧</t>
  </si>
  <si>
    <t>被木钳夹着的淬火钢弹簧</t>
  </si>
  <si>
    <t>1540.txt</t>
  </si>
  <si>
    <t>Tempered Steel Spring in Wooden Tongs</t>
  </si>
  <si>
    <t>被木鉗夾著的回火鋼彈簧</t>
  </si>
  <si>
    <t>被木钳夹着的回火钢弹簧</t>
  </si>
  <si>
    <t>1541.txt</t>
  </si>
  <si>
    <t>Steel Spring</t>
  </si>
  <si>
    <t>鋼彈簧</t>
  </si>
  <si>
    <t>钢弹簧</t>
  </si>
  <si>
    <t>1542.txt</t>
  </si>
  <si>
    <t>Quenched Steel Spring</t>
  </si>
  <si>
    <t>淬火鋼彈簧</t>
  </si>
  <si>
    <t>淬火钢弹簧</t>
  </si>
  <si>
    <t>Загартована сталева пружина</t>
  </si>
  <si>
    <t>1543.txt</t>
  </si>
  <si>
    <t>Soft Steel Spring</t>
  </si>
  <si>
    <t>軟鋼彈簧</t>
  </si>
  <si>
    <t>软钢弹簧</t>
  </si>
  <si>
    <t>М'яка сталева пружина</t>
  </si>
  <si>
    <t>1544.txt</t>
  </si>
  <si>
    <t>Partial Track Cart Kit#1 wheel</t>
  </si>
  <si>
    <t>不完整礦車組件#1 wheel</t>
  </si>
  <si>
    <t>不完整矿车组件#1 wheel</t>
  </si>
  <si>
    <t>Частковий комплект колісного візка#1 wheel</t>
  </si>
  <si>
    <t>1545.txt</t>
  </si>
  <si>
    <t>Partial Track Cart Kit#2 wheel</t>
  </si>
  <si>
    <t>不完整礦車組件#2 wheel</t>
  </si>
  <si>
    <t>不完整矿车组件#2 wheel</t>
  </si>
  <si>
    <t>1546.txt</t>
  </si>
  <si>
    <t>Partial Track Cart Kit#3 wheel</t>
  </si>
  <si>
    <t>不完整礦車組件#3 wheel</t>
  </si>
  <si>
    <t>不完整矿车组件#3 wheel</t>
  </si>
  <si>
    <t>Частковий комплект колісного візка#3 wheel</t>
  </si>
  <si>
    <t>1547.txt</t>
  </si>
  <si>
    <t>Partial Track Cart Kit#4 wheel</t>
  </si>
  <si>
    <t>不完整礦車組件#4 wheel</t>
  </si>
  <si>
    <t>不完整矿车组件#4 wheel</t>
  </si>
  <si>
    <t>1548.txt</t>
  </si>
  <si>
    <t>Track Cart Kit</t>
  </si>
  <si>
    <t>礦車組件</t>
  </si>
  <si>
    <t>矿车组件</t>
  </si>
  <si>
    <t>Набір трекового візка</t>
  </si>
  <si>
    <t>1550.txt</t>
  </si>
  <si>
    <t>Track End #W #cart</t>
  </si>
  <si>
    <t>轨道终点 #W #cart</t>
  </si>
  <si>
    <t>Жовтий циліндр# justDyed</t>
  </si>
  <si>
    <t>1551.txt</t>
  </si>
  <si>
    <t>Track End #E #cart</t>
  </si>
  <si>
    <t>轨道终点 #E #cart</t>
  </si>
  <si>
    <t>Циліндр кольору індиго з пером# justDyed</t>
  </si>
  <si>
    <t>1552.txt</t>
  </si>
  <si>
    <t>Track End #W #cart #justMade</t>
  </si>
  <si>
    <t>轨道终点 #W #cart #justMade</t>
  </si>
  <si>
    <t>Зелений циліндр із пером# justDyed</t>
  </si>
  <si>
    <t>1553.txt</t>
  </si>
  <si>
    <t>Track End #E #cart #justMade</t>
  </si>
  <si>
    <t>轨道终点 #E #cart #justMade</t>
  </si>
  <si>
    <t>Чорний циліндр із пером# justDyed</t>
  </si>
  <si>
    <t>1554.txt</t>
  </si>
  <si>
    <t>Track End #E #cartW</t>
  </si>
  <si>
    <t>轨道终点 #E #cartW</t>
  </si>
  <si>
    <t>Червоний циліндр із пером # justDyed</t>
  </si>
  <si>
    <t>1555.txt</t>
  </si>
  <si>
    <t>Track End #W #cartE</t>
  </si>
  <si>
    <t>轨道终点 #W #cartE</t>
  </si>
  <si>
    <t>Нефарбований казанок з червоною трояндою</t>
  </si>
  <si>
    <t>1556.txt</t>
  </si>
  <si>
    <t>Track #EW #cartW</t>
  </si>
  <si>
    <t>轨道 #EW #cartW</t>
  </si>
  <si>
    <t>Нефарбований казанок з білою трояндою</t>
  </si>
  <si>
    <t>1557.txt</t>
  </si>
  <si>
    <t>Track #EW #cartE</t>
  </si>
  <si>
    <t>轨道 #EW #cartE</t>
  </si>
  <si>
    <t>Нефарбований казанок з рожевою трояндою</t>
  </si>
  <si>
    <t>1567.txt</t>
  </si>
  <si>
    <t>Moving Track Cart #W</t>
  </si>
  <si>
    <t>移动轨道车 #W</t>
  </si>
  <si>
    <t>Нефарбований казанок з блакитною трояндою</t>
  </si>
  <si>
    <t>1571.txt</t>
  </si>
  <si>
    <t>Moving Track Cart #S</t>
  </si>
  <si>
    <t>移动轨道车 #S</t>
  </si>
  <si>
    <t>Нефарбований циліндр з рожевою трояндою</t>
  </si>
  <si>
    <t>1574.txt</t>
  </si>
  <si>
    <t>Track End #N #cart</t>
  </si>
  <si>
    <t>轨道终点 #N #cart</t>
  </si>
  <si>
    <t>Чорний казанок з білою трояндою</t>
  </si>
  <si>
    <t>1575.txt</t>
  </si>
  <si>
    <t>Track End #N #cart #justMade</t>
  </si>
  <si>
    <t>轨道终点 #N #cart #justMade</t>
  </si>
  <si>
    <t>Чорний казанок з рожевою трояндою</t>
  </si>
  <si>
    <t>1576.txt</t>
  </si>
  <si>
    <t>Track End #N #cartS</t>
  </si>
  <si>
    <t>轨道终点 #N #cartS</t>
  </si>
  <si>
    <t>Чорний казанок з блакитною трояндою</t>
  </si>
  <si>
    <t>1577.txt</t>
  </si>
  <si>
    <t>Track End #S #cart</t>
  </si>
  <si>
    <t>轨道终点 #S #cart</t>
  </si>
  <si>
    <t>Капелюх-котелок кольору індиго з червоною трояндою</t>
  </si>
  <si>
    <t>1578.txt</t>
  </si>
  <si>
    <t>Track End #S #cart #justMade</t>
  </si>
  <si>
    <t>轨道终点 #S #cart #justMade</t>
  </si>
  <si>
    <t>Капелюх-котелок кольору індиго з білою трояндою</t>
  </si>
  <si>
    <t>1579.txt</t>
  </si>
  <si>
    <t>Track End #S #cartN</t>
  </si>
  <si>
    <t>轨道终点 #S #cartN</t>
  </si>
  <si>
    <t>Капелюх-котелок кольору індиго з рожевою трояндою</t>
  </si>
  <si>
    <t>1580.txt</t>
  </si>
  <si>
    <t>Track #NS #cartS</t>
  </si>
  <si>
    <t>轨道 #NS #cartS</t>
  </si>
  <si>
    <t>Капелюх-котелок кольору індиго з блакитною трояндою</t>
  </si>
  <si>
    <t>1581.txt</t>
  </si>
  <si>
    <t>Track #NS #cartN</t>
  </si>
  <si>
    <t>轨道 #NS #cartN</t>
  </si>
  <si>
    <t>Жовтий казанок з червоною трояндою</t>
  </si>
  <si>
    <t>1582.txt</t>
  </si>
  <si>
    <t>Derailed Cart</t>
  </si>
  <si>
    <t>脫軌礦車</t>
  </si>
  <si>
    <t>脱轨矿车</t>
  </si>
  <si>
    <t>Зійшов з рейок візок</t>
  </si>
  <si>
    <t>1583.txt</t>
  </si>
  <si>
    <t>Track #C</t>
  </si>
  <si>
    <t>轨道 #C</t>
  </si>
  <si>
    <t>Жовтий казанок з рожевою трояндою</t>
  </si>
  <si>
    <t>1584.txt</t>
  </si>
  <si>
    <t>Track #C #cartN</t>
  </si>
  <si>
    <t>轨道 #C #cartN</t>
  </si>
  <si>
    <t>Жовтий казанок з блакитною трояндою</t>
  </si>
  <si>
    <t>1585.txt</t>
  </si>
  <si>
    <t>Track #C #cartS</t>
  </si>
  <si>
    <t>轨道 #C #cartS</t>
  </si>
  <si>
    <t>Зелений казанок з червоною трояндою</t>
  </si>
  <si>
    <t>1586.txt</t>
  </si>
  <si>
    <t>Track #C #cartE</t>
  </si>
  <si>
    <t>轨道 #C #cartE</t>
  </si>
  <si>
    <t>Зелений казанок з білою трояндою</t>
  </si>
  <si>
    <t>1587.txt</t>
  </si>
  <si>
    <t>Track #C #cartW</t>
  </si>
  <si>
    <t>轨道 #C #cartW</t>
  </si>
  <si>
    <t>Зелений казанок з рожевою трояндою</t>
  </si>
  <si>
    <t>1592.txt</t>
  </si>
  <si>
    <t>Partial Track Cart Kit#3 wheel remade</t>
  </si>
  <si>
    <t>不完整礦車組件#3 wheel remade</t>
  </si>
  <si>
    <t>不完整矿车组件#3 wheel remade</t>
  </si>
  <si>
    <t>Частково перероблено колесо #3 wheel remade</t>
  </si>
  <si>
    <t>1593.txt</t>
  </si>
  <si>
    <t>Hot Steel Spring in Wooden Tongs#justBent</t>
  </si>
  <si>
    <t>被木鉗夾著的熱鋼彈簧#justBent</t>
  </si>
  <si>
    <t>被木钳夹着的热钢弹簧#justBent</t>
  </si>
  <si>
    <t>Гаряча сталева пружина в дерев'яних щипцях#justBent</t>
  </si>
  <si>
    <t>1594.txt</t>
  </si>
  <si>
    <t>@ Diggable Track</t>
  </si>
  <si>
    <t>1596.txt</t>
  </si>
  <si>
    <t>Stone Road</t>
  </si>
  <si>
    <t>石路</t>
  </si>
  <si>
    <t>1597.txt</t>
  </si>
  <si>
    <t>@ Moving Cart</t>
  </si>
  <si>
    <t>1598.txt</t>
  </si>
  <si>
    <t>Iron Ore Pile</t>
  </si>
  <si>
    <t>一堆鐵礦</t>
  </si>
  <si>
    <t>一堆铁矿</t>
  </si>
  <si>
    <t>Купа залізної руди</t>
  </si>
  <si>
    <t>1599.txt</t>
  </si>
  <si>
    <t>Kindling Pile</t>
  </si>
  <si>
    <t>一堆細柴</t>
  </si>
  <si>
    <t>一堆细柴</t>
  </si>
  <si>
    <t>1600.txt</t>
  </si>
  <si>
    <t>@ Pile</t>
  </si>
  <si>
    <t>@ Купа</t>
  </si>
  <si>
    <t>1601.txt</t>
  </si>
  <si>
    <t>@ Pile Element</t>
  </si>
  <si>
    <t>@ Свайний елемент</t>
  </si>
  <si>
    <t>1602.txt</t>
  </si>
  <si>
    <t>Stack of Clay Plates</t>
  </si>
  <si>
    <t>一堆黏土盤</t>
  </si>
  <si>
    <t>一堆黏土盘</t>
  </si>
  <si>
    <t>Стек глиняних пластин</t>
  </si>
  <si>
    <t>1603.txt</t>
  </si>
  <si>
    <t>Stack of Clay Bowls</t>
  </si>
  <si>
    <t>一堆黏土碗</t>
  </si>
  <si>
    <t>Стек глиняних мисок</t>
  </si>
  <si>
    <t>1605.txt</t>
  </si>
  <si>
    <t>Stack of Baskets</t>
  </si>
  <si>
    <t>一堆籃子</t>
  </si>
  <si>
    <t>一堆篮子</t>
  </si>
  <si>
    <t>Стек кошиків</t>
  </si>
  <si>
    <t>1606.txt</t>
  </si>
  <si>
    <t>Flat Rock with Wood Pulp</t>
  </si>
  <si>
    <t>扁石與木漿</t>
  </si>
  <si>
    <t>扁石与木浆</t>
  </si>
  <si>
    <t>Flat Rock з деревною масою</t>
  </si>
  <si>
    <t>1607.txt</t>
  </si>
  <si>
    <t>Flat Rock with Spread Wood Pulp</t>
  </si>
  <si>
    <t>扁石與延展木漿</t>
  </si>
  <si>
    <t>扁石与延展木浆</t>
  </si>
  <si>
    <t>Плоский камінь з деревною целюлозою</t>
  </si>
  <si>
    <t>1608.txt</t>
  </si>
  <si>
    <t>Pressed Wood Pulp</t>
  </si>
  <si>
    <t>按壓過的木漿</t>
  </si>
  <si>
    <t>按压过的木浆</t>
  </si>
  <si>
    <t>Пресована деревна целюлоза</t>
  </si>
  <si>
    <t>1609.txt</t>
  </si>
  <si>
    <t>Flat Rock with Paper</t>
  </si>
  <si>
    <t>扁石與紙</t>
  </si>
  <si>
    <t>扁石与纸</t>
  </si>
  <si>
    <t>Плоский камінь з папером</t>
  </si>
  <si>
    <t>1610.txt</t>
  </si>
  <si>
    <t>Wood Shavings in Simmering Water</t>
  </si>
  <si>
    <t>在沸水中的木屑</t>
  </si>
  <si>
    <t>Деревна стружка в киплячій воді</t>
  </si>
  <si>
    <t>1611.txt</t>
  </si>
  <si>
    <t>Bowl of Wood Shavings in Water</t>
  </si>
  <si>
    <t>紅頂紅玫瑰禮帽</t>
  </si>
  <si>
    <t>红顶红玫瑰礼帽</t>
  </si>
  <si>
    <t>Червоний циліндр з червоною трояндою</t>
  </si>
  <si>
    <t>1612.txt</t>
  </si>
  <si>
    <t>Ashes with Bowl of Cooked Wood Shavings</t>
  </si>
  <si>
    <t>灰燼上的一碗熟木屑</t>
  </si>
  <si>
    <t>灰烬上的一碗熟木屑</t>
  </si>
  <si>
    <t>Попіл з мискою вареної деревної стружки</t>
  </si>
  <si>
    <t>1613.txt</t>
  </si>
  <si>
    <t>Bowl of Wood Pulp</t>
  </si>
  <si>
    <t>一碗木漿</t>
  </si>
  <si>
    <t>一碗木浆</t>
  </si>
  <si>
    <t>Чаша деревної целюлози</t>
  </si>
  <si>
    <t>1614.txt</t>
  </si>
  <si>
    <t>Bowl of Cooked Wood Shavings</t>
  </si>
  <si>
    <t>一碗煮過的木屑</t>
  </si>
  <si>
    <t>一碗煮过的木屑</t>
  </si>
  <si>
    <t>Чаша вареної деревної стружки</t>
  </si>
  <si>
    <t>1615.txt</t>
  </si>
  <si>
    <t>Paper with Charcoal Writing# &amp;written</t>
  </si>
  <si>
    <t>用炭筆寫好的紙# &amp;written</t>
  </si>
  <si>
    <t>用炭笔写好的纸# &amp;written</t>
  </si>
  <si>
    <t>На папері вугіллям# &amp;written</t>
  </si>
  <si>
    <t>1616.txt</t>
  </si>
  <si>
    <t>Blank Paper with Charcoal# &amp;writable</t>
  </si>
  <si>
    <t>白紙與炭筆# &amp;writable</t>
  </si>
  <si>
    <t>白纸与炭笔# &amp;writable</t>
  </si>
  <si>
    <t>Чистий папір з вугіллям# &amp;writable</t>
  </si>
  <si>
    <t>1617.txt</t>
  </si>
  <si>
    <t>Charcoal Pencil</t>
  </si>
  <si>
    <t>黑玫瑰</t>
  </si>
  <si>
    <t>Чорна роза</t>
  </si>
  <si>
    <t>1618.txt</t>
  </si>
  <si>
    <t>Written Paper# &amp;written</t>
  </si>
  <si>
    <t>寫好的紙# &amp;written</t>
  </si>
  <si>
    <t>写好的纸# &amp;written</t>
  </si>
  <si>
    <t>Письмова робота# &amp;written</t>
  </si>
  <si>
    <t>1619.txt</t>
  </si>
  <si>
    <t>Blank Paper</t>
  </si>
  <si>
    <t>白紙</t>
  </si>
  <si>
    <t>白纸</t>
  </si>
  <si>
    <t>Чистий папір</t>
  </si>
  <si>
    <t>1620.txt</t>
  </si>
  <si>
    <t>Wood Shavings</t>
  </si>
  <si>
    <t>木屑</t>
  </si>
  <si>
    <t>Деревні стружки</t>
  </si>
  <si>
    <t>1621.txt</t>
  </si>
  <si>
    <t>Written Paper# writing happening &amp;written</t>
  </si>
  <si>
    <t>寫好的紙# writing happening &amp;written</t>
  </si>
  <si>
    <t>写好的纸# writing happening &amp;written</t>
  </si>
  <si>
    <t>Письмова робота# writing happening &amp;written</t>
  </si>
  <si>
    <t>1622.txt</t>
  </si>
  <si>
    <t>Cooked Wood Shavings on Hot Coals</t>
  </si>
  <si>
    <t>熱炭上的熟木屑</t>
  </si>
  <si>
    <t>热炭上的熟木屑</t>
  </si>
  <si>
    <t>Варена деревна стружка на гарячому вугіллі</t>
  </si>
  <si>
    <t>1624.txt</t>
  </si>
  <si>
    <t>Bow and Arrow with Note# &amp;written</t>
  </si>
  <si>
    <t>黑玫瑰綠色禮帽</t>
  </si>
  <si>
    <t>黑玫瑰绿色礼帽</t>
  </si>
  <si>
    <t>Зелений казанок з чорною трояндою</t>
  </si>
  <si>
    <t>1625.txt</t>
  </si>
  <si>
    <t>Note Arrow Wound# &amp;written</t>
  </si>
  <si>
    <t>便條箭傷# &amp;written</t>
  </si>
  <si>
    <t>便条箭伤# &amp;written</t>
  </si>
  <si>
    <t>Примітка Поранення стріли# &amp;written</t>
  </si>
  <si>
    <t>1626.txt</t>
  </si>
  <si>
    <t>Arrow with Note# &amp;written</t>
  </si>
  <si>
    <t>箭與便條# &amp;written</t>
  </si>
  <si>
    <t>箭与便条# &amp;written</t>
  </si>
  <si>
    <t>Стрілка # &amp;written</t>
  </si>
  <si>
    <t>1627.txt</t>
  </si>
  <si>
    <t>Bloody Note# &amp;written</t>
  </si>
  <si>
    <t>帶血漬的便條# &amp;written</t>
  </si>
  <si>
    <t>带血渍的便条# &amp;written</t>
  </si>
  <si>
    <t>Кривава записка# &amp;written</t>
  </si>
  <si>
    <t>1628.txt</t>
  </si>
  <si>
    <t>Female013 F</t>
  </si>
  <si>
    <t>女性013 F</t>
  </si>
  <si>
    <t>Жінка013 F</t>
  </si>
  <si>
    <t>1629.txt</t>
  </si>
  <si>
    <t>Male014 A</t>
  </si>
  <si>
    <t>男性014 A</t>
  </si>
  <si>
    <t>Чоловік014 А</t>
  </si>
  <si>
    <t>1630.txt</t>
  </si>
  <si>
    <t>Semi-tame Wolf</t>
  </si>
  <si>
    <t>半馴化狼</t>
  </si>
  <si>
    <t>半驯化狼</t>
  </si>
  <si>
    <t>Напівприручений вовк</t>
  </si>
  <si>
    <t>1631.txt</t>
  </si>
  <si>
    <t>Semi-tame Wolf with Puppies#3</t>
  </si>
  <si>
    <t>半馴化狼與幼崽#3</t>
  </si>
  <si>
    <t>半驯化狼与幼崽#3</t>
  </si>
  <si>
    <t>Напівприручений вовк із цуценятами #3</t>
  </si>
  <si>
    <t>1632.txt</t>
  </si>
  <si>
    <t>Wolf Puppy#1</t>
  </si>
  <si>
    <t>狼崽#1</t>
  </si>
  <si>
    <t>Щеня вовка #1</t>
  </si>
  <si>
    <t>1633.txt</t>
  </si>
  <si>
    <t>German Shepherd Puppy</t>
  </si>
  <si>
    <t>德國牧羊犬幼崽</t>
  </si>
  <si>
    <t>德国牧羊犬幼崽</t>
  </si>
  <si>
    <t>Щеня німецької вівчарки</t>
  </si>
  <si>
    <t>1634.txt</t>
  </si>
  <si>
    <t>Collie Puppy</t>
  </si>
  <si>
    <t>科利犬幼崽</t>
  </si>
  <si>
    <t>Щеня Коллі</t>
  </si>
  <si>
    <t>1635.txt</t>
  </si>
  <si>
    <t>Semi-tame Wolf with Puppies#2</t>
  </si>
  <si>
    <t>半馴化狼與幼崽#2</t>
  </si>
  <si>
    <t>半驯化狼与幼崽#2</t>
  </si>
  <si>
    <t>Напівприручений вовк із цуценятами#2</t>
  </si>
  <si>
    <t>1636.txt</t>
  </si>
  <si>
    <t>Semi-tame Wolf with Puppy#1</t>
  </si>
  <si>
    <t>半馴化狼與幼崽#1</t>
  </si>
  <si>
    <t>半驯化狼与幼崽#1</t>
  </si>
  <si>
    <t>Напівприручений вовк із цуценям#1</t>
  </si>
  <si>
    <t>1637.txt</t>
  </si>
  <si>
    <t>Wolf Puppy#1 held</t>
  </si>
  <si>
    <t>狼崽#1 held</t>
  </si>
  <si>
    <t>Щеня вовка #1 held</t>
  </si>
  <si>
    <t>1638.txt</t>
  </si>
  <si>
    <t>German Shepherd Puppy# held</t>
  </si>
  <si>
    <t>德國牧羊犬幼崽# held</t>
  </si>
  <si>
    <t>德国牧羊犬幼崽# held</t>
  </si>
  <si>
    <t>Цуценя німецької вівчарки # held</t>
  </si>
  <si>
    <t>1639.txt</t>
  </si>
  <si>
    <t>Collie Puppy# held</t>
  </si>
  <si>
    <t>科利犬幼崽# held</t>
  </si>
  <si>
    <t>Цуценя коллі # held</t>
  </si>
  <si>
    <t>1640.txt</t>
  </si>
  <si>
    <t>Semi-tame Wolf# just fed</t>
  </si>
  <si>
    <t>半馴化狼# just fed</t>
  </si>
  <si>
    <t>半驯化狼# just fed</t>
  </si>
  <si>
    <t>Напівприручений Вовк# just fed</t>
  </si>
  <si>
    <t>1641.txt</t>
  </si>
  <si>
    <t>@ Deadly Wolf</t>
  </si>
  <si>
    <t>1642.txt</t>
  </si>
  <si>
    <t>Semi-tame Wolf# pregnant</t>
  </si>
  <si>
    <t>半馴化狼# pregnant</t>
  </si>
  <si>
    <t>半驯化狼# pregnant</t>
  </si>
  <si>
    <t>Напівприручена вовчиця# pregnant</t>
  </si>
  <si>
    <t>1643.txt</t>
  </si>
  <si>
    <t>Pit Bull Puppy</t>
  </si>
  <si>
    <t>比特犬幼崽</t>
  </si>
  <si>
    <t>Цуценя пітбуля</t>
  </si>
  <si>
    <t>1644.txt</t>
  </si>
  <si>
    <t>Pit Bull Puppy# held</t>
  </si>
  <si>
    <t>比特犬幼崽# held</t>
  </si>
  <si>
    <t>Цуценя Pit Bull # held</t>
  </si>
  <si>
    <t>1645.txt</t>
  </si>
  <si>
    <t>Beagle Puppy</t>
  </si>
  <si>
    <t>比格獵犬幼崽</t>
  </si>
  <si>
    <t>比格猎犬幼崽</t>
  </si>
  <si>
    <t>Щеня Бігля</t>
  </si>
  <si>
    <t>1646.txt</t>
  </si>
  <si>
    <t>Beagle Puppy# held</t>
  </si>
  <si>
    <t>比格獵犬幼崽# held</t>
  </si>
  <si>
    <t>比格猎犬幼崽# held</t>
  </si>
  <si>
    <t>Цуценя Бігля # held</t>
  </si>
  <si>
    <t>1647.txt</t>
  </si>
  <si>
    <t>Airedale Puppy</t>
  </si>
  <si>
    <t>艾爾谷犬幼崽</t>
  </si>
  <si>
    <t>艾尔谷犬幼崽</t>
  </si>
  <si>
    <t>Щеня Ердель</t>
  </si>
  <si>
    <t>1648.txt</t>
  </si>
  <si>
    <t>Airedale Puppy# held</t>
  </si>
  <si>
    <t>艾爾谷犬幼崽# held</t>
  </si>
  <si>
    <t>艾尔谷犬幼崽# held</t>
  </si>
  <si>
    <t>Ердельське цуценя # held</t>
  </si>
  <si>
    <t>1649.txt</t>
  </si>
  <si>
    <t>Poodle Puppy</t>
  </si>
  <si>
    <t>贵宾犬幼崽</t>
  </si>
  <si>
    <t>1650.txt</t>
  </si>
  <si>
    <t>Poodle Puppy# held</t>
  </si>
  <si>
    <t>貴賓犬幼崽# held</t>
  </si>
  <si>
    <t>贵宾犬幼崽# held</t>
  </si>
  <si>
    <t>Цуценя пуделя # held</t>
  </si>
  <si>
    <t>1651.txt</t>
  </si>
  <si>
    <t>Schnauser Puppy</t>
  </si>
  <si>
    <t>雪納瑞幼崽</t>
  </si>
  <si>
    <t>雪纳瑞幼崽</t>
  </si>
  <si>
    <t>Щеня шнаусер</t>
  </si>
  <si>
    <t>1652.txt</t>
  </si>
  <si>
    <t>Schnauser Puppy# held</t>
  </si>
  <si>
    <t>雪納瑞幼崽# held</t>
  </si>
  <si>
    <t>雪纳瑞幼崽# held</t>
  </si>
  <si>
    <t>Цуценя шнаузера# held</t>
  </si>
  <si>
    <t>1653.txt</t>
  </si>
  <si>
    <t>Dachshund Puppy</t>
  </si>
  <si>
    <t>臘腸犬幼崽</t>
  </si>
  <si>
    <t>腊肠犬幼崽</t>
  </si>
  <si>
    <t>Цуценя такси</t>
  </si>
  <si>
    <t>1654.txt</t>
  </si>
  <si>
    <t>Dachshund Puppy# held</t>
  </si>
  <si>
    <t>臘腸犬幼崽# held</t>
  </si>
  <si>
    <t>腊肠犬幼崽# held</t>
  </si>
  <si>
    <t>Цуценя такси# held</t>
  </si>
  <si>
    <t>1655.txt</t>
  </si>
  <si>
    <t>Chihuahua Puppy</t>
  </si>
  <si>
    <t>吉娃娃幼崽</t>
  </si>
  <si>
    <t>Щеня чихуахуа</t>
  </si>
  <si>
    <t>1656.txt</t>
  </si>
  <si>
    <t>Chihuahua Puppy# held</t>
  </si>
  <si>
    <t>吉娃娃幼崽# held</t>
  </si>
  <si>
    <t>Цуценя чихуахуа # held</t>
  </si>
  <si>
    <t>1657.txt</t>
  </si>
  <si>
    <t>Collie</t>
  </si>
  <si>
    <t>科利犬</t>
  </si>
  <si>
    <t>Коллі</t>
  </si>
  <si>
    <t>1658.txt</t>
  </si>
  <si>
    <t>German Shepherd</t>
  </si>
  <si>
    <t>德國牧羊犬</t>
  </si>
  <si>
    <t>德国牧羊犬</t>
  </si>
  <si>
    <t>Німецька вівчарка</t>
  </si>
  <si>
    <t>1659.txt</t>
  </si>
  <si>
    <t>Pit Bull</t>
  </si>
  <si>
    <t>比特犬</t>
  </si>
  <si>
    <t>Пітбуль</t>
  </si>
  <si>
    <t>1660.txt</t>
  </si>
  <si>
    <t>Beagle</t>
  </si>
  <si>
    <t>比格獵犬</t>
  </si>
  <si>
    <t>比格猎犬</t>
  </si>
  <si>
    <t>Бігль</t>
  </si>
  <si>
    <t>1661.txt</t>
  </si>
  <si>
    <t>Airedale</t>
  </si>
  <si>
    <t>艾爾谷犬</t>
  </si>
  <si>
    <t>艾尔谷犬</t>
  </si>
  <si>
    <t>Ердель</t>
  </si>
  <si>
    <t>1662.txt</t>
  </si>
  <si>
    <t>Poodle</t>
  </si>
  <si>
    <t>貴賓犬</t>
  </si>
  <si>
    <t>贵宾犬</t>
  </si>
  <si>
    <t>Пудель</t>
  </si>
  <si>
    <t>1663.txt</t>
  </si>
  <si>
    <t>Dachshund</t>
  </si>
  <si>
    <t>臘腸犬</t>
  </si>
  <si>
    <t>腊肠犬</t>
  </si>
  <si>
    <t>Такса</t>
  </si>
  <si>
    <t>1664.txt</t>
  </si>
  <si>
    <t>Schnauser</t>
  </si>
  <si>
    <t>雪納瑞</t>
  </si>
  <si>
    <t>雪纳瑞</t>
  </si>
  <si>
    <t>шнаузер</t>
  </si>
  <si>
    <t>1665.txt</t>
  </si>
  <si>
    <t>Chihuahua</t>
  </si>
  <si>
    <t>吉娃娃</t>
  </si>
  <si>
    <t>Чихуахуа</t>
  </si>
  <si>
    <t>1667.txt</t>
  </si>
  <si>
    <t>Collie# pregnant</t>
  </si>
  <si>
    <t>科利犬# pregnant</t>
  </si>
  <si>
    <t>Коллі# pregnant</t>
  </si>
  <si>
    <t>1668.txt</t>
  </si>
  <si>
    <t>German Shepherd# pregnant</t>
  </si>
  <si>
    <t>德國牧羊犬# pregnant</t>
  </si>
  <si>
    <t>德国牧羊犬# pregnant</t>
  </si>
  <si>
    <t>Німецька вівчарка# pregnant</t>
  </si>
  <si>
    <t>1669.txt</t>
  </si>
  <si>
    <t>Pit Bull# pregnant</t>
  </si>
  <si>
    <t>比特犬# pregnant</t>
  </si>
  <si>
    <t>Пітбуль # pregnant</t>
  </si>
  <si>
    <t>1670.txt</t>
  </si>
  <si>
    <t>Beagle# pregnant</t>
  </si>
  <si>
    <t>比格獵犬# pregnant</t>
  </si>
  <si>
    <t>比格猎犬# pregnant</t>
  </si>
  <si>
    <t>Бігль# pregnant</t>
  </si>
  <si>
    <t>1671.txt</t>
  </si>
  <si>
    <t>Airedale# pregnant</t>
  </si>
  <si>
    <t>艾爾谷犬# pregnant</t>
  </si>
  <si>
    <t>艾尔谷犬# pregnant</t>
  </si>
  <si>
    <t>Ейрдель # pregnant</t>
  </si>
  <si>
    <t>1672.txt</t>
  </si>
  <si>
    <t>Poodle# pregnant</t>
  </si>
  <si>
    <t>貴賓犬# pregnant</t>
  </si>
  <si>
    <t>贵宾犬# pregnant</t>
  </si>
  <si>
    <t>Пудель # pregnant</t>
  </si>
  <si>
    <t>1673.txt</t>
  </si>
  <si>
    <t>Dachshund# pregnant</t>
  </si>
  <si>
    <t>臘腸犬# pregnant</t>
  </si>
  <si>
    <t>腊肠犬# pregnant</t>
  </si>
  <si>
    <t>Такса# pregnant</t>
  </si>
  <si>
    <t>1674.txt</t>
  </si>
  <si>
    <t>Schnauser# pregnant</t>
  </si>
  <si>
    <t>雪納瑞# pregnant</t>
  </si>
  <si>
    <t>雪纳瑞# pregnant</t>
  </si>
  <si>
    <t>Шнаузер# pregnant</t>
  </si>
  <si>
    <t>1675.txt</t>
  </si>
  <si>
    <t>Chihuahua# pregnant</t>
  </si>
  <si>
    <t>吉娃娃# pregnant</t>
  </si>
  <si>
    <t>Чихуахуа# pregnant</t>
  </si>
  <si>
    <t>1676.txt</t>
  </si>
  <si>
    <t>Collie# just fed raw</t>
  </si>
  <si>
    <t>柯利牧羊犬#刚刚喂食生食</t>
  </si>
  <si>
    <t>1677.txt</t>
  </si>
  <si>
    <t>German Shepherd# just fed raw</t>
  </si>
  <si>
    <t>德国牧羊犬#刚喂生食</t>
  </si>
  <si>
    <t>1678.txt</t>
  </si>
  <si>
    <t>Pit Bull# just fed raw</t>
  </si>
  <si>
    <t>斗牛犬#刚刚喂食生食</t>
  </si>
  <si>
    <t>1679.txt</t>
  </si>
  <si>
    <t>Beagle# just fed raw</t>
  </si>
  <si>
    <t>比格犬#刚刚喂食生食</t>
  </si>
  <si>
    <t>1680.txt</t>
  </si>
  <si>
    <t>Airedale# just fed raw</t>
  </si>
  <si>
    <t>Airedale#刚刚喂食生食</t>
  </si>
  <si>
    <t>1681.txt</t>
  </si>
  <si>
    <t>Poodle# just fed raw</t>
  </si>
  <si>
    <t>贵宾犬#刚喂生食</t>
  </si>
  <si>
    <t>1682.txt</t>
  </si>
  <si>
    <t>Dachshund# just fed raw</t>
  </si>
  <si>
    <t>腊肠犬#刚喂生食</t>
  </si>
  <si>
    <t>1683.txt</t>
  </si>
  <si>
    <t>Schnauser# just fed raw</t>
  </si>
  <si>
    <t>雪纳瑟#刚刚喂食生食</t>
  </si>
  <si>
    <t>1684.txt</t>
  </si>
  <si>
    <t>Chihuahua# just fed raw</t>
  </si>
  <si>
    <t>吉娃娃#刚喂生食</t>
  </si>
  <si>
    <t>1685.txt</t>
  </si>
  <si>
    <t>German Shepherd with Puppies#3</t>
  </si>
  <si>
    <t>德國牧羊犬與幼崽#3</t>
  </si>
  <si>
    <t>德国牧羊犬与幼崽#3</t>
  </si>
  <si>
    <t>Німецька вівчарка з цуценятами#3</t>
  </si>
  <si>
    <t>1686.txt</t>
  </si>
  <si>
    <t>Collie with Puppies#3</t>
  </si>
  <si>
    <t>科利犬與幼崽#3</t>
  </si>
  <si>
    <t>科利犬与幼崽#3</t>
  </si>
  <si>
    <t>Коллі з цуценятами#3</t>
  </si>
  <si>
    <t>1687.txt</t>
  </si>
  <si>
    <t>Pit Bull with Puppies#3</t>
  </si>
  <si>
    <t>比特犬與幼崽#3</t>
  </si>
  <si>
    <t>比特犬与幼崽#3</t>
  </si>
  <si>
    <t>Пітбуль з цуценятами #3</t>
  </si>
  <si>
    <t>1688.txt</t>
  </si>
  <si>
    <t>Beagle with Puppies#3</t>
  </si>
  <si>
    <t>比格猎犬与幼崽#3</t>
  </si>
  <si>
    <t>1689.txt</t>
  </si>
  <si>
    <t>Airedale with Puppies#3</t>
  </si>
  <si>
    <t>艾爾谷犬與幼崽#3</t>
  </si>
  <si>
    <t>艾尔谷犬与幼崽#3</t>
  </si>
  <si>
    <t>Ердель з цуценятами #3</t>
  </si>
  <si>
    <t>1690.txt</t>
  </si>
  <si>
    <t>Poodle with Puppies#3</t>
  </si>
  <si>
    <t>貴賓犬與幼崽#3</t>
  </si>
  <si>
    <t>贵宾犬与幼崽#3</t>
  </si>
  <si>
    <t>Пудель з цуценятами #3</t>
  </si>
  <si>
    <t>1691.txt</t>
  </si>
  <si>
    <t>Dachshund with Puppies#3</t>
  </si>
  <si>
    <t>臘腸犬與幼崽#3</t>
  </si>
  <si>
    <t>腊肠犬与幼崽#3</t>
  </si>
  <si>
    <t>Такса з цуценятами #3</t>
  </si>
  <si>
    <t>1692.txt</t>
  </si>
  <si>
    <t>Schnauser with Puppies#3</t>
  </si>
  <si>
    <t>雪納瑞與幼崽#3</t>
  </si>
  <si>
    <t>雪纳瑞与幼崽#3</t>
  </si>
  <si>
    <t>Шнаузер з цуценятами #3</t>
  </si>
  <si>
    <t>1693.txt</t>
  </si>
  <si>
    <t>Chihuahua with Puppies#3</t>
  </si>
  <si>
    <t>吉娃娃與幼崽#3</t>
  </si>
  <si>
    <t>吉娃娃与幼崽#3</t>
  </si>
  <si>
    <t>Чихуахуа з цуценятами#3</t>
  </si>
  <si>
    <t>1694.txt</t>
  </si>
  <si>
    <t>German Shepherd with Puppies#2</t>
  </si>
  <si>
    <t>德國牧羊犬與幼崽#2</t>
  </si>
  <si>
    <t>德国牧羊犬与幼崽#2</t>
  </si>
  <si>
    <t>Німецька вівчарка з цуценятами #2</t>
  </si>
  <si>
    <t>1695.txt</t>
  </si>
  <si>
    <t>German Shepherd with Puppy#1</t>
  </si>
  <si>
    <t>德國牧羊犬與幼崽#1</t>
  </si>
  <si>
    <t>德国牧羊犬与幼崽#1</t>
  </si>
  <si>
    <t>Німецька вівчарка з цуценям#1</t>
  </si>
  <si>
    <t>1696.txt</t>
  </si>
  <si>
    <t>Collie with Puppies#2</t>
  </si>
  <si>
    <t>科利犬與幼崽#2</t>
  </si>
  <si>
    <t>科利犬与幼崽#2</t>
  </si>
  <si>
    <t>Коллі з цуценятами #2</t>
  </si>
  <si>
    <t>1697.txt</t>
  </si>
  <si>
    <t>Collie with Puppy#1</t>
  </si>
  <si>
    <t>科利犬與幼崽#1</t>
  </si>
  <si>
    <t>科利犬与幼崽#1</t>
  </si>
  <si>
    <t>Коллі з цуценям #1</t>
  </si>
  <si>
    <t>1698.txt</t>
  </si>
  <si>
    <t>Pit Bull with Puppies#2</t>
  </si>
  <si>
    <t>比特犬與幼崽#2</t>
  </si>
  <si>
    <t>比特犬与幼崽#2</t>
  </si>
  <si>
    <t>Пітбуль з цуценятами #2</t>
  </si>
  <si>
    <t>1699.txt</t>
  </si>
  <si>
    <t>Pit Bull with Puppy#1</t>
  </si>
  <si>
    <t>比特犬與幼崽#1</t>
  </si>
  <si>
    <t>比特犬与幼崽#1</t>
  </si>
  <si>
    <t>Пітбуль з цуценям #1</t>
  </si>
  <si>
    <t>1700.txt</t>
  </si>
  <si>
    <t>Beagle with Puppies#2</t>
  </si>
  <si>
    <t>比格獵犬與幼崽#2</t>
  </si>
  <si>
    <t>比格猎犬与幼崽#2</t>
  </si>
  <si>
    <t>Бігль з цуценятами #2</t>
  </si>
  <si>
    <t>1701.txt</t>
  </si>
  <si>
    <t>Beagle with Puppy#1</t>
  </si>
  <si>
    <t>比格獵犬與幼崽#1</t>
  </si>
  <si>
    <t>比格猎犬与幼崽#1</t>
  </si>
  <si>
    <t>Бігль з цуценям #1</t>
  </si>
  <si>
    <t>1702.txt</t>
  </si>
  <si>
    <t>Airedale with Puppies#2</t>
  </si>
  <si>
    <t>艾爾谷犬與幼崽#2</t>
  </si>
  <si>
    <t>艾尔谷犬与幼崽#2</t>
  </si>
  <si>
    <t>Ердель з цуценятами #2</t>
  </si>
  <si>
    <t>1703.txt</t>
  </si>
  <si>
    <t>Airedale with Puppy#1</t>
  </si>
  <si>
    <t>艾爾谷犬與幼崽#1</t>
  </si>
  <si>
    <t>艾尔谷犬与幼崽#1</t>
  </si>
  <si>
    <t>Ердель з цуценям #1</t>
  </si>
  <si>
    <t>1704.txt</t>
  </si>
  <si>
    <t>Dachshund with Puppies#2</t>
  </si>
  <si>
    <t>臘腸犬與幼崽#2</t>
  </si>
  <si>
    <t>腊肠犬与幼崽#2</t>
  </si>
  <si>
    <t>Такса з цуценятами #2</t>
  </si>
  <si>
    <t>1705.txt</t>
  </si>
  <si>
    <t>Dachshund with Puppy#1</t>
  </si>
  <si>
    <t>臘腸犬與幼崽#1</t>
  </si>
  <si>
    <t>腊肠犬与幼崽#1</t>
  </si>
  <si>
    <t>Такса з цуценям #1</t>
  </si>
  <si>
    <t>1706.txt</t>
  </si>
  <si>
    <t>Schnauser with Puppies#2</t>
  </si>
  <si>
    <t>雪納瑞與幼崽#2</t>
  </si>
  <si>
    <t>雪纳瑞与幼崽#2</t>
  </si>
  <si>
    <t>Шнаузер з цуценятами #2</t>
  </si>
  <si>
    <t>1707.txt</t>
  </si>
  <si>
    <t>Schnauser with Puppy#1</t>
  </si>
  <si>
    <t>雪納瑞與幼崽#1</t>
  </si>
  <si>
    <t>雪纳瑞与幼崽#1</t>
  </si>
  <si>
    <t>Шнаузер із цуценям #1</t>
  </si>
  <si>
    <t>1708.txt</t>
  </si>
  <si>
    <t>Chihuahua with Puppies#2</t>
  </si>
  <si>
    <t>吉娃娃與幼崽#2</t>
  </si>
  <si>
    <t>吉娃娃与幼崽#2</t>
  </si>
  <si>
    <t>Чихуахуа з цуценятами #2</t>
  </si>
  <si>
    <t>1709.txt</t>
  </si>
  <si>
    <t>Chihuahua with Puppy#1</t>
  </si>
  <si>
    <t>吉娃娃與幼崽#1</t>
  </si>
  <si>
    <t>吉娃娃与幼崽#1</t>
  </si>
  <si>
    <t>Чихуахуа з цуценям #1</t>
  </si>
  <si>
    <t>1710.txt</t>
  </si>
  <si>
    <t>Poodle with Puppies#2</t>
  </si>
  <si>
    <t>贵宾犬与幼崽#2</t>
  </si>
  <si>
    <t>1711.txt</t>
  </si>
  <si>
    <t>Poodle with Puppy#1</t>
  </si>
  <si>
    <t>贵宾犬与幼崽#1</t>
  </si>
  <si>
    <t>1716.txt</t>
  </si>
  <si>
    <t>Hungry German Shepherd Puppy</t>
  </si>
  <si>
    <t>飢餓的德國牧羊犬崽</t>
  </si>
  <si>
    <t>饥饿的德国牧羊犬崽</t>
  </si>
  <si>
    <t>Голодне цуценя німецької вівчарки</t>
  </si>
  <si>
    <t>1717.txt</t>
  </si>
  <si>
    <t>Hungry Poodle Puppy# held</t>
  </si>
  <si>
    <t>飢餓的貴賓犬崽# held</t>
  </si>
  <si>
    <t>饥饿的贵宾犬崽# held</t>
  </si>
  <si>
    <t>Голодне цуценя пуделя # held</t>
  </si>
  <si>
    <t>1718.txt</t>
  </si>
  <si>
    <t>Hungry Airedale Puppy# held</t>
  </si>
  <si>
    <t>飢餓的艾爾谷犬崽# held</t>
  </si>
  <si>
    <t>饥饿的艾尔谷犬崽# held</t>
  </si>
  <si>
    <t>Голодне цуценя Ердельта # held</t>
  </si>
  <si>
    <t>1719.txt</t>
  </si>
  <si>
    <t>Hungry Schnauser Puppy# held</t>
  </si>
  <si>
    <t>飢餓的雪納瑞崽# held</t>
  </si>
  <si>
    <t>饥饿的雪纳瑞崽# held</t>
  </si>
  <si>
    <t>Голодне цуценя шнаузера # held</t>
  </si>
  <si>
    <t>1720.txt</t>
  </si>
  <si>
    <t>Hungry Pit Bull Puppy# held</t>
  </si>
  <si>
    <t>飢餓的比特犬崽# held</t>
  </si>
  <si>
    <t>饥饿的比特犬崽# held</t>
  </si>
  <si>
    <t>Голодне цуценя пітбуля # held</t>
  </si>
  <si>
    <t>1721.txt</t>
  </si>
  <si>
    <t>Hungry Collie Puppy# held</t>
  </si>
  <si>
    <t>飢餓的科利犬崽# held</t>
  </si>
  <si>
    <t>饥饿的科利犬崽# held</t>
  </si>
  <si>
    <t>Голодне цуценя коллі # held</t>
  </si>
  <si>
    <t>1722.txt</t>
  </si>
  <si>
    <t>Hungry Chihuahua Puppy# held</t>
  </si>
  <si>
    <t>飢餓的吉娃娃崽# held</t>
  </si>
  <si>
    <t>饥饿的吉娃娃崽# held</t>
  </si>
  <si>
    <t>Голодне цуценя чихуахуа # held</t>
  </si>
  <si>
    <t>1723.txt</t>
  </si>
  <si>
    <t>Hungry Beagle Puppy# held</t>
  </si>
  <si>
    <t>飢餓的比格獵犬崽# held</t>
  </si>
  <si>
    <t>饥饿的比格猎犬崽# held</t>
  </si>
  <si>
    <t>Голодне цуценя бігля # held</t>
  </si>
  <si>
    <t>1724.txt</t>
  </si>
  <si>
    <t>Hungry German Shepherd Puppy# held</t>
  </si>
  <si>
    <t>飢餓的德國牧羊犬崽# held</t>
  </si>
  <si>
    <t>饥饿的德国牧羊犬崽# held</t>
  </si>
  <si>
    <t>Голодне цуценя німецької вівчарки # held</t>
  </si>
  <si>
    <t>1725.txt</t>
  </si>
  <si>
    <t>Hungry Dachshund Puppy# held</t>
  </si>
  <si>
    <t>飢餓的臘腸犬崽# held</t>
  </si>
  <si>
    <t>饥饿的腊肠犬崽# held</t>
  </si>
  <si>
    <t>Голодне цуценя такси # held</t>
  </si>
  <si>
    <t>1726.txt</t>
  </si>
  <si>
    <t>Hungry Wolf Puppy#1 held</t>
  </si>
  <si>
    <t>飢餓的狼崽#1 held</t>
  </si>
  <si>
    <t>饥饿的狼崽#1 held</t>
  </si>
  <si>
    <t>Голодне щеня вовка#1 held</t>
  </si>
  <si>
    <t>1727.txt</t>
  </si>
  <si>
    <t>Hungry Wolf Puppy#1</t>
  </si>
  <si>
    <t>飢餓的狼崽#1</t>
  </si>
  <si>
    <t>饥饿的狼崽#1</t>
  </si>
  <si>
    <t>Щеня голодного вовка #1 held</t>
  </si>
  <si>
    <t>1728.txt</t>
  </si>
  <si>
    <t>Hungry Collie Puppy</t>
  </si>
  <si>
    <t>饥饿的科利犬崽</t>
  </si>
  <si>
    <t>1729.txt</t>
  </si>
  <si>
    <t>Hungry Pit Bull Puppy</t>
  </si>
  <si>
    <t>飢餓的比特犬崽</t>
  </si>
  <si>
    <t>饥饿的比特犬崽</t>
  </si>
  <si>
    <t>Голодне цуценя пітбуля</t>
  </si>
  <si>
    <t>1730.txt</t>
  </si>
  <si>
    <t>Hungry Beagle Puppy</t>
  </si>
  <si>
    <t>飢餓的比格獵犬崽</t>
  </si>
  <si>
    <t>饥饿的比格猎犬崽</t>
  </si>
  <si>
    <t>Голодне цуценя бігля</t>
  </si>
  <si>
    <t>1731.txt</t>
  </si>
  <si>
    <t>Hungry Airedale Puppy</t>
  </si>
  <si>
    <t>飢餓的艾爾谷犬崽</t>
  </si>
  <si>
    <t>饥饿的艾尔谷犬崽</t>
  </si>
  <si>
    <t>Голодне цуценя Ердель</t>
  </si>
  <si>
    <t>1732.txt</t>
  </si>
  <si>
    <t>Hungry Poodle Puppy</t>
  </si>
  <si>
    <t>飢餓的貴賓犬崽</t>
  </si>
  <si>
    <t>饥饿的贵宾犬崽</t>
  </si>
  <si>
    <t>Голодне цуценя пуделя</t>
  </si>
  <si>
    <t>1733.txt</t>
  </si>
  <si>
    <t>Hungry Schnauser Puppy</t>
  </si>
  <si>
    <t>飢餓的雪納瑞崽</t>
  </si>
  <si>
    <t>饥饿的雪纳瑞崽</t>
  </si>
  <si>
    <t>Голодне цуценя шнаузера</t>
  </si>
  <si>
    <t>1734.txt</t>
  </si>
  <si>
    <t>Hungry Dachshund Puppy</t>
  </si>
  <si>
    <t>飢餓的臘腸犬崽</t>
  </si>
  <si>
    <t>饥饿的腊肠犬崽</t>
  </si>
  <si>
    <t>Голодне цуценя такси</t>
  </si>
  <si>
    <t>1735.txt</t>
  </si>
  <si>
    <t>Hungry Chihuahua Puppy</t>
  </si>
  <si>
    <t>飢餓的吉娃娃崽</t>
  </si>
  <si>
    <t>饥饿的吉娃娃崽</t>
  </si>
  <si>
    <t>Голодне цуценя чихуахуа</t>
  </si>
  <si>
    <t>1736.txt</t>
  </si>
  <si>
    <t>Dead Wolf Puppy#1</t>
  </si>
  <si>
    <t>吉娃娃崽屍體#1</t>
  </si>
  <si>
    <t>吉娃娃崽尸体#1</t>
  </si>
  <si>
    <t>Dead Wolf Puppy #1</t>
  </si>
  <si>
    <t>1737.txt</t>
  </si>
  <si>
    <t>Dead German Shepherd Puppy</t>
  </si>
  <si>
    <t>德國牧羊犬崽屍體</t>
  </si>
  <si>
    <t>德国牧羊犬崽尸体</t>
  </si>
  <si>
    <t>Мертве цуценя німецької вівчарки</t>
  </si>
  <si>
    <t>1738.txt</t>
  </si>
  <si>
    <t>Dead Collie Puppy</t>
  </si>
  <si>
    <t>科利犬崽屍體</t>
  </si>
  <si>
    <t>科利犬崽尸体</t>
  </si>
  <si>
    <t>Мертве цуценя коллі</t>
  </si>
  <si>
    <t>1739.txt</t>
  </si>
  <si>
    <t>Dead Pit Bull Puppy</t>
  </si>
  <si>
    <t>比特犬崽尸体</t>
  </si>
  <si>
    <t>1740.txt</t>
  </si>
  <si>
    <t>Dead Beagle Puppy</t>
  </si>
  <si>
    <t>比格猎犬崽尸体</t>
  </si>
  <si>
    <t>1741.txt</t>
  </si>
  <si>
    <t>Dead Airedale Puppy</t>
  </si>
  <si>
    <t>艾尔谷犬崽尸体</t>
  </si>
  <si>
    <t>1742.txt</t>
  </si>
  <si>
    <t>Dead Poodle Puppy</t>
  </si>
  <si>
    <t>贵宾犬崽尸体</t>
  </si>
  <si>
    <t>1743.txt</t>
  </si>
  <si>
    <t>Dead Schnauser Puppy</t>
  </si>
  <si>
    <t>雪納瑞崽屍體</t>
  </si>
  <si>
    <t>雪纳瑞崽尸体</t>
  </si>
  <si>
    <t>Мертве цуценя шнаузера</t>
  </si>
  <si>
    <t>1744.txt</t>
  </si>
  <si>
    <t>Dead Dachshund Puppy</t>
  </si>
  <si>
    <t>臘腸犬崽屍體</t>
  </si>
  <si>
    <t>腊肠犬崽尸体</t>
  </si>
  <si>
    <t>Мертве цуценя такси</t>
  </si>
  <si>
    <t>1745.txt</t>
  </si>
  <si>
    <t>Dead Chihuahua Puppy</t>
  </si>
  <si>
    <t>吉娃娃崽屍體</t>
  </si>
  <si>
    <t>吉娃娃崽尸体</t>
  </si>
  <si>
    <t>Мертве цуценя чихуахуа</t>
  </si>
  <si>
    <t>1748.txt</t>
  </si>
  <si>
    <t>Old Semi-tame Wolf</t>
  </si>
  <si>
    <t>年老的半馴化狼</t>
  </si>
  <si>
    <t>年老的半驯化狼</t>
  </si>
  <si>
    <t>Старий напівприручений вовк</t>
  </si>
  <si>
    <t>1749.txt</t>
  </si>
  <si>
    <t>Old German Shepherd</t>
  </si>
  <si>
    <t>年老的德國牧羊犬</t>
  </si>
  <si>
    <t>年老的德国牧羊犬</t>
  </si>
  <si>
    <t>Стара німецька вівчарка</t>
  </si>
  <si>
    <t>1750.txt</t>
  </si>
  <si>
    <t>Old Pit Bull</t>
  </si>
  <si>
    <t>年老的比特犬</t>
  </si>
  <si>
    <t>Старий пітбуль</t>
  </si>
  <si>
    <t>1752.txt</t>
  </si>
  <si>
    <t>Old Beagle</t>
  </si>
  <si>
    <t>年老的比格獵犬</t>
  </si>
  <si>
    <t>年老的比格猎犬</t>
  </si>
  <si>
    <t>Старий бігль</t>
  </si>
  <si>
    <t>1753.txt</t>
  </si>
  <si>
    <t>Old Airedale</t>
  </si>
  <si>
    <t>年老的艾爾谷犬</t>
  </si>
  <si>
    <t>年老的艾尔谷犬</t>
  </si>
  <si>
    <t>Старий ердель</t>
  </si>
  <si>
    <t>1754.txt</t>
  </si>
  <si>
    <t>Old Poodle</t>
  </si>
  <si>
    <t>年老的貴賓犬</t>
  </si>
  <si>
    <t>年老的贵宾犬</t>
  </si>
  <si>
    <t>Старий пудель</t>
  </si>
  <si>
    <t>1755.txt</t>
  </si>
  <si>
    <t>Old Dachshund</t>
  </si>
  <si>
    <t>年老的臘腸犬</t>
  </si>
  <si>
    <t>年老的腊肠犬</t>
  </si>
  <si>
    <t>Стара такса</t>
  </si>
  <si>
    <t>1756.txt</t>
  </si>
  <si>
    <t>Old Schnauser</t>
  </si>
  <si>
    <t>年老的雪納瑞</t>
  </si>
  <si>
    <t>年老的雪纳瑞</t>
  </si>
  <si>
    <t>Старий шнаузер</t>
  </si>
  <si>
    <t>1757.txt</t>
  </si>
  <si>
    <t>Old Chihuahua</t>
  </si>
  <si>
    <t>年老的吉娃娃</t>
  </si>
  <si>
    <t>Старий чихуахуа</t>
  </si>
  <si>
    <t>1758.txt</t>
  </si>
  <si>
    <t>Old Collie</t>
  </si>
  <si>
    <t>1759.txt</t>
  </si>
  <si>
    <t>Dying German Shepherd</t>
  </si>
  <si>
    <t>垂死的德國牧羊犬</t>
  </si>
  <si>
    <t>垂死的德国牧羊犬</t>
  </si>
  <si>
    <t>Вмирає німецька вівчарка</t>
  </si>
  <si>
    <t>1760.txt</t>
  </si>
  <si>
    <t>Dying Collie</t>
  </si>
  <si>
    <t>垂死的科利犬</t>
  </si>
  <si>
    <t>Вмираючий коллі</t>
  </si>
  <si>
    <t>1761.txt</t>
  </si>
  <si>
    <t>Dying Semi-tame Wolf</t>
  </si>
  <si>
    <t>垂死的半馴化狼</t>
  </si>
  <si>
    <t>垂死的半驯化狼</t>
  </si>
  <si>
    <t>Вмираючий напівприручений вовк</t>
  </si>
  <si>
    <t>1762.txt</t>
  </si>
  <si>
    <t>Dying Pit Bull</t>
  </si>
  <si>
    <t>垂死的比特犬</t>
  </si>
  <si>
    <t>Вмираючий пітбуль</t>
  </si>
  <si>
    <t>1763.txt</t>
  </si>
  <si>
    <t>Dying Beagle</t>
  </si>
  <si>
    <t>垂死的比格獵犬</t>
  </si>
  <si>
    <t>垂死的比格猎犬</t>
  </si>
  <si>
    <t>Вмираючий бігль</t>
  </si>
  <si>
    <t>1764.txt</t>
  </si>
  <si>
    <t>Dying Airedale</t>
  </si>
  <si>
    <t>垂死的艾爾谷犬</t>
  </si>
  <si>
    <t>垂死的艾尔谷犬</t>
  </si>
  <si>
    <t>Вмираючий Ердель</t>
  </si>
  <si>
    <t>1765.txt</t>
  </si>
  <si>
    <t>Dying Poodle</t>
  </si>
  <si>
    <t>垂死的貴賓犬</t>
  </si>
  <si>
    <t>垂死的贵宾犬</t>
  </si>
  <si>
    <t>Вмираючий пудель</t>
  </si>
  <si>
    <t>1766.txt</t>
  </si>
  <si>
    <t>Dying Dachshund</t>
  </si>
  <si>
    <t>垂死的臘腸犬</t>
  </si>
  <si>
    <t>垂死的腊肠犬</t>
  </si>
  <si>
    <t>Вмираюча такса</t>
  </si>
  <si>
    <t>1767.txt</t>
  </si>
  <si>
    <t>Dying Schnauser</t>
  </si>
  <si>
    <t>垂死的雪納瑞</t>
  </si>
  <si>
    <t>垂死的雪纳瑞</t>
  </si>
  <si>
    <t>Вмираючий шнаусер</t>
  </si>
  <si>
    <t>1768.txt</t>
  </si>
  <si>
    <t>Dying Chihuahua</t>
  </si>
  <si>
    <t>垂死的吉娃娃</t>
  </si>
  <si>
    <t>Вмираюча чихуахуа</t>
  </si>
  <si>
    <t>1769.txt</t>
  </si>
  <si>
    <t>Dead German Shepherd</t>
  </si>
  <si>
    <t>德國牧羊犬屍體</t>
  </si>
  <si>
    <t>德国牧羊犬尸体</t>
  </si>
  <si>
    <t>Померла німецька вівчарка</t>
  </si>
  <si>
    <t>1770.txt</t>
  </si>
  <si>
    <t>Dead Collie</t>
  </si>
  <si>
    <t>科利犬屍體</t>
  </si>
  <si>
    <t>科利犬尸体</t>
  </si>
  <si>
    <t>Мертвий коллі</t>
  </si>
  <si>
    <t>1771.txt</t>
  </si>
  <si>
    <t>Dead Semi-tame Wolf</t>
  </si>
  <si>
    <t>半馴化狼屍體</t>
  </si>
  <si>
    <t>半驯化狼尸体</t>
  </si>
  <si>
    <t>Мертвий напівприручений вовк</t>
  </si>
  <si>
    <t>1772.txt</t>
  </si>
  <si>
    <t>Dead Pit Bull</t>
  </si>
  <si>
    <t>比特犬屍體</t>
  </si>
  <si>
    <t>比特犬尸体</t>
  </si>
  <si>
    <t>Мертвий пітбуль</t>
  </si>
  <si>
    <t>1773.txt</t>
  </si>
  <si>
    <t>Dead Beagle</t>
  </si>
  <si>
    <t>比格獵犬屍體</t>
  </si>
  <si>
    <t>比格猎犬尸体</t>
  </si>
  <si>
    <t>Мертвий Бігль</t>
  </si>
  <si>
    <t>1774.txt</t>
  </si>
  <si>
    <t>Dead Airedale</t>
  </si>
  <si>
    <t>艾爾谷犬屍體</t>
  </si>
  <si>
    <t>艾尔谷犬尸体</t>
  </si>
  <si>
    <t>Мертвий Ердель</t>
  </si>
  <si>
    <t>1775.txt</t>
  </si>
  <si>
    <t>Dead Poodle</t>
  </si>
  <si>
    <t>貴賓犬屍體</t>
  </si>
  <si>
    <t>贵宾犬尸体</t>
  </si>
  <si>
    <t>Мертвий пудель</t>
  </si>
  <si>
    <t>1776.txt</t>
  </si>
  <si>
    <t>Dead Dachshund</t>
  </si>
  <si>
    <t>臘腸犬屍體</t>
  </si>
  <si>
    <t>腊肠犬尸体</t>
  </si>
  <si>
    <t>Мертва такса</t>
  </si>
  <si>
    <t>1777.txt</t>
  </si>
  <si>
    <t>Dead Schnauser</t>
  </si>
  <si>
    <t>雪納瑞屍體</t>
  </si>
  <si>
    <t>雪纳瑞尸体</t>
  </si>
  <si>
    <t>Мертвий шнаусер</t>
  </si>
  <si>
    <t>1778.txt</t>
  </si>
  <si>
    <t>Dead Chihuahua</t>
  </si>
  <si>
    <t>吉娃娃屍體</t>
  </si>
  <si>
    <t>吉娃娃尸体</t>
  </si>
  <si>
    <t>Мертвий чихуахуа</t>
  </si>
  <si>
    <t>1779.txt</t>
  </si>
  <si>
    <t>Wolf Puppy#1 just fed</t>
  </si>
  <si>
    <t>狼崽#1 just fed</t>
  </si>
  <si>
    <t>Цуценя вовка #1 just fed</t>
  </si>
  <si>
    <t>1780.txt</t>
  </si>
  <si>
    <t>German Shepherd Puppy# just fed</t>
  </si>
  <si>
    <t>德國牧羊犬崽# just fed</t>
  </si>
  <si>
    <t>德国牧羊犬崽# just fed</t>
  </si>
  <si>
    <t>Цуценя німецької вівчарки # just fed</t>
  </si>
  <si>
    <t>1781.txt</t>
  </si>
  <si>
    <t>Collie Puppy# just fed</t>
  </si>
  <si>
    <t>科利犬崽# just fed</t>
  </si>
  <si>
    <t>Цуценя коллі# just fed</t>
  </si>
  <si>
    <t>1782.txt</t>
  </si>
  <si>
    <t>Pit Bull Puppy# just fed</t>
  </si>
  <si>
    <t>比特犬崽# just fed</t>
  </si>
  <si>
    <t>Цуценя пітбуля # just fed</t>
  </si>
  <si>
    <t>1783.txt</t>
  </si>
  <si>
    <t>Beagle Puppy# just fed</t>
  </si>
  <si>
    <t>比格獵犬崽# just fed</t>
  </si>
  <si>
    <t>比格猎犬崽# just fed</t>
  </si>
  <si>
    <t>Щеня бігля# just fed</t>
  </si>
  <si>
    <t>1784.txt</t>
  </si>
  <si>
    <t>Airedale Puppy# just fed</t>
  </si>
  <si>
    <t>艾爾谷犬崽# just fed</t>
  </si>
  <si>
    <t>艾尔谷犬崽# just fed</t>
  </si>
  <si>
    <t>Щеня Ердель# just fed</t>
  </si>
  <si>
    <t>1785.txt</t>
  </si>
  <si>
    <t>Poodle Puppy# just fed</t>
  </si>
  <si>
    <t>貴賓犬崽# just fed</t>
  </si>
  <si>
    <t>贵宾犬崽# just fed</t>
  </si>
  <si>
    <t>Цуценя пуделя # just fed</t>
  </si>
  <si>
    <t>1786.txt</t>
  </si>
  <si>
    <t>Schnauser Puppy# just fed</t>
  </si>
  <si>
    <t>雪納瑞崽# just fed</t>
  </si>
  <si>
    <t>雪纳瑞崽# just fed</t>
  </si>
  <si>
    <t>Цуценя шнаузера# just fed</t>
  </si>
  <si>
    <t>1787.txt</t>
  </si>
  <si>
    <t>Dachshund Puppy# just fed</t>
  </si>
  <si>
    <t>臘腸犬崽# just fed</t>
  </si>
  <si>
    <t>腊肠犬崽# just fed</t>
  </si>
  <si>
    <t>Цуценя такси # just fed</t>
  </si>
  <si>
    <t>1788.txt</t>
  </si>
  <si>
    <t>Chihuahua Puppy# just fed</t>
  </si>
  <si>
    <t>吉娃娃崽# just fed</t>
  </si>
  <si>
    <t>Цуценя чихуахуа # just fed</t>
  </si>
  <si>
    <t>1790.txt</t>
  </si>
  <si>
    <t>Dry Maple Sapling Cutting</t>
  </si>
  <si>
    <t>乾的楓樹剪枝</t>
  </si>
  <si>
    <t>干的枫树剪枝</t>
  </si>
  <si>
    <t>Обрізка сухого саджанця клена</t>
  </si>
  <si>
    <t>1791.txt</t>
  </si>
  <si>
    <t>Dry Poplar Sapling Cutting</t>
  </si>
  <si>
    <t>乾的白楊樹剪枝</t>
  </si>
  <si>
    <t>干的白杨树剪枝</t>
  </si>
  <si>
    <t>Обрізка сухих саджанців тополі</t>
  </si>
  <si>
    <t>1792.txt</t>
  </si>
  <si>
    <t>Wet Maple Sapling Cutting</t>
  </si>
  <si>
    <t>溼的楓樹剪枝</t>
  </si>
  <si>
    <t>湿的枫树剪枝</t>
  </si>
  <si>
    <t>Мокрий клен саджанець різання</t>
  </si>
  <si>
    <t>1793.txt</t>
  </si>
  <si>
    <t>Wet Poplar Sapling Cutting</t>
  </si>
  <si>
    <t>溼的白楊樹剪枝</t>
  </si>
  <si>
    <t>湿的白杨树剪枝</t>
  </si>
  <si>
    <t>Зрізання саджанців мокрої тополі</t>
  </si>
  <si>
    <t>1794.txt</t>
  </si>
  <si>
    <t>Maple Tree Cutting</t>
  </si>
  <si>
    <t>楓樹剪枝</t>
  </si>
  <si>
    <t>枫树剪枝</t>
  </si>
  <si>
    <t>Зрізання клена</t>
  </si>
  <si>
    <t>1795.txt</t>
  </si>
  <si>
    <t>Poplar Tree Cutting</t>
  </si>
  <si>
    <t>白楊樹剪枝</t>
  </si>
  <si>
    <t>白杨树剪枝</t>
  </si>
  <si>
    <t>Зрізання тополі</t>
  </si>
  <si>
    <t>1796.txt</t>
  </si>
  <si>
    <t>Pine Tree Cutting</t>
  </si>
  <si>
    <t>松樹剪枝</t>
  </si>
  <si>
    <t>松树剪枝</t>
  </si>
  <si>
    <t>Обрізка сосни</t>
  </si>
  <si>
    <t>1797.txt</t>
  </si>
  <si>
    <t>Yew Tree Cutting</t>
  </si>
  <si>
    <t>紫杉樹剪枝</t>
  </si>
  <si>
    <t>紫杉树剪枝</t>
  </si>
  <si>
    <t>Зрізання тиса</t>
  </si>
  <si>
    <t>1798.txt</t>
  </si>
  <si>
    <t>Dry Yew Sapling Cutting</t>
  </si>
  <si>
    <t>乾的紫杉樹剪枝</t>
  </si>
  <si>
    <t>干的紫杉树剪枝</t>
  </si>
  <si>
    <t>Обрізка сухого саджанця тиса</t>
  </si>
  <si>
    <t>1799.txt</t>
  </si>
  <si>
    <t>Dry Pine Sapling Cutting</t>
  </si>
  <si>
    <t>乾的松樹剪枝</t>
  </si>
  <si>
    <t>干的松树剪枝</t>
  </si>
  <si>
    <t>Обрізка сухих саджанців сосни</t>
  </si>
  <si>
    <t>1800.txt</t>
  </si>
  <si>
    <t>Wet Yew Sapling Cutting</t>
  </si>
  <si>
    <t>溼的紫杉樹剪枝</t>
  </si>
  <si>
    <t>湿的紫杉树剪枝</t>
  </si>
  <si>
    <t>Мокра обрізка саджанця тиса</t>
  </si>
  <si>
    <t>1801.txt</t>
  </si>
  <si>
    <t>Wet Pine Sapling Cutting</t>
  </si>
  <si>
    <t>溼的松樹剪枝</t>
  </si>
  <si>
    <t>湿的松树剪枝</t>
  </si>
  <si>
    <t>Вологе зрізання саджанців сосни</t>
  </si>
  <si>
    <t>1802.txt</t>
  </si>
  <si>
    <t>Dry Maple Sapling</t>
  </si>
  <si>
    <t>乾的楓樹樹苗</t>
  </si>
  <si>
    <t>干的枫树树苗</t>
  </si>
  <si>
    <t>Саджанець сухого клена</t>
  </si>
  <si>
    <t>1803.txt</t>
  </si>
  <si>
    <t>Dry Poplar Sapling</t>
  </si>
  <si>
    <t>乾的白楊樹樹苗</t>
  </si>
  <si>
    <t>干的白杨树树苗</t>
  </si>
  <si>
    <t>Саджанець тополі сухий</t>
  </si>
  <si>
    <t>1804.txt</t>
  </si>
  <si>
    <t>Dry Pine Sapling</t>
  </si>
  <si>
    <t>乾的松樹樹苗</t>
  </si>
  <si>
    <t>干的松树树苗</t>
  </si>
  <si>
    <t>Саджанець сосни сухий</t>
  </si>
  <si>
    <t>1805.txt</t>
  </si>
  <si>
    <t>Dry Yew Sapling</t>
  </si>
  <si>
    <t>乾的紫杉樹樹苗</t>
  </si>
  <si>
    <t>干的紫杉树树苗</t>
  </si>
  <si>
    <t>Сухий саджанець тиса</t>
  </si>
  <si>
    <t>1806.txt</t>
  </si>
  <si>
    <t>Wet Maple Sapling</t>
  </si>
  <si>
    <t>溼的楓樹樹苗</t>
  </si>
  <si>
    <t>湿的枫树树苗</t>
  </si>
  <si>
    <t>Саджанець мокрого клена</t>
  </si>
  <si>
    <t>1807.txt</t>
  </si>
  <si>
    <t>Wet Yew Sapling</t>
  </si>
  <si>
    <t>溼的紫杉樹樹苗</t>
  </si>
  <si>
    <t>湿的紫杉树树苗</t>
  </si>
  <si>
    <t>Саджанець мокрого тиса</t>
  </si>
  <si>
    <t>1808.txt</t>
  </si>
  <si>
    <t>Wet Pine Sapling</t>
  </si>
  <si>
    <t>溼的松樹樹苗</t>
  </si>
  <si>
    <t>湿的松树树苗</t>
  </si>
  <si>
    <t>Мокрий саджанець сосни</t>
  </si>
  <si>
    <t>1809.txt</t>
  </si>
  <si>
    <t>Wet Poplar Sapling</t>
  </si>
  <si>
    <t>溼的白楊樹樹苗</t>
  </si>
  <si>
    <t>湿的白杨树树苗</t>
  </si>
  <si>
    <t>Саджанець мокрої тополі</t>
  </si>
  <si>
    <t>1810.txt</t>
  </si>
  <si>
    <t>Dry Yew Cutting in Bowl</t>
  </si>
  <si>
    <t>乾的紫杉樹剪枝盆栽</t>
  </si>
  <si>
    <t>干的紫杉树剪枝盆栽</t>
  </si>
  <si>
    <t>Суха різання тиса в мисці</t>
  </si>
  <si>
    <t>1811.txt</t>
  </si>
  <si>
    <t>Wet Yew Cutting in Bowl</t>
  </si>
  <si>
    <t>湿的紫杉树剪枝盆栽</t>
  </si>
  <si>
    <t>1812.txt</t>
  </si>
  <si>
    <t>Dead Young Yew Bonsai</t>
  </si>
  <si>
    <t>密封的一瓶硝酸鉀</t>
  </si>
  <si>
    <t>密封的一瓶硝酸钾</t>
  </si>
  <si>
    <t>Герметична пляшка селітри</t>
  </si>
  <si>
    <t>1813.txt</t>
  </si>
  <si>
    <t>Dry Yew Sapling in Bowl</t>
  </si>
  <si>
    <t>乾的紫杉樹樹苗盆栽</t>
  </si>
  <si>
    <t>干的紫杉树树苗盆栽</t>
  </si>
  <si>
    <t>Сухий саджанець тиса в мисці</t>
  </si>
  <si>
    <t>1814.txt</t>
  </si>
  <si>
    <t>Dry Young Yew Bonsai in Bowl</t>
  </si>
  <si>
    <t>在碗里的干年轻红豆杉盆景</t>
  </si>
  <si>
    <t>1815.txt</t>
  </si>
  <si>
    <t>Wet Young Yew Bonsai in Bowl</t>
  </si>
  <si>
    <t>在碗里的湿年轻红豆杉盆景</t>
  </si>
  <si>
    <t>1816.txt</t>
  </si>
  <si>
    <t>Overgrown Yew Bonsai in Bowl</t>
  </si>
  <si>
    <t>碗里杂草丛生的红豆杉盆景</t>
  </si>
  <si>
    <t>1817.txt</t>
  </si>
  <si>
    <t>Dead Yew Bonsai</t>
  </si>
  <si>
    <t>死的红豆杉盆景</t>
  </si>
  <si>
    <t>1818.txt</t>
  </si>
  <si>
    <t>Dry Pruned Yew Bonsai</t>
  </si>
  <si>
    <t>干枝红豆杉盆景</t>
  </si>
  <si>
    <t>1819.txt</t>
  </si>
  <si>
    <t>Wet Pruned Yew Bonsai</t>
  </si>
  <si>
    <t>湿修剪紫杉盆景</t>
  </si>
  <si>
    <t>1820.txt</t>
  </si>
  <si>
    <t>Dry Old Yew Bonsai</t>
  </si>
  <si>
    <t>干老紫杉盆景</t>
  </si>
  <si>
    <t>1821.txt</t>
  </si>
  <si>
    <t>Wet Old Yew Bonsai</t>
  </si>
  <si>
    <t>湿老紫杉盆景</t>
  </si>
  <si>
    <t>1822.txt</t>
  </si>
  <si>
    <t>Overgrown Old Yew Bonsai</t>
  </si>
  <si>
    <t>过度生长的老紫杉盆景</t>
  </si>
  <si>
    <t>1823.txt</t>
  </si>
  <si>
    <t>Dry Pruned Old Yew Bonsai</t>
  </si>
  <si>
    <t>干枝老紫杉盆景</t>
  </si>
  <si>
    <t>1825.txt</t>
  </si>
  <si>
    <t>Dry Ancient Yew Bonsai</t>
  </si>
  <si>
    <t>干燥的古紫杉盆景</t>
  </si>
  <si>
    <t>1826.txt</t>
  </si>
  <si>
    <t>Wet Pruned Old Yew Bonsai</t>
  </si>
  <si>
    <t>湿剪老紫杉盆景</t>
  </si>
  <si>
    <t>1827.txt</t>
  </si>
  <si>
    <t>Wet Ancient Yew Bonsai</t>
  </si>
  <si>
    <t>湿古紫杉盆景</t>
  </si>
  <si>
    <t>1828.txt</t>
  </si>
  <si>
    <t>Dead Sapling</t>
  </si>
  <si>
    <t>枯死的樹苗</t>
  </si>
  <si>
    <t>死树苗</t>
  </si>
  <si>
    <t>Мертвий саджанець</t>
  </si>
  <si>
    <t>1829.txt</t>
  </si>
  <si>
    <t>Shears with Maple Cutting</t>
  </si>
  <si>
    <t>帶楓樹剪枝的剪刀</t>
  </si>
  <si>
    <t>枫木剪</t>
  </si>
  <si>
    <t>Ножиці з різанням клена</t>
  </si>
  <si>
    <t>1830.txt</t>
  </si>
  <si>
    <t>Shears with Poplar Cutting</t>
  </si>
  <si>
    <t>帶白楊樹剪枝的剪刀</t>
  </si>
  <si>
    <t>杨树剪切剪</t>
  </si>
  <si>
    <t>Ножиці з різанням тополі</t>
  </si>
  <si>
    <t>1831.txt</t>
  </si>
  <si>
    <t>Shears with Yew Cutting</t>
  </si>
  <si>
    <t>帶紫杉樹剪枝的剪刀</t>
  </si>
  <si>
    <t>紫杉切割剪</t>
  </si>
  <si>
    <t>Ножиці з тисом</t>
  </si>
  <si>
    <t>1832.txt</t>
  </si>
  <si>
    <t>Shears with Pine Cutting</t>
  </si>
  <si>
    <t>帶松樹剪枝的剪刀</t>
  </si>
  <si>
    <t>松材剪</t>
  </si>
  <si>
    <t>Ножиці з різанням сосни</t>
  </si>
  <si>
    <t>1833.txt</t>
  </si>
  <si>
    <t>Dead Bonsai</t>
  </si>
  <si>
    <t>枯死的盆栽</t>
  </si>
  <si>
    <t>死去的盆景</t>
  </si>
  <si>
    <t>Мертвий бонсай</t>
  </si>
  <si>
    <t>1834.txt</t>
  </si>
  <si>
    <t>Dead Bonsai out of Bowl</t>
  </si>
  <si>
    <t>碗里的死盆景</t>
  </si>
  <si>
    <t>1835.txt</t>
  </si>
  <si>
    <t>Stack of Blank Paper</t>
  </si>
  <si>
    <t>一堆白紙</t>
  </si>
  <si>
    <t>一摞空白纸</t>
  </si>
  <si>
    <t>Стопку чистого паперу</t>
  </si>
  <si>
    <t>1836.txt</t>
  </si>
  <si>
    <t>Stack of Flat Rocks</t>
  </si>
  <si>
    <t>一堆扁石</t>
  </si>
  <si>
    <t>一堆平坦的岩石</t>
  </si>
  <si>
    <t>Стек плоских каменів</t>
  </si>
  <si>
    <t>1837.txt</t>
  </si>
  <si>
    <t>Stack of Steel Ingots</t>
  </si>
  <si>
    <t>一堆鋼錠</t>
  </si>
  <si>
    <t>钢锭堆</t>
  </si>
  <si>
    <t>Стек сталевих злитків</t>
  </si>
  <si>
    <t>1839.txt</t>
  </si>
  <si>
    <t>Anger Brows</t>
  </si>
  <si>
    <t>憤怒眉毛</t>
  </si>
  <si>
    <t>愤怒的眉毛</t>
  </si>
  <si>
    <t>Злість Брови</t>
  </si>
  <si>
    <t>1840.txt</t>
  </si>
  <si>
    <t>Anger Mouth</t>
  </si>
  <si>
    <t>憤怒嘴</t>
  </si>
  <si>
    <t>愤怒的嘴</t>
  </si>
  <si>
    <t>Гнів рот</t>
  </si>
  <si>
    <t>1841.txt</t>
  </si>
  <si>
    <t>Sad Brows</t>
  </si>
  <si>
    <t>悲傷眉毛</t>
  </si>
  <si>
    <t>悲伤的眉毛</t>
  </si>
  <si>
    <t>Сумні брови</t>
  </si>
  <si>
    <t>1842.txt</t>
  </si>
  <si>
    <t>Sad Mouth</t>
  </si>
  <si>
    <t>悲傷嘴</t>
  </si>
  <si>
    <t>悲伤的嘴</t>
  </si>
  <si>
    <t>Сумний рот</t>
  </si>
  <si>
    <t>1843.txt</t>
  </si>
  <si>
    <t>Happy Mouth</t>
  </si>
  <si>
    <t>開心嘴</t>
  </si>
  <si>
    <t>快乐的嘴</t>
  </si>
  <si>
    <t>Щасливий рот</t>
  </si>
  <si>
    <t>1844.txt</t>
  </si>
  <si>
    <t>Blush</t>
  </si>
  <si>
    <t>臉紅</t>
  </si>
  <si>
    <t>脸红</t>
  </si>
  <si>
    <t>Рум'яна</t>
  </si>
  <si>
    <t>1845.txt</t>
  </si>
  <si>
    <t>Loose Fence</t>
  </si>
  <si>
    <t>围栏松动</t>
  </si>
  <si>
    <t>1846.txt</t>
  </si>
  <si>
    <t>鬆弛的柵欄</t>
  </si>
  <si>
    <t>Пухкий паркан</t>
  </si>
  <si>
    <t>1847.txt</t>
  </si>
  <si>
    <t>1848.txt</t>
  </si>
  <si>
    <t>Stack of Floppy Baskets</t>
  </si>
  <si>
    <t>一堆破籃子</t>
  </si>
  <si>
    <t>一堆软盘篮</t>
  </si>
  <si>
    <t>Стек дискети кошики</t>
  </si>
  <si>
    <t>1849.txt</t>
  </si>
  <si>
    <t>Buried Grave with Dug Stone# origGrave</t>
  </si>
  <si>
    <t>被埋葬的屍體與挖出的扁石# origGrave</t>
  </si>
  <si>
    <t>埋有挖石的坟墓# origGrave</t>
  </si>
  <si>
    <t>Похована могила з виритим каменем# origGrave</t>
  </si>
  <si>
    <t>1850.txt</t>
  </si>
  <si>
    <t>Kindling Pile# just chopped</t>
  </si>
  <si>
    <t>一堆細柴# just chopped</t>
  </si>
  <si>
    <t>刚刚切碎的# just chopped</t>
  </si>
  <si>
    <t>1851.txt</t>
  </si>
  <si>
    <t>Fence Gate# +blocksMoving +autoDefaultTrans</t>
  </si>
  <si>
    <t>栅栏门# +blocksMoving +autoDefaultTrans</t>
  </si>
  <si>
    <t>1852.txt</t>
  </si>
  <si>
    <t>Fence with Dislodged Shaft</t>
  </si>
  <si>
    <t>带错位竖井的围栏</t>
  </si>
  <si>
    <t>1853.txt</t>
  </si>
  <si>
    <t>Cut Stones#just removed</t>
  </si>
  <si>
    <t>刚刚移除的切割石#just removed</t>
  </si>
  <si>
    <t>1854.txt</t>
  </si>
  <si>
    <t>Flat Rock#just removed</t>
  </si>
  <si>
    <t>扁石#just removed</t>
  </si>
  <si>
    <t>刚刚移除的Flat Rock#just removed</t>
  </si>
  <si>
    <t>1855.txt</t>
  </si>
  <si>
    <t>Cut Stones with Bear Skin</t>
  </si>
  <si>
    <t>大堆碎石與熊皮</t>
  </si>
  <si>
    <t>熊皮琢石</t>
  </si>
  <si>
    <t>Огранене каміння з ведмежою шкурою</t>
  </si>
  <si>
    <t>1856.txt</t>
  </si>
  <si>
    <t>Domestic Piglet# held</t>
  </si>
  <si>
    <t>家養豬崽# held</t>
  </si>
  <si>
    <t>国内小猪# held</t>
  </si>
  <si>
    <t>Домашнє порося # held</t>
  </si>
  <si>
    <t>1857.txt</t>
  </si>
  <si>
    <t>Hungry Domestic Piglet# held</t>
  </si>
  <si>
    <t>飢餓的家養豬崽# held</t>
  </si>
  <si>
    <t>饥饿的家猪# held</t>
  </si>
  <si>
    <t>Голодне домашнє порося # held</t>
  </si>
  <si>
    <t>1858.txt</t>
  </si>
  <si>
    <t>Hungry Wild Piglet# held</t>
  </si>
  <si>
    <t>飢餓的野豬崽# held</t>
  </si>
  <si>
    <t>饥饿的野小猪# held</t>
  </si>
  <si>
    <t>Голодне дике порося # held</t>
  </si>
  <si>
    <t>1859.txt</t>
  </si>
  <si>
    <t>Stone Wall with Board Stack</t>
  </si>
  <si>
    <t>带板垛的石墙</t>
  </si>
  <si>
    <t>1860.txt</t>
  </si>
  <si>
    <t>Stone Wall with Boards</t>
  </si>
  <si>
    <t>带木板的石墙</t>
  </si>
  <si>
    <t>1861.txt</t>
  </si>
  <si>
    <t>Deep Well# was empty</t>
  </si>
  <si>
    <t># was empty</t>
  </si>
  <si>
    <t>1862.txt</t>
  </si>
  <si>
    <t>Shallow Well# was empty</t>
  </si>
  <si>
    <t>浅井# was empty</t>
  </si>
  <si>
    <t>1863.txt</t>
  </si>
  <si>
    <t>Domestic Calf# rope</t>
  </si>
  <si>
    <t>家養犢牛# rope</t>
  </si>
  <si>
    <t>国产小腿# rope</t>
  </si>
  <si>
    <t>Вітчизняна теляча# rope</t>
  </si>
  <si>
    <t>1864.txt</t>
  </si>
  <si>
    <t>Domestic Calf with Rope</t>
  </si>
  <si>
    <t>家養犢牛</t>
  </si>
  <si>
    <t>带绳索的家养小牛</t>
  </si>
  <si>
    <t>Домашнє теля з мотузкою</t>
  </si>
  <si>
    <t>1865.txt</t>
  </si>
  <si>
    <t>Dumped Wheat Bowl</t>
  </si>
  <si>
    <t>翻麦碗</t>
  </si>
  <si>
    <t>1866.txt</t>
  </si>
  <si>
    <t>@ Bowl Flipper</t>
  </si>
  <si>
    <t>1868.txt</t>
  </si>
  <si>
    <t>Dry Mango Sapling Cutting</t>
  </si>
  <si>
    <t>芒果干苗扦插</t>
  </si>
  <si>
    <t>1869.txt</t>
  </si>
  <si>
    <t>Wet Mango Sapling Cutting</t>
  </si>
  <si>
    <t>溼的芒果樹剪枝</t>
  </si>
  <si>
    <t>芒果湿苗切割</t>
  </si>
  <si>
    <t>Зрізання саджанців мокрого манго</t>
  </si>
  <si>
    <t>1870.txt</t>
  </si>
  <si>
    <t>Shears with Mango Cutting</t>
  </si>
  <si>
    <t>芒果剪</t>
  </si>
  <si>
    <t>1871.txt</t>
  </si>
  <si>
    <t>Mango Tree Cutting</t>
  </si>
  <si>
    <t>芒果树切割</t>
  </si>
  <si>
    <t>1872.txt</t>
  </si>
  <si>
    <t>Dry Mango Sapling</t>
  </si>
  <si>
    <t>乾的芒果樹苗</t>
  </si>
  <si>
    <t>芒果干苗</t>
  </si>
  <si>
    <t>Сухий саджанець манго</t>
  </si>
  <si>
    <t>1873.txt</t>
  </si>
  <si>
    <t>Wet Mango Sapling</t>
  </si>
  <si>
    <t>溼的芒果樹苗</t>
  </si>
  <si>
    <t>湿芒果苗</t>
  </si>
  <si>
    <t>Саджанець мокрого манго</t>
  </si>
  <si>
    <t>1874.txt</t>
  </si>
  <si>
    <t>Wild Mango Tree</t>
  </si>
  <si>
    <t>野生芒果樹</t>
  </si>
  <si>
    <t>野生芒果树</t>
  </si>
  <si>
    <t>Дике мангове дерево</t>
  </si>
  <si>
    <t>1875.txt</t>
  </si>
  <si>
    <t>Fruiting Domestic Mango Tree</t>
  </si>
  <si>
    <t>結果的家栽芒果樹</t>
  </si>
  <si>
    <t>结果实的国产芒果树</t>
  </si>
  <si>
    <t>Плодоносне домашнє мангове дерево</t>
  </si>
  <si>
    <t>1876.txt</t>
  </si>
  <si>
    <t>Languishing Domestic Mango Tree</t>
  </si>
  <si>
    <t>蓬勃的家栽芒果樹</t>
  </si>
  <si>
    <t>Languishing国产芒果树</t>
  </si>
  <si>
    <t>Мляве домашнє мангове дерево</t>
  </si>
  <si>
    <t>1877.txt</t>
  </si>
  <si>
    <t>Mango</t>
  </si>
  <si>
    <t>芒果</t>
  </si>
  <si>
    <t>Манго</t>
  </si>
  <si>
    <t>1878.txt</t>
  </si>
  <si>
    <t>Mango Leaf</t>
  </si>
  <si>
    <t>芒果葉</t>
  </si>
  <si>
    <t>芒果叶</t>
  </si>
  <si>
    <t>Лист манго</t>
  </si>
  <si>
    <t>1879.txt</t>
  </si>
  <si>
    <t>Mango on a Plate</t>
  </si>
  <si>
    <t>盘子里的芒果</t>
  </si>
  <si>
    <t>1880.txt</t>
  </si>
  <si>
    <t>Mango Slices</t>
  </si>
  <si>
    <t>芒果片</t>
  </si>
  <si>
    <t>1883.txt</t>
  </si>
  <si>
    <t>Plaster Wall</t>
  </si>
  <si>
    <t>石膏墙</t>
  </si>
  <si>
    <t>1884.txt</t>
  </si>
  <si>
    <t>1885.txt</t>
  </si>
  <si>
    <t>Plaster Wall# +useOnContained</t>
  </si>
  <si>
    <t>灰泥墙# +useOnContained</t>
  </si>
  <si>
    <t>1886.txt</t>
  </si>
  <si>
    <t>Adobe Wall# just deplastered</t>
  </si>
  <si>
    <t>土坯牆# just deplastered</t>
  </si>
  <si>
    <t>1887.txt</t>
  </si>
  <si>
    <t>1888.txt</t>
  </si>
  <si>
    <t>Adobe Wall # just deplastered</t>
  </si>
  <si>
    <t>1890.txt</t>
  </si>
  <si>
    <t>Lapis Lazuli</t>
  </si>
  <si>
    <t>青金石</t>
  </si>
  <si>
    <t>Лазурит</t>
  </si>
  <si>
    <t>1891.txt</t>
  </si>
  <si>
    <t>Cinnabar</t>
  </si>
  <si>
    <t>硃砂</t>
  </si>
  <si>
    <t>朱砂</t>
  </si>
  <si>
    <t>Циновар</t>
  </si>
  <si>
    <t>1892.txt</t>
  </si>
  <si>
    <t>Bowl of Lapis Lazuli</t>
  </si>
  <si>
    <t>一碗青金石</t>
  </si>
  <si>
    <t>Чаша з лазуриту</t>
  </si>
  <si>
    <t>1893.txt</t>
  </si>
  <si>
    <t>Bowl of Cinnabar</t>
  </si>
  <si>
    <t>一碗硃砂</t>
  </si>
  <si>
    <t>朱砂碗</t>
  </si>
  <si>
    <t>Чаша кіноварі</t>
  </si>
  <si>
    <t>1894.txt</t>
  </si>
  <si>
    <t>Bowl of Ultramarine Pigment</t>
  </si>
  <si>
    <t>一碗藍色染料</t>
  </si>
  <si>
    <t>一碗Ultramarine颜料</t>
  </si>
  <si>
    <t>Чаша з ультрамариновим пігментом</t>
  </si>
  <si>
    <t>1895.txt</t>
  </si>
  <si>
    <t>Bowl of Vermilion Pigment</t>
  </si>
  <si>
    <t>一碗玫瑰紅染料</t>
  </si>
  <si>
    <t>朱红色颜料碗</t>
  </si>
  <si>
    <t>Чаша з червоним пігментом</t>
  </si>
  <si>
    <t>1896.txt</t>
  </si>
  <si>
    <t>Urushiol Poisoned Cow</t>
  </si>
  <si>
    <t>漆酚中毒牛</t>
  </si>
  <si>
    <t>漆酚中毒奶牛</t>
  </si>
  <si>
    <t>1897.txt</t>
  </si>
  <si>
    <t>Bowl of Indian Yellow Pigment</t>
  </si>
  <si>
    <t>印度黄色颜料碗</t>
  </si>
  <si>
    <t>1898.txt</t>
  </si>
  <si>
    <t>Bowl of Mango-Infused Cow Urine</t>
  </si>
  <si>
    <t>芒果灌牛尿碗</t>
  </si>
  <si>
    <t>1900.txt</t>
  </si>
  <si>
    <t>Dead Cow</t>
  </si>
  <si>
    <t>牛屍體</t>
  </si>
  <si>
    <t>死奶牛</t>
  </si>
  <si>
    <t>Мертва корова</t>
  </si>
  <si>
    <t>1903.txt</t>
  </si>
  <si>
    <t>Bucket of Milk Paint</t>
  </si>
  <si>
    <t>1904.txt</t>
  </si>
  <si>
    <t>Bucket of Blue Paint</t>
  </si>
  <si>
    <t>藍色顏料桶</t>
  </si>
  <si>
    <t>一桶蓝色油漆</t>
  </si>
  <si>
    <t>Відро синьої фарби</t>
  </si>
  <si>
    <t>1905.txt</t>
  </si>
  <si>
    <t>Bucket of Red Paint</t>
  </si>
  <si>
    <t>紅色顏料桶</t>
  </si>
  <si>
    <t>一桶红色油漆</t>
  </si>
  <si>
    <t>Відро червоної фарби</t>
  </si>
  <si>
    <t>1906.txt</t>
  </si>
  <si>
    <t>Bucket of Yellow Paint</t>
  </si>
  <si>
    <t>黃色顏料桶</t>
  </si>
  <si>
    <t>一桶黄色油漆</t>
  </si>
  <si>
    <t>Відро жовтої фарби</t>
  </si>
  <si>
    <t>1907.txt</t>
  </si>
  <si>
    <t>Blue Plaster Wall</t>
  </si>
  <si>
    <t>蓝色石膏墙</t>
  </si>
  <si>
    <t>1908.txt</t>
  </si>
  <si>
    <t>1909.txt</t>
  </si>
  <si>
    <t>Blue Plaster Wall# +useOnContained</t>
  </si>
  <si>
    <t>蓝色灰泥墙# +useOnContained</t>
  </si>
  <si>
    <t>1910.txt</t>
  </si>
  <si>
    <t>Red Plaster Wall</t>
  </si>
  <si>
    <t>红色灰泥墙</t>
  </si>
  <si>
    <t>1911.txt</t>
  </si>
  <si>
    <t>1912.txt</t>
  </si>
  <si>
    <t>Red Plaster Wall# +useOnContained</t>
  </si>
  <si>
    <t>红色灰泥墙# +useOnContained</t>
  </si>
  <si>
    <t>1913.txt</t>
  </si>
  <si>
    <t>Yellow Plaster Wall</t>
  </si>
  <si>
    <t>黄色灰泥墙</t>
  </si>
  <si>
    <t>1914.txt</t>
  </si>
  <si>
    <t>1915.txt</t>
  </si>
  <si>
    <t>Yellow Plaster Wall# +useOnContained</t>
  </si>
  <si>
    <t>黄色灰泥墙# +useOnContained</t>
  </si>
  <si>
    <t>1919.txt</t>
  </si>
  <si>
    <t>Dehydrated Urushiol Poisoned Cow</t>
  </si>
  <si>
    <t>脫水漆酚中毒奶牛</t>
  </si>
  <si>
    <t>脱水漆酚中毒奶牛</t>
  </si>
  <si>
    <t>1920.txt</t>
  </si>
  <si>
    <t>Baby Bones# fromDeath</t>
  </si>
  <si>
    <t>婴儿骨骼# fromDeath</t>
  </si>
  <si>
    <t>1922.txt</t>
  </si>
  <si>
    <t>Dry Fertile Domestic Mango Tree</t>
  </si>
  <si>
    <t>乾的肥沃家栽芒果樹</t>
  </si>
  <si>
    <t>干燥肥沃的国产芒果树</t>
  </si>
  <si>
    <t>1923.txt</t>
  </si>
  <si>
    <t>Wet Fertile Domestic Mango Tree</t>
  </si>
  <si>
    <t>溼的肥沃家栽芒果樹</t>
  </si>
  <si>
    <t>潮湿肥沃的国产芒果树</t>
  </si>
  <si>
    <t>1924.txt</t>
  </si>
  <si>
    <t>@ Leaf-source Mango Tree</t>
  </si>
  <si>
    <t>1925.txt</t>
  </si>
  <si>
    <t>@ (outdated) Cutting-source Mango Tree</t>
  </si>
  <si>
    <t>1927.txt</t>
  </si>
  <si>
    <t>Tule Stumps with Basket</t>
  </si>
  <si>
    <t>帶籃子的蘆葦叢</t>
  </si>
  <si>
    <t>1928.txt</t>
  </si>
  <si>
    <t>Tutorial Stone# tutorial 1921</t>
  </si>
  <si>
    <t>教程石# tutorial 1921</t>
  </si>
  <si>
    <t>教程石头# tutorial 1921</t>
  </si>
  <si>
    <t>1929.txt</t>
  </si>
  <si>
    <t>Tutorial Stone# tutorial 28</t>
  </si>
  <si>
    <t>教程石# tutorial 28</t>
  </si>
  <si>
    <t>教程石头# tutorial 28</t>
  </si>
  <si>
    <t>Підручник Stone# tutorial 28</t>
  </si>
  <si>
    <t>1930.txt</t>
  </si>
  <si>
    <t>Twenty Minute Wooden Door# Installed</t>
  </si>
  <si>
    <t>二十分钟木门# Installed</t>
  </si>
  <si>
    <t>1931.txt</t>
  </si>
  <si>
    <t>Twenty Minute Barricade</t>
  </si>
  <si>
    <t>二十分鐘門欄</t>
  </si>
  <si>
    <t>二十分钟路障</t>
  </si>
  <si>
    <t>Двадцятихвилинна барикада</t>
  </si>
  <si>
    <t>1932.txt</t>
  </si>
  <si>
    <t>Tutorial Stone# tutorial 29</t>
  </si>
  <si>
    <t>教程石# tutorial 29</t>
  </si>
  <si>
    <t>教程石头# tutorial 29</t>
  </si>
  <si>
    <t>Підручник Stone# tutorial 29</t>
  </si>
  <si>
    <t>1933.txt</t>
  </si>
  <si>
    <t>Tutorial Stone# tutorial 30</t>
  </si>
  <si>
    <t>教程石# tutorial 30</t>
  </si>
  <si>
    <t>教程石头# tutorial 30</t>
  </si>
  <si>
    <t>Навчальний камінь # tutorial 30</t>
  </si>
  <si>
    <t>1934.txt</t>
  </si>
  <si>
    <t>Tutorial Stone# tutorial 31</t>
  </si>
  <si>
    <t>教程石# tutorial 31</t>
  </si>
  <si>
    <t>教程石头# tutorial 31</t>
  </si>
  <si>
    <t>Підручник Stone# tutorial 31</t>
  </si>
  <si>
    <t>1935.txt</t>
  </si>
  <si>
    <t>Tutorial Stone# tutorial 32</t>
  </si>
  <si>
    <t>教程石# tutorial 32</t>
  </si>
  <si>
    <t>教程石头# tutorial 32</t>
  </si>
  <si>
    <t>Підручник Stone# tutorial 32</t>
  </si>
  <si>
    <t>1936.txt</t>
  </si>
  <si>
    <t>Tutorial Stone# tutorial 33</t>
  </si>
  <si>
    <t>教程石# tutorial 33</t>
  </si>
  <si>
    <t>教程石头# tutorial 33</t>
  </si>
  <si>
    <t>Підручник Stone# tutorial 33</t>
  </si>
  <si>
    <t>1937.txt</t>
  </si>
  <si>
    <t>Tutorial Stone# tutorial 34</t>
  </si>
  <si>
    <t>教程石# tutorial 34</t>
  </si>
  <si>
    <t>教程石头# tutorial 34</t>
  </si>
  <si>
    <t>Навчальний камінь # tutorial 34</t>
  </si>
  <si>
    <t>1938.txt</t>
  </si>
  <si>
    <t>Smooth Ground</t>
  </si>
  <si>
    <t>光滑地面</t>
  </si>
  <si>
    <t>平整的地面</t>
  </si>
  <si>
    <t>Гладка земля</t>
  </si>
  <si>
    <t>1939.txt</t>
  </si>
  <si>
    <t>Unknown Card</t>
  </si>
  <si>
    <t>未知牌</t>
  </si>
  <si>
    <t>未知卡</t>
  </si>
  <si>
    <t>Невідома картка</t>
  </si>
  <si>
    <t>1941.txt</t>
  </si>
  <si>
    <t>Ace of Clubs</t>
  </si>
  <si>
    <t>俱乐部王牌</t>
  </si>
  <si>
    <t>1942.txt</t>
  </si>
  <si>
    <t>Two of Clubs</t>
  </si>
  <si>
    <t>两个俱乐部</t>
  </si>
  <si>
    <t>1943.txt</t>
  </si>
  <si>
    <t>Three of Clubs</t>
  </si>
  <si>
    <t>三个俱乐部</t>
  </si>
  <si>
    <t>1944.txt</t>
  </si>
  <si>
    <t>Four of Clubs</t>
  </si>
  <si>
    <t>四个俱乐部</t>
  </si>
  <si>
    <t>1945.txt</t>
  </si>
  <si>
    <t>Five of Clubs</t>
  </si>
  <si>
    <t>梅花5</t>
  </si>
  <si>
    <t>五个俱乐部</t>
  </si>
  <si>
    <t>Трефова п'ятірка</t>
  </si>
  <si>
    <t>1947.txt</t>
  </si>
  <si>
    <t>Deck of Cards</t>
  </si>
  <si>
    <t>一副撲克</t>
  </si>
  <si>
    <t>一副扑克</t>
  </si>
  <si>
    <t>Колода карт</t>
  </si>
  <si>
    <t>1948.txt</t>
  </si>
  <si>
    <t>Revealed Card</t>
  </si>
  <si>
    <t>1949.txt</t>
  </si>
  <si>
    <t>@ Any Card</t>
  </si>
  <si>
    <t>1950.txt</t>
  </si>
  <si>
    <t>Hidden Card# A of Clubs</t>
  </si>
  <si>
    <t>撲克背面# A of Clubs</t>
  </si>
  <si>
    <t>扑克背面# A of Clubs</t>
  </si>
  <si>
    <t>Прихована карта # A of Clubs</t>
  </si>
  <si>
    <t>1951.txt</t>
  </si>
  <si>
    <t>Hidden Card# 2 of Clubs</t>
  </si>
  <si>
    <t>撲克背面# 2 of Clubs</t>
  </si>
  <si>
    <t>扑克背面# 2 of Clubs</t>
  </si>
  <si>
    <t>Прихована карта# 2 of Clubs</t>
  </si>
  <si>
    <t>1952.txt</t>
  </si>
  <si>
    <t>Hidden Card# 3 of Clubs</t>
  </si>
  <si>
    <t>撲克背面# 3 of Clubs</t>
  </si>
  <si>
    <t>扑克背面# 3 of Clubs</t>
  </si>
  <si>
    <t>Прихована карта# 3 of Clubs</t>
  </si>
  <si>
    <t>1953.txt</t>
  </si>
  <si>
    <t>Hidden Card# 4 of Clubs</t>
  </si>
  <si>
    <t>撲克背面# 4 of Clubs</t>
  </si>
  <si>
    <t>扑克背面# 4 of Clubs</t>
  </si>
  <si>
    <t>Прихована карта # 4 of Clubs</t>
  </si>
  <si>
    <t>1954.txt</t>
  </si>
  <si>
    <t>Hidden Card# 5 of Clubs</t>
  </si>
  <si>
    <t>撲克背面# 5 of Clubs</t>
  </si>
  <si>
    <t>扑克背面# 5 of Clubs</t>
  </si>
  <si>
    <t>Прихована карта # 5 of Clubs</t>
  </si>
  <si>
    <t>1955.txt</t>
  </si>
  <si>
    <t>Last Card</t>
  </si>
  <si>
    <t>最後一張牌</t>
  </si>
  <si>
    <t>最后一张牌</t>
  </si>
  <si>
    <t>Остання карта</t>
  </si>
  <si>
    <t>1956.txt</t>
  </si>
  <si>
    <t>Die</t>
  </si>
  <si>
    <t>一個骰子</t>
  </si>
  <si>
    <t>一个骰子</t>
  </si>
  <si>
    <t>Померти</t>
  </si>
  <si>
    <t>1958.txt</t>
  </si>
  <si>
    <t>Die Roll of One</t>
  </si>
  <si>
    <t>擲出1</t>
  </si>
  <si>
    <t>掷出1</t>
  </si>
  <si>
    <t>Кидок одного</t>
  </si>
  <si>
    <t>1959.txt</t>
  </si>
  <si>
    <t>Die Roll of Two</t>
  </si>
  <si>
    <t>擲出2</t>
  </si>
  <si>
    <t>掷出2</t>
  </si>
  <si>
    <t>Кидок двох</t>
  </si>
  <si>
    <t>1960.txt</t>
  </si>
  <si>
    <t>Die Roll of Three</t>
  </si>
  <si>
    <t>擲出3</t>
  </si>
  <si>
    <t>掷出3</t>
  </si>
  <si>
    <t>Кидок трьох</t>
  </si>
  <si>
    <t>1961.txt</t>
  </si>
  <si>
    <t>Die Roll of Four</t>
  </si>
  <si>
    <t>擲出4</t>
  </si>
  <si>
    <t>掷出4</t>
  </si>
  <si>
    <t>Кидок чотирьох</t>
  </si>
  <si>
    <t>1962.txt</t>
  </si>
  <si>
    <t>Die Roll of Five</t>
  </si>
  <si>
    <t>擲出5</t>
  </si>
  <si>
    <t>掷出5</t>
  </si>
  <si>
    <t>Кидок п'яти кубиків</t>
  </si>
  <si>
    <t>1963.txt</t>
  </si>
  <si>
    <t>Die Roll of Six</t>
  </si>
  <si>
    <t>擲出6</t>
  </si>
  <si>
    <t>掷出6</t>
  </si>
  <si>
    <t>Кидок шести кубиків</t>
  </si>
  <si>
    <t>1965.txt</t>
  </si>
  <si>
    <t>Rolling Die</t>
  </si>
  <si>
    <t>擲出的一個骰子</t>
  </si>
  <si>
    <t>掷出的一个骰子</t>
  </si>
  <si>
    <t>1966.txt</t>
  </si>
  <si>
    <t>Random Die Roll</t>
  </si>
  <si>
    <t>隨機擲骰</t>
  </si>
  <si>
    <t>随机掷骰</t>
  </si>
  <si>
    <t>Кидок випадкового кубика</t>
  </si>
  <si>
    <t>1967.txt</t>
  </si>
  <si>
    <t>@ Rolled Die</t>
  </si>
  <si>
    <t>1968.txt</t>
  </si>
  <si>
    <t>Rolling Dice</t>
  </si>
  <si>
    <t>擲出的兩個骰子</t>
  </si>
  <si>
    <t>掷出的两个骰子</t>
  </si>
  <si>
    <t>Котки</t>
  </si>
  <si>
    <t>1969.txt</t>
  </si>
  <si>
    <t>Dice Roll of Two# 1 1</t>
  </si>
  <si>
    <t>擲出2# 1 1</t>
  </si>
  <si>
    <t>掷出2# 1 1</t>
  </si>
  <si>
    <t>Кидок двох кубиків # 1 1</t>
  </si>
  <si>
    <t>1970.txt</t>
  </si>
  <si>
    <t>Dice Roll of Four# 1 3</t>
  </si>
  <si>
    <t>擲出4# 1 3</t>
  </si>
  <si>
    <t>掷出4# 1 3</t>
  </si>
  <si>
    <t>Кидок чотирьох кубиків # 1 3</t>
  </si>
  <si>
    <t>1971.txt</t>
  </si>
  <si>
    <t>Dice Roll of Five# 1 4</t>
  </si>
  <si>
    <t>擲出5# 1 4</t>
  </si>
  <si>
    <t>掷出5# 1 4</t>
  </si>
  <si>
    <t>Кидок п'яти кубиків # 1 4</t>
  </si>
  <si>
    <t>1972.txt</t>
  </si>
  <si>
    <t>Dice Roll of Three# 1 2</t>
  </si>
  <si>
    <t>擲出3# 1 2</t>
  </si>
  <si>
    <t>掷出3# 1 2</t>
  </si>
  <si>
    <t>Кидок трьох кубиків # 1 2</t>
  </si>
  <si>
    <t>1973.txt</t>
  </si>
  <si>
    <t>Dice Roll of Six# 1 5</t>
  </si>
  <si>
    <t>擲出6# 1 5</t>
  </si>
  <si>
    <t>掷出6# 1 5</t>
  </si>
  <si>
    <t>Кидок шести кубиків # 1 5</t>
  </si>
  <si>
    <t>1974.txt</t>
  </si>
  <si>
    <t>Dice Roll of Seven# 1 6</t>
  </si>
  <si>
    <t>擲出7# 1 6</t>
  </si>
  <si>
    <t>掷出7# 1 6</t>
  </si>
  <si>
    <t>Кидок семи кубиків # 1 6</t>
  </si>
  <si>
    <t>1975.txt</t>
  </si>
  <si>
    <t>Random Dice Roll</t>
  </si>
  <si>
    <t>Випадковий кидок кубиків</t>
  </si>
  <si>
    <t>1976.txt</t>
  </si>
  <si>
    <t>@ Rolled Dice</t>
  </si>
  <si>
    <t>1977.txt</t>
  </si>
  <si>
    <t>Dice Roll of Four# 2 2</t>
  </si>
  <si>
    <t>擲出4# 2 2</t>
  </si>
  <si>
    <t>掷出4# 2 2</t>
  </si>
  <si>
    <t>Кидок чотирьох кубиків # 2 2</t>
  </si>
  <si>
    <t>1978.txt</t>
  </si>
  <si>
    <t>Dice Roll of Five# 2 3</t>
  </si>
  <si>
    <t>擲出5# 2 3</t>
  </si>
  <si>
    <t>掷出5# 2 3</t>
  </si>
  <si>
    <t>Кидок п'яти кубиків # 2 3</t>
  </si>
  <si>
    <t>1979.txt</t>
  </si>
  <si>
    <t>Dice Roll of Six# 2 4</t>
  </si>
  <si>
    <t>擲出6# 2 4</t>
  </si>
  <si>
    <t>掷出6# 2 4</t>
  </si>
  <si>
    <t>Кидок шести кубиків # 2 4</t>
  </si>
  <si>
    <t>1980.txt</t>
  </si>
  <si>
    <t>Dice Roll of Seven# 2 5</t>
  </si>
  <si>
    <t>擲出7# 2 5</t>
  </si>
  <si>
    <t>掷出7# 2 5</t>
  </si>
  <si>
    <t>Кидок семи кубиків # 2 5</t>
  </si>
  <si>
    <t>1981.txt</t>
  </si>
  <si>
    <t>Dice Roll of Eight# 2 6</t>
  </si>
  <si>
    <t>擲出8# 2 6</t>
  </si>
  <si>
    <t>掷出8# 2 6</t>
  </si>
  <si>
    <t>Кидок вісімки # 2 6</t>
  </si>
  <si>
    <t>1982.txt</t>
  </si>
  <si>
    <t>Dice Roll of Six# 3 3</t>
  </si>
  <si>
    <t>擲出6# 3 3</t>
  </si>
  <si>
    <t>掷出6# 3 3</t>
  </si>
  <si>
    <t>Кидок шести кубиків # 3 3</t>
  </si>
  <si>
    <t>1983.txt</t>
  </si>
  <si>
    <t>Dice Roll of Seven# 3 4</t>
  </si>
  <si>
    <t>擲出7# 3 4</t>
  </si>
  <si>
    <t>掷出7# 3 4</t>
  </si>
  <si>
    <t>Кидок семи кубиків # 3 4</t>
  </si>
  <si>
    <t>1984.txt</t>
  </si>
  <si>
    <t>Dice Roll of Eight# 3 5</t>
  </si>
  <si>
    <t>掷出8# 3 5</t>
  </si>
  <si>
    <t>1985.txt</t>
  </si>
  <si>
    <t>Dice Roll of Nine# 3 6</t>
  </si>
  <si>
    <t>擲出9# 3 6</t>
  </si>
  <si>
    <t>掷出9# 3 6</t>
  </si>
  <si>
    <t>Кидок дев'яти кубиків # 3 6</t>
  </si>
  <si>
    <t>1986.txt</t>
  </si>
  <si>
    <t>Dice Roll of Nine# 4 5</t>
  </si>
  <si>
    <t>擲出9# 4 5</t>
  </si>
  <si>
    <t>掷出9# 4 5</t>
  </si>
  <si>
    <t>Кидок дев'ять кубиків # 4 5</t>
  </si>
  <si>
    <t>1987.txt</t>
  </si>
  <si>
    <t>Dice Roll of Ten# 4 6</t>
  </si>
  <si>
    <t>擲出10# 4 6</t>
  </si>
  <si>
    <t>掷出10# 4 6</t>
  </si>
  <si>
    <t>Кидок десяти # 4 6</t>
  </si>
  <si>
    <t>1988.txt</t>
  </si>
  <si>
    <t>Dice Roll of Eight# 4 4</t>
  </si>
  <si>
    <t>擲出8# 4 4</t>
  </si>
  <si>
    <t>掷出8# 4 4</t>
  </si>
  <si>
    <t>Кидок вісімки # 4 4</t>
  </si>
  <si>
    <t>1989.txt</t>
  </si>
  <si>
    <t>Dice Roll of Ten# 5 5</t>
  </si>
  <si>
    <t>掷出10# 5 5</t>
  </si>
  <si>
    <t>1990.txt</t>
  </si>
  <si>
    <t>Dice Roll of Eleven# 5 6</t>
  </si>
  <si>
    <t>擲出11# 5 6</t>
  </si>
  <si>
    <t>掷出11# 5 6</t>
  </si>
  <si>
    <t>Кидок одинадцять кубиків # 5 6</t>
  </si>
  <si>
    <t>1991.txt</t>
  </si>
  <si>
    <t>Dice Roll of Twelve# 6 6</t>
  </si>
  <si>
    <t>擲出12# 6 6</t>
  </si>
  <si>
    <t>掷出12# 6 6</t>
  </si>
  <si>
    <t>Кидок дванадцять кубиків # 6 6</t>
  </si>
  <si>
    <t>1993.txt</t>
  </si>
  <si>
    <t>Dice in Bowl</t>
  </si>
  <si>
    <t>碗中的兩個骰子</t>
  </si>
  <si>
    <t>碗中的两个骰子</t>
  </si>
  <si>
    <t>Кубики в чаші</t>
  </si>
  <si>
    <t>1994.txt</t>
  </si>
  <si>
    <t>Die in Bowl</t>
  </si>
  <si>
    <t>碗中的一個骰子</t>
  </si>
  <si>
    <t>碗中的一个骰子</t>
  </si>
  <si>
    <t>Померти в чаші</t>
  </si>
  <si>
    <t>1995.txt</t>
  </si>
  <si>
    <t>Six of Clubs</t>
  </si>
  <si>
    <t>梅花6</t>
  </si>
  <si>
    <t>1996.txt</t>
  </si>
  <si>
    <t>Seven of Clubs</t>
  </si>
  <si>
    <t>梅花7</t>
  </si>
  <si>
    <t>Трефова сімка</t>
  </si>
  <si>
    <t>1997.txt</t>
  </si>
  <si>
    <t>Eight of Clubs</t>
  </si>
  <si>
    <t>梅花8</t>
  </si>
  <si>
    <t>Трефова вісімка</t>
  </si>
  <si>
    <t>1998.txt</t>
  </si>
  <si>
    <t>Nine of Clubs</t>
  </si>
  <si>
    <t>梅花9</t>
  </si>
  <si>
    <t>1999.txt</t>
  </si>
  <si>
    <t>Ten of Clubs</t>
  </si>
  <si>
    <t>梅花10</t>
  </si>
  <si>
    <t>Трефова десятка</t>
  </si>
  <si>
    <t>2000.txt</t>
  </si>
  <si>
    <t>Jack of Clubs</t>
  </si>
  <si>
    <t>梅花J</t>
  </si>
  <si>
    <t>2001.txt</t>
  </si>
  <si>
    <t>Queen of Clubs</t>
  </si>
  <si>
    <t>梅花Q</t>
  </si>
  <si>
    <t>2002.txt</t>
  </si>
  <si>
    <t>King of Clubs</t>
  </si>
  <si>
    <t>2003.txt</t>
  </si>
  <si>
    <t>Ace of Spades</t>
  </si>
  <si>
    <t>黑桃A</t>
  </si>
  <si>
    <t>Піковий туз</t>
  </si>
  <si>
    <t>2004.txt</t>
  </si>
  <si>
    <t>Two of Spades</t>
  </si>
  <si>
    <t>2005.txt</t>
  </si>
  <si>
    <t>Three of Spades</t>
  </si>
  <si>
    <t>2006.txt</t>
  </si>
  <si>
    <t>Four of Spades</t>
  </si>
  <si>
    <t>黑桃4</t>
  </si>
  <si>
    <t>Пікова четвірка</t>
  </si>
  <si>
    <t>2007.txt</t>
  </si>
  <si>
    <t>Five of Spades</t>
  </si>
  <si>
    <t>黑桃5</t>
  </si>
  <si>
    <t>Пікова п'ятірка</t>
  </si>
  <si>
    <t>2008.txt</t>
  </si>
  <si>
    <t>Six of Spades</t>
  </si>
  <si>
    <t>黑桃6</t>
  </si>
  <si>
    <t>Пікова шістка</t>
  </si>
  <si>
    <t>2009.txt</t>
  </si>
  <si>
    <t>Seven of Spades</t>
  </si>
  <si>
    <t>黑桃7</t>
  </si>
  <si>
    <t>Пікова сімка</t>
  </si>
  <si>
    <t>2010.txt</t>
  </si>
  <si>
    <t>Eight of Spades</t>
  </si>
  <si>
    <t>黑桃8</t>
  </si>
  <si>
    <t>2011.txt</t>
  </si>
  <si>
    <t>Nine of Spades</t>
  </si>
  <si>
    <t>黑桃9</t>
  </si>
  <si>
    <t>Пікова дев'ятка</t>
  </si>
  <si>
    <t>2012.txt</t>
  </si>
  <si>
    <t>Ten of Spades</t>
  </si>
  <si>
    <t>黑桃10</t>
  </si>
  <si>
    <t>Пікова десятка</t>
  </si>
  <si>
    <t>2013.txt</t>
  </si>
  <si>
    <t>Jack of Spades</t>
  </si>
  <si>
    <t>黑桃J</t>
  </si>
  <si>
    <t>Піковий валет</t>
  </si>
  <si>
    <t>2014.txt</t>
  </si>
  <si>
    <t>Queen of Spades</t>
  </si>
  <si>
    <t>黑桃Q</t>
  </si>
  <si>
    <t>Пікова дама</t>
  </si>
  <si>
    <t>2015.txt</t>
  </si>
  <si>
    <t>King of Spades</t>
  </si>
  <si>
    <t>黑桃K</t>
  </si>
  <si>
    <t>Піковий король</t>
  </si>
  <si>
    <t>2016.txt</t>
  </si>
  <si>
    <t>Ace of Hearts</t>
  </si>
  <si>
    <t>紅桃A</t>
  </si>
  <si>
    <t>红桃A</t>
  </si>
  <si>
    <t>Червовий туз</t>
  </si>
  <si>
    <t>2017.txt</t>
  </si>
  <si>
    <t>Two of Hearts</t>
  </si>
  <si>
    <t>紅桃2</t>
  </si>
  <si>
    <t>红桃2</t>
  </si>
  <si>
    <t>Двійка Черв</t>
  </si>
  <si>
    <t>2018.txt</t>
  </si>
  <si>
    <t>Three of Hearts</t>
  </si>
  <si>
    <t>紅桃3</t>
  </si>
  <si>
    <t>红桃3</t>
  </si>
  <si>
    <t>Трійка Черв</t>
  </si>
  <si>
    <t>2019.txt</t>
  </si>
  <si>
    <t>Four of Hearts</t>
  </si>
  <si>
    <t>紅桃4</t>
  </si>
  <si>
    <t>红桃4</t>
  </si>
  <si>
    <t>Червева четвірка</t>
  </si>
  <si>
    <t>2020.txt</t>
  </si>
  <si>
    <t>Five of Hearts</t>
  </si>
  <si>
    <t>红桃5</t>
  </si>
  <si>
    <t>2021.txt</t>
  </si>
  <si>
    <t>Six of Hearts</t>
  </si>
  <si>
    <t>紅桃6</t>
  </si>
  <si>
    <t>红桃6</t>
  </si>
  <si>
    <t>Червева шістка</t>
  </si>
  <si>
    <t>2022.txt</t>
  </si>
  <si>
    <t>Seven of Hearts</t>
  </si>
  <si>
    <t>红桃7</t>
  </si>
  <si>
    <t>2023.txt</t>
  </si>
  <si>
    <t>Eight of Hearts</t>
  </si>
  <si>
    <t>红桃8</t>
  </si>
  <si>
    <t>2024.txt</t>
  </si>
  <si>
    <t>Nine of Hearts</t>
  </si>
  <si>
    <t>红桃9</t>
  </si>
  <si>
    <t>2025.txt</t>
  </si>
  <si>
    <t>Ten of Hearts</t>
  </si>
  <si>
    <t>红桃10</t>
  </si>
  <si>
    <t>2026.txt</t>
  </si>
  <si>
    <t>Jack of Hearts</t>
  </si>
  <si>
    <t>紅桃J</t>
  </si>
  <si>
    <t>红桃J</t>
  </si>
  <si>
    <t>Чирвовий валет</t>
  </si>
  <si>
    <t>2027.txt</t>
  </si>
  <si>
    <t>Queen of Hearts</t>
  </si>
  <si>
    <t>紅桃Q</t>
  </si>
  <si>
    <t>红桃Q</t>
  </si>
  <si>
    <t>Королева Черв</t>
  </si>
  <si>
    <t>2028.txt</t>
  </si>
  <si>
    <t>King of Hearts</t>
  </si>
  <si>
    <t>紅桃K</t>
  </si>
  <si>
    <t>红桃K</t>
  </si>
  <si>
    <t>Король Черв</t>
  </si>
  <si>
    <t>2029.txt</t>
  </si>
  <si>
    <t>Ace of Diamonds</t>
  </si>
  <si>
    <t>方片A</t>
  </si>
  <si>
    <t>Бубновий туз</t>
  </si>
  <si>
    <t>2030.txt</t>
  </si>
  <si>
    <t>Two of Diamonds</t>
  </si>
  <si>
    <t>方片2</t>
  </si>
  <si>
    <t>Бубнова двійка</t>
  </si>
  <si>
    <t>2031.txt</t>
  </si>
  <si>
    <t>Three of Diamonds</t>
  </si>
  <si>
    <t>2032.txt</t>
  </si>
  <si>
    <t>Four of Diamonds</t>
  </si>
  <si>
    <t>2033.txt</t>
  </si>
  <si>
    <t>Five of Diamonds</t>
  </si>
  <si>
    <t>2034.txt</t>
  </si>
  <si>
    <t>Six of Diamonds</t>
  </si>
  <si>
    <t>方片6</t>
  </si>
  <si>
    <t>Бубнова шістка</t>
  </si>
  <si>
    <t>2035.txt</t>
  </si>
  <si>
    <t>Seven of Diamonds</t>
  </si>
  <si>
    <t>方片7</t>
  </si>
  <si>
    <t>Бубнова сімка</t>
  </si>
  <si>
    <t>2036.txt</t>
  </si>
  <si>
    <t>Eight of Diamonds</t>
  </si>
  <si>
    <t>方片8</t>
  </si>
  <si>
    <t>Бубнова вісімка</t>
  </si>
  <si>
    <t>2037.txt</t>
  </si>
  <si>
    <t>Nine of Diamonds</t>
  </si>
  <si>
    <t>方片9</t>
  </si>
  <si>
    <t>Бубнова дев'ятка</t>
  </si>
  <si>
    <t>2038.txt</t>
  </si>
  <si>
    <t>Ten of Diamonds</t>
  </si>
  <si>
    <t>方片10</t>
  </si>
  <si>
    <t>Бубнова десятка</t>
  </si>
  <si>
    <t>2039.txt</t>
  </si>
  <si>
    <t>Jack of Diamonds</t>
  </si>
  <si>
    <t>方片J</t>
  </si>
  <si>
    <t>Бубновий валет</t>
  </si>
  <si>
    <t>2040.txt</t>
  </si>
  <si>
    <t>Queen of Diamonds</t>
  </si>
  <si>
    <t>方片Q</t>
  </si>
  <si>
    <t>Бубнова королева</t>
  </si>
  <si>
    <t>2041.txt</t>
  </si>
  <si>
    <t>King of Diamonds</t>
  </si>
  <si>
    <t>方片K</t>
  </si>
  <si>
    <t>2042.txt</t>
  </si>
  <si>
    <t>Hidden Card# 6 of Clubs</t>
  </si>
  <si>
    <t>撲克背面# 6 of Clubs</t>
  </si>
  <si>
    <t>扑克背面# 6 of Clubs</t>
  </si>
  <si>
    <t>Прихована карта# 6 of Clubs</t>
  </si>
  <si>
    <t>2043.txt</t>
  </si>
  <si>
    <t>Hidden Card# 7 of Clubs</t>
  </si>
  <si>
    <t>撲克背面# 7 of Clubs</t>
  </si>
  <si>
    <t>扑克背面# 7 of Clubs</t>
  </si>
  <si>
    <t>Прихована карта # 7 of Clubs</t>
  </si>
  <si>
    <t>2044.txt</t>
  </si>
  <si>
    <t>Hidden Card# 8 of Clubs</t>
  </si>
  <si>
    <t>撲克背面# 8 of Clubs</t>
  </si>
  <si>
    <t>扑克背面# 8 of Clubs</t>
  </si>
  <si>
    <t>Прихована карта # 8 of Clubs</t>
  </si>
  <si>
    <t>2045.txt</t>
  </si>
  <si>
    <t>Hidden Card# 9 of Clubs</t>
  </si>
  <si>
    <t>撲克背面# 9 of Clubs</t>
  </si>
  <si>
    <t>扑克背面# 9 of Clubs</t>
  </si>
  <si>
    <t>Прихована карта # 9 of Clubs</t>
  </si>
  <si>
    <t>2046.txt</t>
  </si>
  <si>
    <t>Hidden Card# 10 of Clubs</t>
  </si>
  <si>
    <t>撲克背面# 10 of Clubs</t>
  </si>
  <si>
    <t>扑克背面# 10 of Clubs</t>
  </si>
  <si>
    <t>Прихована карта # 10 of Clubs</t>
  </si>
  <si>
    <t>2047.txt</t>
  </si>
  <si>
    <t>Hidden Card# J of Clubs</t>
  </si>
  <si>
    <t>撲克背面# J of Clubs</t>
  </si>
  <si>
    <t>扑克背面# J of Clubs</t>
  </si>
  <si>
    <t>Прихована карта # J of Clubs</t>
  </si>
  <si>
    <t>2048.txt</t>
  </si>
  <si>
    <t>Hidden Card# Q of Clubs</t>
  </si>
  <si>
    <t>撲克背面# Q of Clubs</t>
  </si>
  <si>
    <t>扑克背面# Q of Clubs</t>
  </si>
  <si>
    <t>Прихована карта# Q of Clubs</t>
  </si>
  <si>
    <t>2049.txt</t>
  </si>
  <si>
    <t>Hidden Card# K of Clubs</t>
  </si>
  <si>
    <t>撲克背面# K of Clubs</t>
  </si>
  <si>
    <t>扑克背面# K of Clubs</t>
  </si>
  <si>
    <t>Прихована карта# K of Clubs</t>
  </si>
  <si>
    <t>2050.txt</t>
  </si>
  <si>
    <t>Hidden Card# A of Spades</t>
  </si>
  <si>
    <t>撲克背面# A of Spades</t>
  </si>
  <si>
    <t>扑克背面# A of Spades</t>
  </si>
  <si>
    <t>Прихована карта# A of Spades</t>
  </si>
  <si>
    <t>2051.txt</t>
  </si>
  <si>
    <t>Hidden Card# 2 of Spades</t>
  </si>
  <si>
    <t>撲克背面# 2 of Spades</t>
  </si>
  <si>
    <t>扑克背面# 2 of Spades</t>
  </si>
  <si>
    <t>Прихована карта# 2 of Spades</t>
  </si>
  <si>
    <t>2052.txt</t>
  </si>
  <si>
    <t>Hidden Card# 3 of Spades</t>
  </si>
  <si>
    <t>撲克背面# 3 of Spades</t>
  </si>
  <si>
    <t>扑克背面# 3 of Spades</t>
  </si>
  <si>
    <t>Прихована карта# 3 of Spades</t>
  </si>
  <si>
    <t>2053.txt</t>
  </si>
  <si>
    <t>Hidden Card# 4 of Spades</t>
  </si>
  <si>
    <t>撲克背面# 4 of Spades</t>
  </si>
  <si>
    <t>扑克背面# 4 of Spades</t>
  </si>
  <si>
    <t>Прихована карта# 4 of Spades</t>
  </si>
  <si>
    <t>2054.txt</t>
  </si>
  <si>
    <t>Hidden Card# 5 of Spades</t>
  </si>
  <si>
    <t>撲克背面# 5 of Spades</t>
  </si>
  <si>
    <t>扑克背面# 5 of Spades</t>
  </si>
  <si>
    <t>Прихована карта# 5 of Spades</t>
  </si>
  <si>
    <t>2055.txt</t>
  </si>
  <si>
    <t>Hidden Card# 6 of Spades</t>
  </si>
  <si>
    <t>撲克背面# 6 of Spades</t>
  </si>
  <si>
    <t>扑克背面# 6 of Spades</t>
  </si>
  <si>
    <t>Прихована карта# 6 of Spades</t>
  </si>
  <si>
    <t>2056.txt</t>
  </si>
  <si>
    <t>Hidden Card# 7 of Spades</t>
  </si>
  <si>
    <t>撲克背面# 7 of Spades</t>
  </si>
  <si>
    <t>扑克背面# 7 of Spades</t>
  </si>
  <si>
    <t>Прихована карта# 7 of Spades</t>
  </si>
  <si>
    <t>2057.txt</t>
  </si>
  <si>
    <t>Hidden Card# 8 of Spades</t>
  </si>
  <si>
    <t>撲克背面# 8 of Spades</t>
  </si>
  <si>
    <t>扑克背面# 8 of Spades</t>
  </si>
  <si>
    <t>Прихована карта# 8 of Spades</t>
  </si>
  <si>
    <t>2058.txt</t>
  </si>
  <si>
    <t>Hidden Card# 9 of Spades</t>
  </si>
  <si>
    <t>撲克背面# 9 of Spades</t>
  </si>
  <si>
    <t>扑克背面# 9 of Spades</t>
  </si>
  <si>
    <t>Прихована карта# 9 of Spades</t>
  </si>
  <si>
    <t>2059.txt</t>
  </si>
  <si>
    <t>Hidden Card# 10 of Spades</t>
  </si>
  <si>
    <t>撲克背面# 10 of Spades</t>
  </si>
  <si>
    <t>扑克背面# 10 of Spades</t>
  </si>
  <si>
    <t>Прихована карта # 10 of Spades</t>
  </si>
  <si>
    <t>2060.txt</t>
  </si>
  <si>
    <t>Hidden Card# J of Spades</t>
  </si>
  <si>
    <t>撲克背面# J of Spades</t>
  </si>
  <si>
    <t>扑克背面# J of Spades</t>
  </si>
  <si>
    <t>Прихована карта# J of Spades</t>
  </si>
  <si>
    <t>2061.txt</t>
  </si>
  <si>
    <t>Hidden Card# Q of Spades</t>
  </si>
  <si>
    <t>撲克背面# Q of Spades</t>
  </si>
  <si>
    <t>扑克背面# Q of Spades</t>
  </si>
  <si>
    <t>Прихована карта # Q of Spades</t>
  </si>
  <si>
    <t>2062.txt</t>
  </si>
  <si>
    <t>Hidden Card# K of Spades</t>
  </si>
  <si>
    <t>撲克背面# K of Spades</t>
  </si>
  <si>
    <t>扑克背面# K of Spades</t>
  </si>
  <si>
    <t>Прихована карта # K of Spades</t>
  </si>
  <si>
    <t>2063.txt</t>
  </si>
  <si>
    <t>Hidden Card# A of Hearts</t>
  </si>
  <si>
    <t>撲克背面# A of Hearts</t>
  </si>
  <si>
    <t>扑克背面# A of Hearts</t>
  </si>
  <si>
    <t>Прихована картка # A of Hearts</t>
  </si>
  <si>
    <t>2064.txt</t>
  </si>
  <si>
    <t>Hidden Card# 2 of Hearts</t>
  </si>
  <si>
    <t>撲克背面# 2 of Hearts</t>
  </si>
  <si>
    <t>扑克背面# 2 of Hearts</t>
  </si>
  <si>
    <t>Прихована картка # 2 of Hearts</t>
  </si>
  <si>
    <t>2065.txt</t>
  </si>
  <si>
    <t>Hidden Card# 3 of Hearts</t>
  </si>
  <si>
    <t>撲克背面# 3 of Hearts</t>
  </si>
  <si>
    <t>扑克背面# 3 of Hearts</t>
  </si>
  <si>
    <t>Прихована картка # 3 of Hearts</t>
  </si>
  <si>
    <t>2066.txt</t>
  </si>
  <si>
    <t>Hidden Card# 4 of Hearts</t>
  </si>
  <si>
    <t>撲克背面# 4 of Hearts</t>
  </si>
  <si>
    <t>扑克背面# 4 of Hearts</t>
  </si>
  <si>
    <t>Прихована картка # 4 of Hearts</t>
  </si>
  <si>
    <t>2067.txt</t>
  </si>
  <si>
    <t>Hidden Card# 5 of Hearts</t>
  </si>
  <si>
    <t>撲克背面# 5 of Hearts</t>
  </si>
  <si>
    <t>扑克背面# 5 of Hearts</t>
  </si>
  <si>
    <t>Прихована картка# 5 of Hearts</t>
  </si>
  <si>
    <t>2068.txt</t>
  </si>
  <si>
    <t>Hidden Card# 6 of Hearts</t>
  </si>
  <si>
    <t>撲克背面# 6 of Hearts</t>
  </si>
  <si>
    <t>扑克背面# 6 of Hearts</t>
  </si>
  <si>
    <t>Прихована карта # 6 of Hearts</t>
  </si>
  <si>
    <t>2069.txt</t>
  </si>
  <si>
    <t>Hidden Card# 7 of Hearts</t>
  </si>
  <si>
    <t>撲克背面# 7 of Hearts</t>
  </si>
  <si>
    <t>扑克背面# 7 of Hearts</t>
  </si>
  <si>
    <t>Прихована карта# 7 of Hearts</t>
  </si>
  <si>
    <t>2070.txt</t>
  </si>
  <si>
    <t>Hidden Card# 8 of Hearts</t>
  </si>
  <si>
    <t>撲克背面# 8 of Hearts</t>
  </si>
  <si>
    <t>扑克背面# 8 of Hearts</t>
  </si>
  <si>
    <t>Прихована карта# 8 of Hearts</t>
  </si>
  <si>
    <t>2071.txt</t>
  </si>
  <si>
    <t>Hidden Card# 9 of Hearts</t>
  </si>
  <si>
    <t>撲克背面# 9 of Hearts</t>
  </si>
  <si>
    <t>扑克背面# 9 of Hearts</t>
  </si>
  <si>
    <t>Прихована картка# 9 of Hearts</t>
  </si>
  <si>
    <t>2072.txt</t>
  </si>
  <si>
    <t>Hidden Card# 10 of Hearts</t>
  </si>
  <si>
    <t>撲克背面# 10 of Hearts</t>
  </si>
  <si>
    <t>扑克背面# 10 of Hearts</t>
  </si>
  <si>
    <t>Прихована картка # 10 of Hearts</t>
  </si>
  <si>
    <t>2073.txt</t>
  </si>
  <si>
    <t>Hidden Card# J of Hearts</t>
  </si>
  <si>
    <t>撲克背面# J of Hearts</t>
  </si>
  <si>
    <t>扑克背面# J of Hearts</t>
  </si>
  <si>
    <t>Прихована карта # J of Hearts</t>
  </si>
  <si>
    <t>2074.txt</t>
  </si>
  <si>
    <t>Hidden Card# Q of Hearts</t>
  </si>
  <si>
    <t>撲克背面# Q of Hearts</t>
  </si>
  <si>
    <t>扑克背面# Q of Hearts</t>
  </si>
  <si>
    <t>Прихована карта # Q of Hearts</t>
  </si>
  <si>
    <t>2075.txt</t>
  </si>
  <si>
    <t>Hidden Card# K of Hearts</t>
  </si>
  <si>
    <t>撲克背面# K of Hearts</t>
  </si>
  <si>
    <t>扑克背面# K of Hearts</t>
  </si>
  <si>
    <t>Прихована карта  #K of Hearts</t>
  </si>
  <si>
    <t>2076.txt</t>
  </si>
  <si>
    <t>Hidden Card# A of Diamonds</t>
  </si>
  <si>
    <t>撲克背面# A of Diamonds</t>
  </si>
  <si>
    <t>扑克背面# A of Diamonds</t>
  </si>
  <si>
    <t>Прихована карта # A of Diamonds</t>
  </si>
  <si>
    <t>2077.txt</t>
  </si>
  <si>
    <t>Hidden Card# 2 of Diamonds</t>
  </si>
  <si>
    <t>撲克背面# 2 of Diamonds</t>
  </si>
  <si>
    <t>扑克背面# 2 of Diamonds</t>
  </si>
  <si>
    <t>Прихована карта # 2 of Diamonds</t>
  </si>
  <si>
    <t>2078.txt</t>
  </si>
  <si>
    <t>Hidden Card# 3 of Diamonds</t>
  </si>
  <si>
    <t>撲克背面# 3 of Diamonds</t>
  </si>
  <si>
    <t>扑克背面# 3 of Diamonds</t>
  </si>
  <si>
    <t>Прихована карта # 3 of Diamonds</t>
  </si>
  <si>
    <t>2079.txt</t>
  </si>
  <si>
    <t>Hidden Card# 4 of Diamonds</t>
  </si>
  <si>
    <t>撲克背面# 4 of Diamonds</t>
  </si>
  <si>
    <t>扑克背面# 4 of Diamonds</t>
  </si>
  <si>
    <t>Прихована карта# 4 of Diamonds</t>
  </si>
  <si>
    <t>2080.txt</t>
  </si>
  <si>
    <t>Hidden Card# 5 of Diamonds</t>
  </si>
  <si>
    <t>撲克背面# 5 of Diamonds</t>
  </si>
  <si>
    <t>扑克背面# 5 of Diamonds</t>
  </si>
  <si>
    <t>Прихована карта # 5 of Diamonds</t>
  </si>
  <si>
    <t>2081.txt</t>
  </si>
  <si>
    <t>Hidden Card# 6 of Diamonds</t>
  </si>
  <si>
    <t>撲克背面# 6 of Diamonds</t>
  </si>
  <si>
    <t>扑克背面# 6 of Diamonds</t>
  </si>
  <si>
    <t>Прихована карта# 6 of Diamonds</t>
  </si>
  <si>
    <t>2082.txt</t>
  </si>
  <si>
    <t>Hidden Card# 7 of Diamonds</t>
  </si>
  <si>
    <t>撲克背面# 7 of Diamonds</t>
  </si>
  <si>
    <t>扑克背面# 7 of Diamonds</t>
  </si>
  <si>
    <t>Прихована карта# 7 of Diamonds</t>
  </si>
  <si>
    <t>2083.txt</t>
  </si>
  <si>
    <t>Hidden Card# 8 of Diamonds</t>
  </si>
  <si>
    <t>撲克背面# 8 of Diamonds</t>
  </si>
  <si>
    <t>扑克背面# 8 of Diamonds</t>
  </si>
  <si>
    <t>Прихована карта # 8 of Diamonds</t>
  </si>
  <si>
    <t>2084.txt</t>
  </si>
  <si>
    <t>Hidden Card# 9 of Diamonds</t>
  </si>
  <si>
    <t>撲克背面# 9 of Diamonds</t>
  </si>
  <si>
    <t>扑克背面# 9 of Diamonds</t>
  </si>
  <si>
    <t>Прихована карта# 9 of Diamonds</t>
  </si>
  <si>
    <t>2085.txt</t>
  </si>
  <si>
    <t>Hidden Card# 10 of Diamonds</t>
  </si>
  <si>
    <t>撲克背面# 10 of Diamonds</t>
  </si>
  <si>
    <t>扑克背面# 10 of Diamonds</t>
  </si>
  <si>
    <t>Прихована карта # 10 of Diamonds</t>
  </si>
  <si>
    <t>2086.txt</t>
  </si>
  <si>
    <t>Hidden Card# J of Diamonds</t>
  </si>
  <si>
    <t>撲克背面# J of Diamonds</t>
  </si>
  <si>
    <t>扑克背面# J of Diamonds</t>
  </si>
  <si>
    <t>Прихована карта # J of Diamonds</t>
  </si>
  <si>
    <t>2087.txt</t>
  </si>
  <si>
    <t>Hidden Card# Q of Diamonds</t>
  </si>
  <si>
    <t>撲克背面# Q of Diamonds</t>
  </si>
  <si>
    <t>扑克背面# Q of Diamonds</t>
  </si>
  <si>
    <t>Прихована карта # Q of Diamonds</t>
  </si>
  <si>
    <t>2088.txt</t>
  </si>
  <si>
    <t>Hidden Card# K of Diamonds</t>
  </si>
  <si>
    <t>撲克背面# K of Diamonds</t>
  </si>
  <si>
    <t>扑克背面# K of Diamonds</t>
  </si>
  <si>
    <t>Прихована карта# K of Diamonds</t>
  </si>
  <si>
    <t>2090.txt</t>
  </si>
  <si>
    <t>Bound Deck of Cards</t>
  </si>
  <si>
    <t>捆起來的一副撲克</t>
  </si>
  <si>
    <t>捆起来的一副扑克</t>
  </si>
  <si>
    <t>Переплетена колода карт</t>
  </si>
  <si>
    <t>2091.txt</t>
  </si>
  <si>
    <t>Fishing Pole</t>
  </si>
  <si>
    <t>釣魚竿</t>
  </si>
  <si>
    <t>钓鱼竿</t>
  </si>
  <si>
    <t>Вудка</t>
  </si>
  <si>
    <t>2092.txt</t>
  </si>
  <si>
    <t>Fishing Pole without Hook</t>
  </si>
  <si>
    <t>無鉤釣魚竿</t>
  </si>
  <si>
    <t>无钩钓鱼竿</t>
  </si>
  <si>
    <t>Вудка без гачка</t>
  </si>
  <si>
    <t>2093.txt</t>
  </si>
  <si>
    <t>@ Thorn Source</t>
  </si>
  <si>
    <t>2094.txt</t>
  </si>
  <si>
    <t>Fishing Pole with Worm</t>
  </si>
  <si>
    <t>带蠕虫的钓鱼竿</t>
  </si>
  <si>
    <t>2095.txt</t>
  </si>
  <si>
    <t>Perhaps a Fish</t>
  </si>
  <si>
    <t>可能是魚</t>
  </si>
  <si>
    <t>也许是一条鱼</t>
  </si>
  <si>
    <t>Можливо Риба</t>
  </si>
  <si>
    <t>2096.txt</t>
  </si>
  <si>
    <t>Arctic Char</t>
  </si>
  <si>
    <t>紅點鮭</t>
  </si>
  <si>
    <t>北极木炭</t>
  </si>
  <si>
    <t>Арктичний чар</t>
  </si>
  <si>
    <t>2097.txt</t>
  </si>
  <si>
    <t>Fishing Pole with Char# just caught</t>
  </si>
  <si>
    <t>掉到魚的釣魚竿# just caught</t>
  </si>
  <si>
    <t>刚刚捕获的带有木炭# just caught</t>
  </si>
  <si>
    <t>Вудка з символом # just caught</t>
  </si>
  <si>
    <t>2098.txt</t>
  </si>
  <si>
    <t>Fishing Pole with Old Boot</t>
  </si>
  <si>
    <t>掉到舊鞋的釣魚竿</t>
  </si>
  <si>
    <t>旧靴子钓竿</t>
  </si>
  <si>
    <t>Вудка зі старим черевиком</t>
  </si>
  <si>
    <t>2099.txt</t>
  </si>
  <si>
    <t>Old Boot</t>
  </si>
  <si>
    <t>老舊的鞋</t>
  </si>
  <si>
    <t>旧靴子</t>
  </si>
  <si>
    <t>Старий чобіт</t>
  </si>
  <si>
    <t>2100.txt</t>
  </si>
  <si>
    <t>Fishing Pole with Char</t>
  </si>
  <si>
    <t>掉到魚的釣魚竿</t>
  </si>
  <si>
    <t>木炭钓竿</t>
  </si>
  <si>
    <t>Вудка з чаром</t>
  </si>
  <si>
    <t>2101.txt</t>
  </si>
  <si>
    <t>Cast Fishing Pole</t>
  </si>
  <si>
    <t>拋出的釣魚竿</t>
  </si>
  <si>
    <t>铸造钓鱼竿</t>
  </si>
  <si>
    <t>Лита вудка</t>
  </si>
  <si>
    <t>2102.txt</t>
  </si>
  <si>
    <t>Arctic Char# alive</t>
  </si>
  <si>
    <t>紅點鮭# alive</t>
  </si>
  <si>
    <t>北极炭# alive</t>
  </si>
  <si>
    <t>Arctic Char# живий</t>
  </si>
  <si>
    <t>2109.txt</t>
  </si>
  <si>
    <t>Wet Blank Die</t>
  </si>
  <si>
    <t>溼的空白骰子</t>
  </si>
  <si>
    <t>湿坯件模具</t>
  </si>
  <si>
    <t>Мокра заготовка матриці</t>
  </si>
  <si>
    <t>2110.txt</t>
  </si>
  <si>
    <t>Clay with Nozzle</t>
  </si>
  <si>
    <t>黏土與噴嘴</t>
  </si>
  <si>
    <t>带喷嘴的粘土</t>
  </si>
  <si>
    <t>Глина з насадкою</t>
  </si>
  <si>
    <t>2111.txt</t>
  </si>
  <si>
    <t>Wet Die in Wooden Tongs</t>
  </si>
  <si>
    <t>被木鉗夾著的溼骰子</t>
  </si>
  <si>
    <t>木钳湿模</t>
  </si>
  <si>
    <t>Мокра матриця в дерев'яних щипцях</t>
  </si>
  <si>
    <t>2112.txt</t>
  </si>
  <si>
    <t>Fired Die in Wooden Tongs</t>
  </si>
  <si>
    <t>被木鉗夾著的燒過的骰子</t>
  </si>
  <si>
    <t>木钳烧模</t>
  </si>
  <si>
    <t>Вистріляна плашка в дерев'яних щипцях</t>
  </si>
  <si>
    <t>2113.txt</t>
  </si>
  <si>
    <t>Blank Die</t>
  </si>
  <si>
    <t>空白骰子</t>
  </si>
  <si>
    <t>毛坯模具</t>
  </si>
  <si>
    <t>Пустий кубик</t>
  </si>
  <si>
    <t>2114.txt</t>
  </si>
  <si>
    <t>Blank Card Stack</t>
  </si>
  <si>
    <t>一疊空白卡片</t>
  </si>
  <si>
    <t>空白卡堆叠</t>
  </si>
  <si>
    <t>Пустий стек карток</t>
  </si>
  <si>
    <t>2115.txt</t>
  </si>
  <si>
    <t>Deck of Blank Cards</t>
  </si>
  <si>
    <t>一副空白撲克</t>
  </si>
  <si>
    <t>一副空白卡片</t>
  </si>
  <si>
    <t>Колода чистих карт</t>
  </si>
  <si>
    <t>2116.txt</t>
  </si>
  <si>
    <t>Deck of Cards with No Red</t>
  </si>
  <si>
    <t>一副沒有紅色的撲克</t>
  </si>
  <si>
    <t>一副没有红色的牌</t>
  </si>
  <si>
    <t>Колода карт без червоного</t>
  </si>
  <si>
    <t>2117.txt</t>
  </si>
  <si>
    <t>Deck of Damp Cards</t>
  </si>
  <si>
    <t>一副溼的撲克</t>
  </si>
  <si>
    <t>一副潮湿的卡片</t>
  </si>
  <si>
    <t>Колода вологих карт</t>
  </si>
  <si>
    <t>2118.txt</t>
  </si>
  <si>
    <t>Deck of Cards with No Black</t>
  </si>
  <si>
    <t>一副沒有黑色的撲克</t>
  </si>
  <si>
    <t>一副没有黑色的牌</t>
  </si>
  <si>
    <t>Колода карт без чорного</t>
  </si>
  <si>
    <t>2119.txt</t>
  </si>
  <si>
    <t>Tutorial Stone# tutorial 1201</t>
  </si>
  <si>
    <t>教程石# tutorial 1201</t>
  </si>
  <si>
    <t>教程石头# tutorial 1201</t>
  </si>
  <si>
    <t>Підручник Stone# tutorial 1201</t>
  </si>
  <si>
    <t>2120.txt</t>
  </si>
  <si>
    <t>Tutorial Stone# tutorial 1202</t>
  </si>
  <si>
    <t>教程石# tutorial 1202</t>
  </si>
  <si>
    <t>教程石头# tutorial 1202</t>
  </si>
  <si>
    <t>Підручник Stone# tutorial 1202</t>
  </si>
  <si>
    <t>2121.txt</t>
  </si>
  <si>
    <t>Bowl of Corn Seeds</t>
  </si>
  <si>
    <t>一碗玉米種子</t>
  </si>
  <si>
    <t>一碗玉米种子</t>
  </si>
  <si>
    <t>Чаша з насінням кукурудзи</t>
  </si>
  <si>
    <t>2122.txt</t>
  </si>
  <si>
    <t>@ Seed Bowl</t>
  </si>
  <si>
    <t>2123.txt</t>
  </si>
  <si>
    <t>Stack of Wrought Iron</t>
  </si>
  <si>
    <t>一堆鍛鐵</t>
  </si>
  <si>
    <t>熟铁堆</t>
  </si>
  <si>
    <t>Стек кованого заліза</t>
  </si>
  <si>
    <t>2124.txt</t>
  </si>
  <si>
    <t>Full Bucket of Skim Milk</t>
  </si>
  <si>
    <t>一桶脫脂牛奶</t>
  </si>
  <si>
    <t>满满一桶脱脂牛奶</t>
  </si>
  <si>
    <t>Повне відро знежиреного молока</t>
  </si>
  <si>
    <t>2125.txt</t>
  </si>
  <si>
    <t>Full Bucket of Skim Milk#just refilled</t>
  </si>
  <si>
    <t>一桶脫脂牛奶#just refilled</t>
  </si>
  <si>
    <t>满桶脱脂牛奶#just refilled</t>
  </si>
  <si>
    <t>Повне відро знежиреного молока#щойно наповнене</t>
  </si>
  <si>
    <t>2126.txt</t>
  </si>
  <si>
    <t>Track Kit with Separated Blade</t>
  </si>
  <si>
    <t>分離鋼條的軌道組件</t>
  </si>
  <si>
    <t>带分离刀片的履带套件</t>
  </si>
  <si>
    <t>Набір гусениць з окремим лезом</t>
  </si>
  <si>
    <t>2127.txt</t>
  </si>
  <si>
    <t>Full Bucket of Salt Water</t>
  </si>
  <si>
    <t>一桶鹽水</t>
  </si>
  <si>
    <t>满满一桶盐水</t>
  </si>
  <si>
    <t>Повне відро солоної води</t>
  </si>
  <si>
    <t>2128.txt</t>
  </si>
  <si>
    <t>Partial Bucket of Salt Water</t>
  </si>
  <si>
    <t>未滿鹽水桶</t>
  </si>
  <si>
    <t>部分盐水桶</t>
  </si>
  <si>
    <t>Часткове відро солоної води</t>
  </si>
  <si>
    <t>2129.txt</t>
  </si>
  <si>
    <t>@ Any Crown</t>
  </si>
  <si>
    <t>2130.txt</t>
  </si>
  <si>
    <t>Gold Ingot# just hammered</t>
  </si>
  <si>
    <t>金錠# just hammered</t>
  </si>
  <si>
    <t>刚锤过的金锭# just hammered</t>
  </si>
  <si>
    <t>Золотий злиток# just hammered</t>
  </si>
  <si>
    <t>2135.txt</t>
  </si>
  <si>
    <t>Rubber Tree</t>
  </si>
  <si>
    <t>橡膠樹</t>
  </si>
  <si>
    <t>橡胶树</t>
  </si>
  <si>
    <t>Каучукове дерево</t>
  </si>
  <si>
    <t>2136.txt</t>
  </si>
  <si>
    <t>Slashed Rubber Tree</t>
  </si>
  <si>
    <t>流出乳膠的橡膠樹</t>
  </si>
  <si>
    <t>被砍倒的橡胶树</t>
  </si>
  <si>
    <t>Порізане каучукове дерево</t>
  </si>
  <si>
    <t>2137.txt</t>
  </si>
  <si>
    <t>Slashed Rubber Tree with Bucket</t>
  </si>
  <si>
    <t>正桶接乳膠的橡膠樹</t>
  </si>
  <si>
    <t>带水桶的砍倒橡胶树</t>
  </si>
  <si>
    <t>Порізане каучукове дерево з відром</t>
  </si>
  <si>
    <t>2138.txt</t>
  </si>
  <si>
    <t>Bowl of Sulfur</t>
  </si>
  <si>
    <t>一碗硫磺</t>
  </si>
  <si>
    <t>Чаша з сіркою</t>
  </si>
  <si>
    <t>2140.txt</t>
  </si>
  <si>
    <t>Hot Spring</t>
  </si>
  <si>
    <t>溫泉</t>
  </si>
  <si>
    <t>温泉</t>
  </si>
  <si>
    <t>Гаряче джерело</t>
  </si>
  <si>
    <t>2141.txt</t>
  </si>
  <si>
    <t>Oil Palm</t>
  </si>
  <si>
    <t>棕櫚樹</t>
  </si>
  <si>
    <t>棕榈树</t>
  </si>
  <si>
    <t>Пальмова олія</t>
  </si>
  <si>
    <t>2142.txt</t>
  </si>
  <si>
    <t>Banana Tree</t>
  </si>
  <si>
    <t>香蕉树</t>
  </si>
  <si>
    <t>2143.txt</t>
  </si>
  <si>
    <t>Banana</t>
  </si>
  <si>
    <t>香蕉</t>
  </si>
  <si>
    <t>Банан</t>
  </si>
  <si>
    <t>2144.txt</t>
  </si>
  <si>
    <t>Banana Peel</t>
  </si>
  <si>
    <t>香蕉皮</t>
  </si>
  <si>
    <t>Бананова шкірка</t>
  </si>
  <si>
    <t>2145.txt</t>
  </si>
  <si>
    <t>Empty Banana Tree</t>
  </si>
  <si>
    <t>空香蕉树</t>
  </si>
  <si>
    <t>2146.txt</t>
  </si>
  <si>
    <t>Bowl of Palm Kernels</t>
  </si>
  <si>
    <t>一碗棕櫚仁</t>
  </si>
  <si>
    <t>一碗棕榈仁</t>
  </si>
  <si>
    <t>Чаша з пальмовими ядрами</t>
  </si>
  <si>
    <t>2147.txt</t>
  </si>
  <si>
    <t>Bowl of Roasted Palm Kernels</t>
  </si>
  <si>
    <t>一碗烤棕櫚仁</t>
  </si>
  <si>
    <t>一碗烤棕榈仁</t>
  </si>
  <si>
    <t>Чаша смажених пальмових ядер</t>
  </si>
  <si>
    <t>2148.txt</t>
  </si>
  <si>
    <t>Bowl of Crushed Palm Kernels</t>
  </si>
  <si>
    <t>一碗碎棕櫚仁</t>
  </si>
  <si>
    <t>一碗碎棕榈仁</t>
  </si>
  <si>
    <t>Миска подрібнених пальмових ядер</t>
  </si>
  <si>
    <t>2149.txt</t>
  </si>
  <si>
    <t>Bowl of Separating Palm Oil</t>
  </si>
  <si>
    <t>一碗分离棕榈油</t>
  </si>
  <si>
    <t>2150.txt</t>
  </si>
  <si>
    <t>Bowl of Soaking Palm Kernels</t>
  </si>
  <si>
    <t>一碗浸泡的棕榈核</t>
  </si>
  <si>
    <t>2151.txt</t>
  </si>
  <si>
    <t>Bowl of Palm Oil</t>
  </si>
  <si>
    <t>一碗棕榈油</t>
  </si>
  <si>
    <t>2152.txt</t>
  </si>
  <si>
    <t>Empty Oil Palm</t>
  </si>
  <si>
    <t>空棕櫚樹</t>
  </si>
  <si>
    <t>空的棕榈树</t>
  </si>
  <si>
    <t>Порожня пальмова олія</t>
  </si>
  <si>
    <t>2153.txt</t>
  </si>
  <si>
    <t>Jaundice Head</t>
  </si>
  <si>
    <t>黃疸頭</t>
  </si>
  <si>
    <t>黄疸头</t>
  </si>
  <si>
    <t>Жовтяниця Голова</t>
  </si>
  <si>
    <t>2154.txt</t>
  </si>
  <si>
    <t>Jaundice Body</t>
  </si>
  <si>
    <t>黃疸體</t>
  </si>
  <si>
    <t>黄疸身体</t>
  </si>
  <si>
    <t>Жовтяниця тіла</t>
  </si>
  <si>
    <t>2155.txt</t>
  </si>
  <si>
    <t>Yellow Fever# sick emot_7_35  food_0.3 fever_15</t>
  </si>
  <si>
    <t>黃熱病# sick emot_7_35  food_0.3 fever_15</t>
  </si>
  <si>
    <t>黄热病# sick emot_7_35  food_0.3 fever_15</t>
  </si>
  <si>
    <t>Жовта лихоманка# sick emot_7_35  food_0.3 fever_15</t>
  </si>
  <si>
    <t>2156.txt</t>
  </si>
  <si>
    <t>Mosquito Swarm</t>
  </si>
  <si>
    <t>蚊蟲群</t>
  </si>
  <si>
    <t>蚊子群</t>
  </si>
  <si>
    <t>Комарів рій</t>
  </si>
  <si>
    <t>2157.txt</t>
  </si>
  <si>
    <t>Mosquito Swarm#just bit</t>
  </si>
  <si>
    <t>蚊蟲群#just bit</t>
  </si>
  <si>
    <t>蚊子群#just bit</t>
  </si>
  <si>
    <t>Зграя комарів#just bit</t>
  </si>
  <si>
    <t>2158.txt</t>
  </si>
  <si>
    <t>Slashed Rubber Tree with Full Bucket</t>
  </si>
  <si>
    <t>帶滿桶的有劃口橡膠樹</t>
  </si>
  <si>
    <t>满桶的砍倒橡胶树</t>
  </si>
  <si>
    <t>Порізане каучукове дерево з повним відром</t>
  </si>
  <si>
    <t>2159.txt</t>
  </si>
  <si>
    <t>Rubber Tree with Sealed Slash</t>
  </si>
  <si>
    <t>有劃口的橡膠樹</t>
  </si>
  <si>
    <t>密封板条橡胶树</t>
  </si>
  <si>
    <t>Каучукове дерево із запечатаною косою лінією</t>
  </si>
  <si>
    <t>2160.txt</t>
  </si>
  <si>
    <t>Bucket of Liquid Latex</t>
  </si>
  <si>
    <t>液態乳膠桶</t>
  </si>
  <si>
    <t>一桶液态乳胶</t>
  </si>
  <si>
    <t>Відро з рідким латексом</t>
  </si>
  <si>
    <t>2161.txt</t>
  </si>
  <si>
    <t>Bucket of Coagulated Latex</t>
  </si>
  <si>
    <t>凝結乳膠桶</t>
  </si>
  <si>
    <t>凝结乳胶桶</t>
  </si>
  <si>
    <t>Відро коагулятного латексу</t>
  </si>
  <si>
    <t>2162.txt</t>
  </si>
  <si>
    <t>Bucket of Sulfured Latex</t>
  </si>
  <si>
    <t>硫化乳膠桶</t>
  </si>
  <si>
    <t>一桶硫化乳胶</t>
  </si>
  <si>
    <t>Відро сульфурованого латексу</t>
  </si>
  <si>
    <t>2163.txt</t>
  </si>
  <si>
    <t>Bucket of Oiled and Sulfured Latex</t>
  </si>
  <si>
    <t>油浸硫化乳膠桶</t>
  </si>
  <si>
    <t>一桶含油和硫化乳胶</t>
  </si>
  <si>
    <t>Відро промасленого та сірченого латексу</t>
  </si>
  <si>
    <t>2164.txt</t>
  </si>
  <si>
    <t>Bucket of Rubber Dough</t>
  </si>
  <si>
    <t>一桶橡膠團</t>
  </si>
  <si>
    <t>一桶橡胶面团</t>
  </si>
  <si>
    <t>Відро гумового тіста</t>
  </si>
  <si>
    <t>2165.txt</t>
  </si>
  <si>
    <t>Bowl with Raw Rubber Ball</t>
  </si>
  <si>
    <t>一碗生橡膠球</t>
  </si>
  <si>
    <t>带生橡胶球的碗</t>
  </si>
  <si>
    <t>Чаша з сирим гумовим м'ячем</t>
  </si>
  <si>
    <t>2166.txt</t>
  </si>
  <si>
    <t>Raw Rubber Tire</t>
  </si>
  <si>
    <t>生橡膠胎</t>
  </si>
  <si>
    <t>生橡胶轮胎</t>
  </si>
  <si>
    <t>Сирова гумова шина</t>
  </si>
  <si>
    <t>2167.txt</t>
  </si>
  <si>
    <t>Bowl with Vulcanized Rubber Ball</t>
  </si>
  <si>
    <t>一碗硫化橡膠球</t>
  </si>
  <si>
    <t>带硫化橡胶球的碗</t>
  </si>
  <si>
    <t>Миска з м'ячем з вулканізованої гуми</t>
  </si>
  <si>
    <t>2168.txt</t>
  </si>
  <si>
    <t>Vulcanized Rubber Tire</t>
  </si>
  <si>
    <t>硫化橡膠胎</t>
  </si>
  <si>
    <t>硫化橡胶轮胎</t>
  </si>
  <si>
    <t>Вулканізована гумова шина</t>
  </si>
  <si>
    <t>2169.txt</t>
  </si>
  <si>
    <t>Two Rubber Tires</t>
  </si>
  <si>
    <t>兩個橡膠胎</t>
  </si>
  <si>
    <t>两个橡胶轮胎</t>
  </si>
  <si>
    <t>Дві гумові шини</t>
  </si>
  <si>
    <t>2170.txt</t>
  </si>
  <si>
    <t>Rubber Ball# held</t>
  </si>
  <si>
    <t>橡膠球# held</t>
  </si>
  <si>
    <t>橡胶球# held</t>
  </si>
  <si>
    <t>Гумовий м'яч # held</t>
  </si>
  <si>
    <t>2171.txt</t>
  </si>
  <si>
    <t>Rubber Ball# bouncing</t>
  </si>
  <si>
    <t>橡膠球# bouncing</t>
  </si>
  <si>
    <t>橡皮球# bouncing</t>
  </si>
  <si>
    <t>Гумовий м'яч # підстрибує</t>
  </si>
  <si>
    <t>2172.txt</t>
  </si>
  <si>
    <t>Hand Cart with Tires</t>
  </si>
  <si>
    <t>橡膠輪手推車</t>
  </si>
  <si>
    <t>带轮胎的手推车</t>
  </si>
  <si>
    <t>Ручний візок з шинами</t>
  </si>
  <si>
    <t>2173.txt</t>
  </si>
  <si>
    <t>Sulfur-Free Hot Spring</t>
  </si>
  <si>
    <t>無硫溫泉</t>
  </si>
  <si>
    <t>无硫温泉</t>
  </si>
  <si>
    <t>Гаряче джерело без сірки</t>
  </si>
  <si>
    <t>2174.txt</t>
  </si>
  <si>
    <t>Turkey</t>
  </si>
  <si>
    <t>火雞</t>
  </si>
  <si>
    <t>火鸡</t>
  </si>
  <si>
    <t>Туреччина</t>
  </si>
  <si>
    <t>2175.txt</t>
  </si>
  <si>
    <t>Turkey# just poked</t>
  </si>
  <si>
    <t>火雞# just poked</t>
  </si>
  <si>
    <t>火鸡# just poked</t>
  </si>
  <si>
    <t>Туреччина # just poked</t>
  </si>
  <si>
    <t>2176.txt</t>
  </si>
  <si>
    <t>Shot Turkey# with Arrow</t>
  </si>
  <si>
    <t>被射中的火雞# with Arrow</t>
  </si>
  <si>
    <t>用箭射中火鸡# with Arrow</t>
  </si>
  <si>
    <t>Постріл Туреччини # with Arrow</t>
  </si>
  <si>
    <t>2177.txt</t>
  </si>
  <si>
    <t>Shot Turkey# no arrow</t>
  </si>
  <si>
    <t>被射中的火雞# no arrow</t>
  </si>
  <si>
    <t>射杀火鸡# no arrow</t>
  </si>
  <si>
    <t>Постріл Туреччина# no arrow</t>
  </si>
  <si>
    <t>2178.txt</t>
  </si>
  <si>
    <t>Turkey Feather</t>
  </si>
  <si>
    <t>火雞羽毛</t>
  </si>
  <si>
    <t>火鸡羽毛</t>
  </si>
  <si>
    <t>Перо Туреччини</t>
  </si>
  <si>
    <t>2179.txt</t>
  </si>
  <si>
    <t>Shot Turkey# no feathers</t>
  </si>
  <si>
    <t>被射中的火雞# no feathers</t>
  </si>
  <si>
    <t>射杀火鸡# no feathers</t>
  </si>
  <si>
    <t>Прострелена Туреччина# no feathers</t>
  </si>
  <si>
    <t>2180.txt</t>
  </si>
  <si>
    <t>Rabbit Fur Hat with Feather</t>
  </si>
  <si>
    <t>帶羽毛的兔皮帽</t>
  </si>
  <si>
    <t>兔毛羽毛帽</t>
  </si>
  <si>
    <t>Кроляча шапка з пір'ям</t>
  </si>
  <si>
    <t>2181.txt</t>
  </si>
  <si>
    <t>Straw Hat with Feather</t>
  </si>
  <si>
    <t>帶羽毛的草帽</t>
  </si>
  <si>
    <t>羽毛草帽</t>
  </si>
  <si>
    <t>Солом'яний капелюх з пером</t>
  </si>
  <si>
    <t>2182.txt</t>
  </si>
  <si>
    <t>Plucked Turkey</t>
  </si>
  <si>
    <t>去毛火雞</t>
  </si>
  <si>
    <t>被掠夺的火鸡</t>
  </si>
  <si>
    <t>Ощипана індичка</t>
  </si>
  <si>
    <t>2183.txt</t>
  </si>
  <si>
    <t>Plucked Turkey on Plate</t>
  </si>
  <si>
    <t>盘子里的火鸡</t>
  </si>
  <si>
    <t>2184.txt</t>
  </si>
  <si>
    <t>Roasting Turkey</t>
  </si>
  <si>
    <t>烤火雞</t>
  </si>
  <si>
    <t>烤火鸡</t>
  </si>
  <si>
    <t>Смаження індички</t>
  </si>
  <si>
    <t>2185.txt</t>
  </si>
  <si>
    <t>Cooked Turkey</t>
  </si>
  <si>
    <t>烤好的火雞</t>
  </si>
  <si>
    <t>熟火鸡</t>
  </si>
  <si>
    <t>Варена індичка</t>
  </si>
  <si>
    <t>2186.txt</t>
  </si>
  <si>
    <t>Cooked Turkey on Plate</t>
  </si>
  <si>
    <t>锅中火鸡</t>
  </si>
  <si>
    <t>2187.txt</t>
  </si>
  <si>
    <t>Carved Turkey on Plate</t>
  </si>
  <si>
    <t>板雕火鸡</t>
  </si>
  <si>
    <t>2188.txt</t>
  </si>
  <si>
    <t>Drum Sticks on Plate</t>
  </si>
  <si>
    <t>鼓粘在板上</t>
  </si>
  <si>
    <t>2189.txt</t>
  </si>
  <si>
    <t>Turkey Carcass on Plate</t>
  </si>
  <si>
    <t>盘子里的火鸡尸体</t>
  </si>
  <si>
    <t>2190.txt</t>
  </si>
  <si>
    <t>Turkey Slice</t>
  </si>
  <si>
    <t>火鸡切片</t>
  </si>
  <si>
    <t>2191.txt</t>
  </si>
  <si>
    <t>Turkey Drumstick</t>
  </si>
  <si>
    <t>火雞腿</t>
  </si>
  <si>
    <t>火鸡腿</t>
  </si>
  <si>
    <t>Гомілка індички</t>
  </si>
  <si>
    <t>2192.txt</t>
  </si>
  <si>
    <t>Turkey Leg Bone</t>
  </si>
  <si>
    <t>火雞腿骨</t>
  </si>
  <si>
    <t>火鸡腿骨</t>
  </si>
  <si>
    <t>Індича ніжка</t>
  </si>
  <si>
    <t>2193.txt</t>
  </si>
  <si>
    <t>Drum Stick on Plate</t>
  </si>
  <si>
    <t>滚筒粘在板上</t>
  </si>
  <si>
    <t>2194.txt</t>
  </si>
  <si>
    <t>Crock with Turkey Bones</t>
  </si>
  <si>
    <t>火雞骨鍋</t>
  </si>
  <si>
    <t>火鸡骨头</t>
  </si>
  <si>
    <t>Глиняний посуд з кістками індички</t>
  </si>
  <si>
    <t>2195.txt</t>
  </si>
  <si>
    <t>Soaking Turkey Bones</t>
  </si>
  <si>
    <t>浸泡中的火雞湯</t>
  </si>
  <si>
    <t>浸泡的火鸡骨头</t>
  </si>
  <si>
    <t>Замочування індичих кісток</t>
  </si>
  <si>
    <t>2196.txt</t>
  </si>
  <si>
    <t>Cooking Turkey Broth</t>
  </si>
  <si>
    <t>烹飪中的火雞湯</t>
  </si>
  <si>
    <t>烹饪火鸡肉汤</t>
  </si>
  <si>
    <t>Приготування бульйону з індички</t>
  </si>
  <si>
    <t>2197.txt</t>
  </si>
  <si>
    <t>Turkey Broth</t>
  </si>
  <si>
    <t>火雞湯</t>
  </si>
  <si>
    <t>火鸡肉汤</t>
  </si>
  <si>
    <t>Бульйон з індички</t>
  </si>
  <si>
    <t>2198.txt</t>
  </si>
  <si>
    <t>Bowl of Turkey Broth</t>
  </si>
  <si>
    <t>一碗火鸡肉汤</t>
  </si>
  <si>
    <t>2200.txt</t>
  </si>
  <si>
    <t>Turkey Bones on Plate</t>
  </si>
  <si>
    <t>盘子里的火鸡骨头</t>
  </si>
  <si>
    <t>2201.txt</t>
  </si>
  <si>
    <t>Partial Turkey Bones on Plate</t>
  </si>
  <si>
    <t>盘子里的部分火鸡骨头</t>
  </si>
  <si>
    <t>2202.txt</t>
  </si>
  <si>
    <t>Hot Wrought Iron#flat rock</t>
  </si>
  <si>
    <t>熱鍛鐵#flat rock</t>
  </si>
  <si>
    <t>热锻铁#flat rock</t>
  </si>
  <si>
    <t>Гаряче ковано залізо#flat rock</t>
  </si>
  <si>
    <t>2204.txt</t>
  </si>
  <si>
    <t>Hot Piston#flat rock</t>
  </si>
  <si>
    <t>熱活塞#flat rock</t>
  </si>
  <si>
    <t>热活塞#flat rock</t>
  </si>
  <si>
    <t>Гарячий поршень#flat rock</t>
  </si>
  <si>
    <t>2205.txt</t>
  </si>
  <si>
    <t>Hot Cylinder#flat rock</t>
  </si>
  <si>
    <t>熱汽缸#flat rock</t>
  </si>
  <si>
    <t>热缸#flat rock</t>
  </si>
  <si>
    <t>Гарячий циліндр#flat rock</t>
  </si>
  <si>
    <t>2206.txt</t>
  </si>
  <si>
    <t>Hot Tank#flat rock</t>
  </si>
  <si>
    <t>热罐#flat rock</t>
  </si>
  <si>
    <t>2208.txt</t>
  </si>
  <si>
    <t>Tank on Flat Rock</t>
  </si>
  <si>
    <t>平坦岩石上的坦克</t>
  </si>
  <si>
    <t>2209.txt</t>
  </si>
  <si>
    <t>Crude Piston on Flat Rock</t>
  </si>
  <si>
    <t>扁石上的粗活塞</t>
  </si>
  <si>
    <t>平坦岩石上的粗活塞</t>
  </si>
  <si>
    <t>Сирий поршень на Флет-Рок</t>
  </si>
  <si>
    <t>2210.txt</t>
  </si>
  <si>
    <t>Crude Cylinder on Flat Rock</t>
  </si>
  <si>
    <t>扁石上的粗汽缸</t>
  </si>
  <si>
    <t>平板岩石上的粗圆柱体</t>
  </si>
  <si>
    <t>Сирий циліндр на плоскому камені</t>
  </si>
  <si>
    <t>2211.txt</t>
  </si>
  <si>
    <t>Crude Cylinder</t>
  </si>
  <si>
    <t>粗汽缸</t>
  </si>
  <si>
    <t>原油钢瓶</t>
  </si>
  <si>
    <t>Сирий циліндр</t>
  </si>
  <si>
    <t>2212.txt</t>
  </si>
  <si>
    <t>Crude Piston</t>
  </si>
  <si>
    <t>粗活塞</t>
  </si>
  <si>
    <t>Сирий поршень</t>
  </si>
  <si>
    <t>2213.txt</t>
  </si>
  <si>
    <t>Boiler</t>
  </si>
  <si>
    <t>鍋爐</t>
  </si>
  <si>
    <t>锅炉</t>
  </si>
  <si>
    <t>Котел</t>
  </si>
  <si>
    <t>2214.txt</t>
  </si>
  <si>
    <t>Two Curved Shafts</t>
  </si>
  <si>
    <t>兩個彎木棍</t>
  </si>
  <si>
    <t>两个弯曲的轴</t>
  </si>
  <si>
    <t>Два вигнутих вала</t>
  </si>
  <si>
    <t>2215.txt</t>
  </si>
  <si>
    <t>Pump Beam Kit</t>
  </si>
  <si>
    <t>泵梁組件</t>
  </si>
  <si>
    <t>泵梁套件</t>
  </si>
  <si>
    <t>Набір пучка насоса</t>
  </si>
  <si>
    <t>2216.txt</t>
  </si>
  <si>
    <t>Hot Wrought Iron</t>
  </si>
  <si>
    <t>熱鍛鐵</t>
  </si>
  <si>
    <t>热锻铁</t>
  </si>
  <si>
    <t>Гаряче кованого заліза</t>
  </si>
  <si>
    <t>2217.txt</t>
  </si>
  <si>
    <t>Hot Wrought Iron in Wooden Tongs</t>
  </si>
  <si>
    <t>被木鉗夾著的熱鍛鐵</t>
  </si>
  <si>
    <t>木钳热锻铁</t>
  </si>
  <si>
    <t>Гаряче ковані дерев'яні щипці</t>
  </si>
  <si>
    <t>2218.txt</t>
  </si>
  <si>
    <t>Wooden Tongs#cool wrought iron</t>
  </si>
  <si>
    <t>被木鉗夾著的冷鍛鐵#cool wrought iron</t>
  </si>
  <si>
    <t>木钳#cool wrought iron</t>
  </si>
  <si>
    <t>Дерев'яні щипці#cool wrought iron</t>
  </si>
  <si>
    <t>2219.txt</t>
  </si>
  <si>
    <t>Crude Piston with Seal</t>
  </si>
  <si>
    <t>密封的粗活塞</t>
  </si>
  <si>
    <t>带密封的粗活塞</t>
  </si>
  <si>
    <t>Необроблений поршень з ущільненням</t>
  </si>
  <si>
    <t>2220.txt</t>
  </si>
  <si>
    <t>Dry Newcomen Pump</t>
  </si>
  <si>
    <t>乾的紐科門蒸汽泵</t>
  </si>
  <si>
    <t>干式纽科门泵</t>
  </si>
  <si>
    <t>Сухий насос Newcomen</t>
  </si>
  <si>
    <t>2221.txt</t>
  </si>
  <si>
    <t>Newcomen Pump with Full Boiler</t>
  </si>
  <si>
    <t>鍋爐裝滿水的紐科門蒸汽泵</t>
  </si>
  <si>
    <t>Newcomen全锅炉泵</t>
  </si>
  <si>
    <t>Насос Newcomen з повним котлом</t>
  </si>
  <si>
    <t>2222.txt</t>
  </si>
  <si>
    <t>Newcomen Pump with Charcoal</t>
  </si>
  <si>
    <t>裝滿木炭的紐科門蒸汽泵</t>
  </si>
  <si>
    <t>Newcomen木炭泵</t>
  </si>
  <si>
    <t>Насос Newcomen з вугіллям</t>
  </si>
  <si>
    <t>2224.txt</t>
  </si>
  <si>
    <t>Firing Newcomen Pump</t>
  </si>
  <si>
    <t>射击Newcomen泵</t>
  </si>
  <si>
    <t>2226.txt</t>
  </si>
  <si>
    <t>Newcomen Pump without Rope</t>
  </si>
  <si>
    <t>沒有繩子的紐科門蒸汽泵</t>
  </si>
  <si>
    <t>纽科门无绳索泵</t>
  </si>
  <si>
    <t>Насос Newcomen без троса</t>
  </si>
  <si>
    <t>2227.txt</t>
  </si>
  <si>
    <t>Boiler with Cylinder</t>
  </si>
  <si>
    <t>帶汽缸鍋爐</t>
  </si>
  <si>
    <t>带气缸的锅炉</t>
  </si>
  <si>
    <t>Котел з циліндром</t>
  </si>
  <si>
    <t>2228.txt</t>
  </si>
  <si>
    <t>Newcomen Atmospheric Core</t>
  </si>
  <si>
    <t>紐科門蒸汽通氣芯</t>
  </si>
  <si>
    <t>纽科门大气核心</t>
  </si>
  <si>
    <t>Атмосферне ядро Ньюкомена</t>
  </si>
  <si>
    <t>2229.txt</t>
  </si>
  <si>
    <t>Newcomen Pump Tower</t>
  </si>
  <si>
    <t>紐科門蒸汽泵塔</t>
  </si>
  <si>
    <t>纽科门泵站</t>
  </si>
  <si>
    <t>Насосна вежа Ньюкомен</t>
  </si>
  <si>
    <t>2230.txt</t>
  </si>
  <si>
    <t>Newcomen Tower</t>
  </si>
  <si>
    <t>紐科門蒸汽機器塔</t>
  </si>
  <si>
    <t>纽科门大厦</t>
  </si>
  <si>
    <t>Вежа Ньюкомен</t>
  </si>
  <si>
    <t>2231.txt</t>
  </si>
  <si>
    <t>Newcomen Tower Foundation# 3</t>
  </si>
  <si>
    <t>紐科門蒸汽機器塔基座# 3</t>
  </si>
  <si>
    <t>纽科门塔基础# 3</t>
  </si>
  <si>
    <t>Newcomen Tower Foundation # 3</t>
  </si>
  <si>
    <t>2232.txt</t>
  </si>
  <si>
    <t>Newcomen Tower Foundation# 2</t>
  </si>
  <si>
    <t>紐科門蒸汽機器塔基座# 2</t>
  </si>
  <si>
    <t>纽科门塔基础# 2</t>
  </si>
  <si>
    <t>Newcomen Tower Foundation # 2</t>
  </si>
  <si>
    <t>2233.txt</t>
  </si>
  <si>
    <t>Newcomen Tower Foundation# 1</t>
  </si>
  <si>
    <t>紐科門蒸汽機器塔基座# 1</t>
  </si>
  <si>
    <t>Newcomen Tower Foundation # 1</t>
  </si>
  <si>
    <t>2234.txt</t>
  </si>
  <si>
    <t>Wet Newcomen Pump</t>
  </si>
  <si>
    <t>溼的紐科門蒸汽泵</t>
  </si>
  <si>
    <t>Newcomen湿式泵</t>
  </si>
  <si>
    <t>Насос Wet Newcomen</t>
  </si>
  <si>
    <t>2235.txt</t>
  </si>
  <si>
    <t>Tutorial Stone# tutorial 2701</t>
  </si>
  <si>
    <t>教程石# tutorial 2701</t>
  </si>
  <si>
    <t>教程石头# tutorial 2701</t>
  </si>
  <si>
    <t>Підручник Stone# tutorial 2701</t>
  </si>
  <si>
    <t>2236.txt</t>
  </si>
  <si>
    <t>Tutorial Stone# tutorial 2201</t>
  </si>
  <si>
    <t>教程石# tutorial 2201</t>
  </si>
  <si>
    <t>教程石头# tutorial 2201</t>
  </si>
  <si>
    <t>Підручник Stone# tutorial 2201</t>
  </si>
  <si>
    <t>2238.txt</t>
  </si>
  <si>
    <t>Firing Newcomen Hammer</t>
  </si>
  <si>
    <t>发射纽科门锤</t>
  </si>
  <si>
    <t>2239.txt</t>
  </si>
  <si>
    <t>Newcomen Tower Stakes</t>
  </si>
  <si>
    <t>紐科門機器塔樁</t>
  </si>
  <si>
    <t>纽科门机器塔桩</t>
  </si>
  <si>
    <t>2240.txt</t>
  </si>
  <si>
    <t>Newcomen Hammer</t>
  </si>
  <si>
    <t>紐科門蒸汽鍛造錘</t>
  </si>
  <si>
    <t>纽科门蒸汽锻造锤</t>
  </si>
  <si>
    <t>Молот Ньюкомена</t>
  </si>
  <si>
    <t>2241.txt</t>
  </si>
  <si>
    <t>Newcomen Hammer with Full Boiler</t>
  </si>
  <si>
    <t>鍋爐裝滿水的紐科門蒸汽鍛造錘</t>
  </si>
  <si>
    <t>锅炉装满水的纽科门蒸汽锻造锤</t>
  </si>
  <si>
    <t>Newcomen Hammer з повним котлом</t>
  </si>
  <si>
    <t>2242.txt</t>
  </si>
  <si>
    <t>Newcomen Hammer with Charcoal</t>
  </si>
  <si>
    <t>纽科门木炭锤</t>
  </si>
  <si>
    <t>2243.txt</t>
  </si>
  <si>
    <t>Multipurpose Newcomen Engine</t>
  </si>
  <si>
    <t>多用途紐科門蒸汽引擎</t>
  </si>
  <si>
    <t>多用途纽科门蒸汽引擎</t>
  </si>
  <si>
    <t>Багатоцільовий двигун Newcomen</t>
  </si>
  <si>
    <t>2244.txt</t>
  </si>
  <si>
    <t>Newcomen Engine without Shaft</t>
  </si>
  <si>
    <t>沒有木棍的紐科門蒸汽引擎</t>
  </si>
  <si>
    <t>没有木棍的纽科门蒸汽引擎</t>
  </si>
  <si>
    <t>Двигун Newcomen без вала</t>
  </si>
  <si>
    <t>2245.txt</t>
  </si>
  <si>
    <t>Newcomen Engine without Rope</t>
  </si>
  <si>
    <t>沒有繩子的紐科門蒸汽引擎</t>
  </si>
  <si>
    <t>没有绳子的纽科门蒸汽引擎</t>
  </si>
  <si>
    <t>Двигун Newcomen без троса</t>
  </si>
  <si>
    <t>2246.txt</t>
  </si>
  <si>
    <t>Newcomen Engine Tower</t>
  </si>
  <si>
    <t>紐科門蒸汽引擎塔</t>
  </si>
  <si>
    <t>纽科门蒸汽引擎塔</t>
  </si>
  <si>
    <t>Моторна вежа Newcomen</t>
  </si>
  <si>
    <t>2247.txt</t>
  </si>
  <si>
    <t>Freestanding Newcomen Tower</t>
  </si>
  <si>
    <t>獨立式紐科門蒸汽塔</t>
  </si>
  <si>
    <t>独立式纽科门蒸汽塔</t>
  </si>
  <si>
    <t>Окремо стояча вежа Ньюкомен</t>
  </si>
  <si>
    <t>2248.txt</t>
  </si>
  <si>
    <t>Freestanding Newcomen Foundation# 3</t>
  </si>
  <si>
    <t>獨立式紐科門蒸汽基座# 3</t>
  </si>
  <si>
    <t>独立式纽科门蒸汽基座# 3</t>
  </si>
  <si>
    <t>Окремо стоячий фонд Ньюкомена # 3</t>
  </si>
  <si>
    <t>2249.txt</t>
  </si>
  <si>
    <t>Freestanding Newcomen Foundation# 2</t>
  </si>
  <si>
    <t>獨立式紐科門蒸汽基座# 2</t>
  </si>
  <si>
    <t>独立式纽科门蒸汽基座# 2</t>
  </si>
  <si>
    <t>Окремо стоячий фонд Ньюкомена # 2</t>
  </si>
  <si>
    <t>2250.txt</t>
  </si>
  <si>
    <t>Freestanding Newcomen Foundation# 1</t>
  </si>
  <si>
    <t>獨立式紐科門蒸汽基座# 1</t>
  </si>
  <si>
    <t>独立式纽科门蒸汽基座# 1</t>
  </si>
  <si>
    <t>Окремо стоячий фонд Ньюкомена # 1</t>
  </si>
  <si>
    <t>2251.txt</t>
  </si>
  <si>
    <t>Crude Piston on Flat Rock# just placed</t>
  </si>
  <si>
    <t>扁石上的粗活塞# just placed</t>
  </si>
  <si>
    <t>Необроблений поршень на Flat Rock# just placed</t>
  </si>
  <si>
    <t>2252.txt</t>
  </si>
  <si>
    <t>Hot Small Pulley in Wooden Tongs</t>
  </si>
  <si>
    <t>被木鉗夾著的熱小滑輪</t>
  </si>
  <si>
    <t>被木钳夹着的热小滑轮</t>
  </si>
  <si>
    <t>Гарячий маленький шків у дерев'яних щипцях</t>
  </si>
  <si>
    <t>2253.txt</t>
  </si>
  <si>
    <t>Hot Large Pulley in Wooden Tongs</t>
  </si>
  <si>
    <t>被木鉗夾著的熱大滑輪</t>
  </si>
  <si>
    <t>被木钳夹着的热大滑轮</t>
  </si>
  <si>
    <t>Гарячий великий шків у дерев'яних щипцях</t>
  </si>
  <si>
    <t>2254.txt</t>
  </si>
  <si>
    <t>Small Pulley in Wooden Tongs</t>
  </si>
  <si>
    <t>被木鉗夾著的小滑輪</t>
  </si>
  <si>
    <t>被木钳夹着的小滑轮</t>
  </si>
  <si>
    <t>Маленький шків у дерев'яних щипцях</t>
  </si>
  <si>
    <t>2255.txt</t>
  </si>
  <si>
    <t>Large Pulley in Wooden Tongs</t>
  </si>
  <si>
    <t>被木鉗夾著的大滑輪</t>
  </si>
  <si>
    <t>被木钳夹着的大滑轮</t>
  </si>
  <si>
    <t>Великий шків у дерев'яних щипцях</t>
  </si>
  <si>
    <t>2256.txt</t>
  </si>
  <si>
    <t>Large Pulley</t>
  </si>
  <si>
    <t>大滑輪</t>
  </si>
  <si>
    <t>大滑轮</t>
  </si>
  <si>
    <t>Великий шків</t>
  </si>
  <si>
    <t>2257.txt</t>
  </si>
  <si>
    <t>Small Pulley</t>
  </si>
  <si>
    <t>小滑輪</t>
  </si>
  <si>
    <t>小滑轮</t>
  </si>
  <si>
    <t>Малий шків</t>
  </si>
  <si>
    <t>2258.txt</t>
  </si>
  <si>
    <t>Hot Small Pulley</t>
  </si>
  <si>
    <t>熱的小滑輪</t>
  </si>
  <si>
    <t>热的小滑轮</t>
  </si>
  <si>
    <t>Гарячий малий шків</t>
  </si>
  <si>
    <t>2259.txt</t>
  </si>
  <si>
    <t>Hot Large Pulley</t>
  </si>
  <si>
    <t>熱的大滑輪</t>
  </si>
  <si>
    <t>热的大滑轮</t>
  </si>
  <si>
    <t>Гарячий великий шків</t>
  </si>
  <si>
    <t>2260.txt</t>
  </si>
  <si>
    <t>Hot Large Pulley in Wooden Tongs# grab</t>
  </si>
  <si>
    <t>被木鉗夾著的熱大滑輪# grab</t>
  </si>
  <si>
    <t>被木钳夹着的热大滑轮# grab</t>
  </si>
  <si>
    <t>Гарячий великий шків у дерев'яних щипцях# grab</t>
  </si>
  <si>
    <t>2261.txt</t>
  </si>
  <si>
    <t>Hot Small Pulley in Wooden Tongs# grab</t>
  </si>
  <si>
    <t>被木鉗夾著的熱小滑輪# grab</t>
  </si>
  <si>
    <t>被木钳夹着的热小滑轮# grab</t>
  </si>
  <si>
    <t>Гарячий невеликий шків у дерев'яних щипцях# grab</t>
  </si>
  <si>
    <t>2262.txt</t>
  </si>
  <si>
    <t>Pulley Drive Mechanism</t>
  </si>
  <si>
    <t>滑輪驅動裝置</t>
  </si>
  <si>
    <t>滑轮驱动装置</t>
  </si>
  <si>
    <t>Механізм приводу шківа</t>
  </si>
  <si>
    <t>2263.txt</t>
  </si>
  <si>
    <t>Roller Mechanism</t>
  </si>
  <si>
    <t>滾筒裝置</t>
  </si>
  <si>
    <t>滚筒装置</t>
  </si>
  <si>
    <t>Роликовий механізм</t>
  </si>
  <si>
    <t>2264.txt</t>
  </si>
  <si>
    <t>Partial Pulley Mechanism</t>
  </si>
  <si>
    <t>不完整的滑輪裝置</t>
  </si>
  <si>
    <t>不完整的滑轮装置</t>
  </si>
  <si>
    <t>Частковий шківний механізм</t>
  </si>
  <si>
    <t>2265.txt</t>
  </si>
  <si>
    <t>Disconnected Pulley Drive Mechanism</t>
  </si>
  <si>
    <t>斷開的滑輪驅動裝置</t>
  </si>
  <si>
    <t>断开的滑轮驱动装置</t>
  </si>
  <si>
    <t>Відключений механізм приводу шківа</t>
  </si>
  <si>
    <t>2266.txt</t>
  </si>
  <si>
    <t>Vulcanized Rubber Belt</t>
  </si>
  <si>
    <t>硫化橡膠帶</t>
  </si>
  <si>
    <t>硫化橡胶带</t>
  </si>
  <si>
    <t>Ремінь з вулканізованої гуми</t>
  </si>
  <si>
    <t>2267.txt</t>
  </si>
  <si>
    <t>Raw Rubber Belt</t>
  </si>
  <si>
    <t>生橡膠帶</t>
  </si>
  <si>
    <t>生橡胶带</t>
  </si>
  <si>
    <t>Сирий гумовий пояс</t>
  </si>
  <si>
    <t>2268.txt</t>
  </si>
  <si>
    <t>Bore Mechanism</t>
  </si>
  <si>
    <t>鑽孔裝置</t>
  </si>
  <si>
    <t>钻孔装置</t>
  </si>
  <si>
    <t>Механізм отвору</t>
  </si>
  <si>
    <t>2269.txt</t>
  </si>
  <si>
    <t>Pulley Drive Mechanism# detached</t>
  </si>
  <si>
    <t>滑輪驅動裝置# detached</t>
  </si>
  <si>
    <t>滑轮驱动装置# detached</t>
  </si>
  <si>
    <t>Механізм приводу шківа# detached</t>
  </si>
  <si>
    <t>2270.txt</t>
  </si>
  <si>
    <t>Newcomen Bore</t>
  </si>
  <si>
    <t>紐科門蒸汽鑽孔機</t>
  </si>
  <si>
    <t>纽科门蒸汽钻孔机</t>
  </si>
  <si>
    <t>Ньюкомен Боре</t>
  </si>
  <si>
    <t>2271.txt</t>
  </si>
  <si>
    <t>Firing Newcomen Bore</t>
  </si>
  <si>
    <t>射击Newcomen炮膛</t>
  </si>
  <si>
    <t>2274.txt</t>
  </si>
  <si>
    <t>Newcomen Bore with Full Boiler</t>
  </si>
  <si>
    <t>鍋爐裝滿水的紐科門蒸汽鑽孔機</t>
  </si>
  <si>
    <t>Newcomen全锅炉膛</t>
  </si>
  <si>
    <t>Newcomen Bore з повним котлом</t>
  </si>
  <si>
    <t>2275.txt</t>
  </si>
  <si>
    <t>Newcomen Bore with Charcoal</t>
  </si>
  <si>
    <t>木炭Newcomen Bore</t>
  </si>
  <si>
    <t>2276.txt</t>
  </si>
  <si>
    <t>Bore Mechanism# just grabbed</t>
  </si>
  <si>
    <t>鑽孔裝置# just grabbed</t>
  </si>
  <si>
    <t>钻孔机构# just grabbed</t>
  </si>
  <si>
    <t>Механізм отвору# just grabbed</t>
  </si>
  <si>
    <t>2277.txt</t>
  </si>
  <si>
    <t>Firing Newcomen Roller</t>
  </si>
  <si>
    <t>射击Newcomen滚轴</t>
  </si>
  <si>
    <t>2278.txt</t>
  </si>
  <si>
    <t>Roller Mechanism# just grabbed</t>
  </si>
  <si>
    <t>滾筒裝置# just grabbed</t>
  </si>
  <si>
    <t>滚筒机构# just grabbed</t>
  </si>
  <si>
    <t>Роликовий механізм # just grabbed</t>
  </si>
  <si>
    <t>2280.txt</t>
  </si>
  <si>
    <t>Newcomen Roller</t>
  </si>
  <si>
    <t>紐科門蒸汽輥壓機</t>
  </si>
  <si>
    <t>Newcomen滚筒</t>
  </si>
  <si>
    <t>Ролик Ньюкомена</t>
  </si>
  <si>
    <t>2281.txt</t>
  </si>
  <si>
    <t>Newcomen Roller with Full Boiler</t>
  </si>
  <si>
    <t>鍋爐裝滿水的紐科門蒸汽輥壓機</t>
  </si>
  <si>
    <t>Newcomen全锅炉轧辊</t>
  </si>
  <si>
    <t>Ролик Newcomen з повним котлом</t>
  </si>
  <si>
    <t>2283.txt</t>
  </si>
  <si>
    <t>Newcomen Roller with Charcoal</t>
  </si>
  <si>
    <t>纽科门木炭滚筒</t>
  </si>
  <si>
    <t>2284.txt</t>
  </si>
  <si>
    <t>Two Ropes</t>
  </si>
  <si>
    <t>兩根繩子</t>
  </si>
  <si>
    <t>双绳系统</t>
  </si>
  <si>
    <t>Дві мотузки</t>
  </si>
  <si>
    <t>2285.txt</t>
  </si>
  <si>
    <t>Tarry Spot</t>
  </si>
  <si>
    <t>焦油斑点</t>
  </si>
  <si>
    <t>2286.txt</t>
  </si>
  <si>
    <t>Hot Piston Blank in Wooden Tongs</t>
  </si>
  <si>
    <t>被木鉗夾著的熱鋼活塞毛坯</t>
  </si>
  <si>
    <t>木制大钳中的热活塞坯料</t>
  </si>
  <si>
    <t>Гаряча заготовка поршня в дерев'яних щипцях</t>
  </si>
  <si>
    <t>2287.txt</t>
  </si>
  <si>
    <t>Hot Steel Piston Blank</t>
  </si>
  <si>
    <t>熱鋼活塞毛坯</t>
  </si>
  <si>
    <t>热轧活塞毛坯</t>
  </si>
  <si>
    <t>Заготовка поршня з гарячої сталі</t>
  </si>
  <si>
    <t>2289.txt</t>
  </si>
  <si>
    <t>Hot Piston Blank in Wooden Tongs# just grab</t>
  </si>
  <si>
    <t>被木鉗夾著的熱鋼活塞毛坯# just grab</t>
  </si>
  <si>
    <t>木钳中的热活塞坯料# just grab</t>
  </si>
  <si>
    <t>Гаряча поршнева заготовка в дерев’яних щипцях# just grab</t>
  </si>
  <si>
    <t>2290.txt</t>
  </si>
  <si>
    <t>Steel Piston Blank in Wooden Tongs</t>
  </si>
  <si>
    <t>被木鉗夾著的鋼活塞毛坯</t>
  </si>
  <si>
    <t>木制大钳中的钢活塞坯料</t>
  </si>
  <si>
    <t>Заготовка сталевого поршня в дерев'яних щипцях</t>
  </si>
  <si>
    <t>2291.txt</t>
  </si>
  <si>
    <t>Steel Piston Blank</t>
  </si>
  <si>
    <t>鋼活塞毛坯</t>
  </si>
  <si>
    <t>钢活塞毛坯</t>
  </si>
  <si>
    <t>Заготовка сталевого поршня</t>
  </si>
  <si>
    <t>2292.txt</t>
  </si>
  <si>
    <t>Steel Cylinder Blank</t>
  </si>
  <si>
    <t>鋼筒毛坯</t>
  </si>
  <si>
    <t>钢瓶毛坯</t>
  </si>
  <si>
    <t>Заготовка сталевого циліндра</t>
  </si>
  <si>
    <t>2293.txt</t>
  </si>
  <si>
    <t>Hot Steel Rod in Wooden Tongs</t>
  </si>
  <si>
    <t>木制钳子中的热钢条</t>
  </si>
  <si>
    <t>2294.txt</t>
  </si>
  <si>
    <t>Steel Rod in Wooden Tongs</t>
  </si>
  <si>
    <t>被木鉗夾著的鋼棒</t>
  </si>
  <si>
    <t>木制钳子中的钢条</t>
  </si>
  <si>
    <t>Сталевий стрижень у дерев'яних щипцях</t>
  </si>
  <si>
    <t>2295.txt</t>
  </si>
  <si>
    <t>Hot Steel Rod</t>
  </si>
  <si>
    <t>熱鋼棒</t>
  </si>
  <si>
    <t>热钢条</t>
  </si>
  <si>
    <t>2296.txt</t>
  </si>
  <si>
    <t>Steel Rod</t>
  </si>
  <si>
    <t>鋼棒</t>
  </si>
  <si>
    <t>钢条</t>
  </si>
  <si>
    <t>Сталевий пруток</t>
  </si>
  <si>
    <t>2297.txt</t>
  </si>
  <si>
    <t>Steel Pipe</t>
  </si>
  <si>
    <t>鋼管</t>
  </si>
  <si>
    <t>钢管</t>
  </si>
  <si>
    <t>Сталева труба</t>
  </si>
  <si>
    <t>2298.txt</t>
  </si>
  <si>
    <t>Pump Valve Jacket</t>
  </si>
  <si>
    <t>泵閥套</t>
  </si>
  <si>
    <t>泵阀套</t>
  </si>
  <si>
    <t>Кожух клапана насоса</t>
  </si>
  <si>
    <t>2299.txt</t>
  </si>
  <si>
    <t>Pump Valve</t>
  </si>
  <si>
    <t>泵閥</t>
  </si>
  <si>
    <t>泵阀</t>
  </si>
  <si>
    <t>Клапан насоса</t>
  </si>
  <si>
    <t>2300.txt</t>
  </si>
  <si>
    <t>Hot Fuel Tank#flat rock</t>
  </si>
  <si>
    <t>熱燃油罐#flat rock</t>
  </si>
  <si>
    <t>热燃料箱#flat rock</t>
  </si>
  <si>
    <t>Гарячий паливний бак#flat rock</t>
  </si>
  <si>
    <t>2301.txt</t>
  </si>
  <si>
    <t>Fuel Tank on Flat Rock</t>
  </si>
  <si>
    <t>扁石上的燃油罐</t>
  </si>
  <si>
    <t>平坦岩石上的油箱</t>
  </si>
  <si>
    <t>Паливний бак на Флет-Рок</t>
  </si>
  <si>
    <t>2302.txt</t>
  </si>
  <si>
    <t>Empty Tank</t>
  </si>
  <si>
    <t>排空储罐</t>
  </si>
  <si>
    <t>2303.txt</t>
  </si>
  <si>
    <t>Firing Oil Drilling Rig</t>
  </si>
  <si>
    <t>正在工作的石油鑽機</t>
  </si>
  <si>
    <t>燃烧石油钻机</t>
  </si>
  <si>
    <t>Стрільба нафтової бурової установки</t>
  </si>
  <si>
    <t>2304.txt</t>
  </si>
  <si>
    <t>Dry Oil Drilling Rig</t>
  </si>
  <si>
    <t>乾的石油鑽機</t>
  </si>
  <si>
    <t>干式石油钻机</t>
  </si>
  <si>
    <t>Бурова установка для сухої нафти</t>
  </si>
  <si>
    <t>2305.txt</t>
  </si>
  <si>
    <t>Oil Drilling Rig with Pipe Extension</t>
  </si>
  <si>
    <t>加擴管的石油鑽機</t>
  </si>
  <si>
    <t>带加长管的石油钻机</t>
  </si>
  <si>
    <t>Нафтова бурова установка з розширенням труби</t>
  </si>
  <si>
    <t>2306.txt</t>
  </si>
  <si>
    <t>Gushing Oil Rig</t>
  </si>
  <si>
    <t>突兴石油钻机</t>
  </si>
  <si>
    <t>2307.txt</t>
  </si>
  <si>
    <t>Wet Drilling Oil Rig</t>
  </si>
  <si>
    <t>溼的石油鑽機</t>
  </si>
  <si>
    <t>湿式石油钻机</t>
  </si>
  <si>
    <t>Нафтова установка для мокрого буріння</t>
  </si>
  <si>
    <t>2308.txt</t>
  </si>
  <si>
    <t>Oil Pumpjack</t>
  </si>
  <si>
    <t>油泵</t>
  </si>
  <si>
    <t>油泵千斤顶</t>
  </si>
  <si>
    <t>Нафтовий насос</t>
  </si>
  <si>
    <t>2309.txt</t>
  </si>
  <si>
    <t>Oil Pumpjack with Full Tank</t>
  </si>
  <si>
    <t>帶滿罐的油泵</t>
  </si>
  <si>
    <t>油箱满的抽油机</t>
  </si>
  <si>
    <t>Масляний насос із повним баком</t>
  </si>
  <si>
    <t>2311.txt</t>
  </si>
  <si>
    <t>Firing Oil Pumpjack</t>
  </si>
  <si>
    <t>正在工作的油泵</t>
  </si>
  <si>
    <t>燃油抽油机</t>
  </si>
  <si>
    <t>Випалювання масляного насоса</t>
  </si>
  <si>
    <t>2312.txt</t>
  </si>
  <si>
    <t>Oil Pumpjack with Empty Tank</t>
  </si>
  <si>
    <t>帶空罐的油泵</t>
  </si>
  <si>
    <t>带空油箱的抽油机</t>
  </si>
  <si>
    <t>Нафтовий насос із порожнім баком</t>
  </si>
  <si>
    <t>2313.txt</t>
  </si>
  <si>
    <t>Oil Drilling Rig without Bit</t>
  </si>
  <si>
    <t>沒有鑽頭的石油鑽機</t>
  </si>
  <si>
    <t>无钻头石油钻机</t>
  </si>
  <si>
    <t>Нафтова бурова установка без долота</t>
  </si>
  <si>
    <t>2314.txt</t>
  </si>
  <si>
    <t>Complete Oil Drilling Rig</t>
  </si>
  <si>
    <t>完成的石油鑽機</t>
  </si>
  <si>
    <t>整套石油钻机</t>
  </si>
  <si>
    <t>Повна нафтова бурова установка</t>
  </si>
  <si>
    <t>2315.txt</t>
  </si>
  <si>
    <t>Oil Drilling Rig without Rope</t>
  </si>
  <si>
    <t>沒有繩子的石油鑽機</t>
  </si>
  <si>
    <t>无绳索石油钻机</t>
  </si>
  <si>
    <t>Нафтова бурова установка без троса</t>
  </si>
  <si>
    <t>2316.txt</t>
  </si>
  <si>
    <t>Oil Drilling Tower</t>
  </si>
  <si>
    <t>石油鑽塔</t>
  </si>
  <si>
    <t>石油钻井塔</t>
  </si>
  <si>
    <t>Нафтова бурова вежа</t>
  </si>
  <si>
    <t>2317.txt</t>
  </si>
  <si>
    <t>Oil Drilling Foundation# 4</t>
  </si>
  <si>
    <t>石油鑽基座# 4</t>
  </si>
  <si>
    <t>石油钻井基础# 4</t>
  </si>
  <si>
    <t>Фонд буріння нафти #4</t>
  </si>
  <si>
    <t>2318.txt</t>
  </si>
  <si>
    <t>Oil Drilling Foundation# 3</t>
  </si>
  <si>
    <t>石油鑽基座# 3</t>
  </si>
  <si>
    <t>石油钻井基础# 3</t>
  </si>
  <si>
    <t>Фонд буріння нафти #3</t>
  </si>
  <si>
    <t>2319.txt</t>
  </si>
  <si>
    <t>Oil Drilling Foundation# 2</t>
  </si>
  <si>
    <t>石油鑽基座# 2</t>
  </si>
  <si>
    <t>石油钻井基础# 2</t>
  </si>
  <si>
    <t>Фонд буріння нафти #2</t>
  </si>
  <si>
    <t>2320.txt</t>
  </si>
  <si>
    <t>Oil Drilling Foundation# 1</t>
  </si>
  <si>
    <t>石油鑽基座# 1</t>
  </si>
  <si>
    <t>石油钻井基础# 1</t>
  </si>
  <si>
    <t>Фонд буріння нафти #1</t>
  </si>
  <si>
    <t>2321.txt</t>
  </si>
  <si>
    <t>Oil Drilling Tube</t>
  </si>
  <si>
    <t>石油鑽井管</t>
  </si>
  <si>
    <t>石油钻杆</t>
  </si>
  <si>
    <t>Труба для буріння нафти</t>
  </si>
  <si>
    <t>2325.txt</t>
  </si>
  <si>
    <t>Oil Drilling Rig with Full Boiler</t>
  </si>
  <si>
    <t>鍋爐裝滿水的石油鑽機</t>
  </si>
  <si>
    <t>全锅炉石油钻机</t>
  </si>
  <si>
    <t>Нафтова бурова установка з повним котлом</t>
  </si>
  <si>
    <t>2326.txt</t>
  </si>
  <si>
    <t>Oil Drilling Rig with Charcoal</t>
  </si>
  <si>
    <t>裝滿木炭的石油鑽機</t>
  </si>
  <si>
    <t>木炭石油钻机</t>
  </si>
  <si>
    <t>Нафтова бурова установка з вугіллям</t>
  </si>
  <si>
    <t>2328.txt</t>
  </si>
  <si>
    <t>Perhaps Oil</t>
  </si>
  <si>
    <t>可能是油</t>
  </si>
  <si>
    <t>也许是石油</t>
  </si>
  <si>
    <t>Можливо, нафта</t>
  </si>
  <si>
    <t>2329.txt</t>
  </si>
  <si>
    <t>Oil Drilling Rig with Full Boiler# extended</t>
  </si>
  <si>
    <t>鍋爐裝滿水的石油鑽機# extended</t>
  </si>
  <si>
    <t>带全锅炉# extended</t>
  </si>
  <si>
    <t>Нафтова бурова установка# extended</t>
  </si>
  <si>
    <t>2330.txt</t>
  </si>
  <si>
    <t>Oil Drilling Rig with Charcoal# extended</t>
  </si>
  <si>
    <t>裝滿木炭的石油鑽機# extended</t>
  </si>
  <si>
    <t>木炭# extended</t>
  </si>
  <si>
    <t>Нафтову бурову установку з деревним вугіллям# extended</t>
  </si>
  <si>
    <t>2331.txt</t>
  </si>
  <si>
    <t>Firing Oil Drilling Rig# extended</t>
  </si>
  <si>
    <t>正在工作的石油鑽機# extended</t>
  </si>
  <si>
    <t>燃烧石油钻机# extended</t>
  </si>
  <si>
    <t>Стріляюча нафтова бурова установка # extended</t>
  </si>
  <si>
    <t>2332.txt</t>
  </si>
  <si>
    <t>Oil Pumpjack with Full Boiler</t>
  </si>
  <si>
    <t>鍋爐裝滿水的油泵</t>
  </si>
  <si>
    <t>带全锅炉的抽油机</t>
  </si>
  <si>
    <t>Олійний насос із повним котлом</t>
  </si>
  <si>
    <t>2333.txt</t>
  </si>
  <si>
    <t>Oil Pumpjack with Charcoal</t>
  </si>
  <si>
    <t>裝滿木炭的油泵</t>
  </si>
  <si>
    <t>木炭抽油机</t>
  </si>
  <si>
    <t>Олія Pumpjack з вугіллям</t>
  </si>
  <si>
    <t>2334.txt</t>
  </si>
  <si>
    <t>Tank of Crude Oil</t>
  </si>
  <si>
    <t>原油储罐</t>
  </si>
  <si>
    <t>2335.txt</t>
  </si>
  <si>
    <t>Double Cylinder</t>
  </si>
  <si>
    <t>雙缸體</t>
  </si>
  <si>
    <t>双圆柱体</t>
  </si>
  <si>
    <t>Подвійний циліндр</t>
  </si>
  <si>
    <t>2336.txt</t>
  </si>
  <si>
    <t>Fractional Distillation Tower</t>
  </si>
  <si>
    <t>分餾塔</t>
  </si>
  <si>
    <t>分馏塔</t>
  </si>
  <si>
    <t>Башта фракційної дистиляції</t>
  </si>
  <si>
    <t>2337.txt</t>
  </si>
  <si>
    <t>Firing Fractional Distiller</t>
  </si>
  <si>
    <t>正在工作的分餾器</t>
  </si>
  <si>
    <t>燃烧分馏器</t>
  </si>
  <si>
    <t>Фракційний дистилятор</t>
  </si>
  <si>
    <t>2338.txt</t>
  </si>
  <si>
    <t>Fractional Distiller with Empty Tank</t>
  </si>
  <si>
    <t>帶空罐的分餾器</t>
  </si>
  <si>
    <t>空罐分馏器</t>
  </si>
  <si>
    <t>Фракційний дистилятор з порожнім баком</t>
  </si>
  <si>
    <t>2339.txt</t>
  </si>
  <si>
    <t>Fractional Distiller</t>
  </si>
  <si>
    <t>分餾器</t>
  </si>
  <si>
    <t>分馏蒸馏器</t>
  </si>
  <si>
    <t>2340.txt</t>
  </si>
  <si>
    <t>Fractional Distiller with Kerosene Tank</t>
  </si>
  <si>
    <t>帶燃油罐的分餾器</t>
  </si>
  <si>
    <t>带煤油罐的分馏器</t>
  </si>
  <si>
    <t>Фракційний дистилятор з баком для гасу</t>
  </si>
  <si>
    <t>2341.txt</t>
  </si>
  <si>
    <t>Fractional Distiller with Crude Oil</t>
  </si>
  <si>
    <t>帶原油的分餾器</t>
  </si>
  <si>
    <t>原油分馏器</t>
  </si>
  <si>
    <t>Фракційний дистилятор із сирою нафтою</t>
  </si>
  <si>
    <t>2342.txt</t>
  </si>
  <si>
    <t>Fractional Distiller with Charcoal</t>
  </si>
  <si>
    <t>裝滿木炭的分餾器</t>
  </si>
  <si>
    <t>木炭分馏器</t>
  </si>
  <si>
    <t>Фракційний дистилятор з деревним вугіллям</t>
  </si>
  <si>
    <t>2343.txt</t>
  </si>
  <si>
    <t>Tank of Kerosene</t>
  </si>
  <si>
    <t>煤油罐</t>
  </si>
  <si>
    <t>2347.txt</t>
  </si>
  <si>
    <t>Wick Housing</t>
  </si>
  <si>
    <t>燈芯外殼</t>
  </si>
  <si>
    <t>Wick外壳</t>
  </si>
  <si>
    <t>Корпус Wick</t>
  </si>
  <si>
    <t>2348.txt</t>
  </si>
  <si>
    <t>Kerosene Wick Burner</t>
  </si>
  <si>
    <t>煤油燈芯燃燒器</t>
  </si>
  <si>
    <t>煤油芯燃烧器</t>
  </si>
  <si>
    <t>Керосиновий пальник</t>
  </si>
  <si>
    <t>2355.txt</t>
  </si>
  <si>
    <t>Lathe Head</t>
  </si>
  <si>
    <t>車床頭</t>
  </si>
  <si>
    <t>车床头</t>
  </si>
  <si>
    <t>Начальник токарного верстата</t>
  </si>
  <si>
    <t>2356.txt</t>
  </si>
  <si>
    <t>Lathe Mechanism</t>
  </si>
  <si>
    <t>車床裝置</t>
  </si>
  <si>
    <t>车床机构</t>
  </si>
  <si>
    <t>Токарний механізм</t>
  </si>
  <si>
    <t>2357.txt</t>
  </si>
  <si>
    <t>Firing Newcomen Lathe</t>
  </si>
  <si>
    <t>射击Newcomen车床</t>
  </si>
  <si>
    <t>2359.txt</t>
  </si>
  <si>
    <t>Newcomen Lathe</t>
  </si>
  <si>
    <t>紐科門蒸汽車床</t>
  </si>
  <si>
    <t>纽科门车床</t>
  </si>
  <si>
    <t>Токар Ньюкомен</t>
  </si>
  <si>
    <t>2360.txt</t>
  </si>
  <si>
    <t>Newcomen Lathe with Charcoal</t>
  </si>
  <si>
    <t>Newcomen木炭车床</t>
  </si>
  <si>
    <t>2361.txt</t>
  </si>
  <si>
    <t>Newcomen Lathe with Full Boiler</t>
  </si>
  <si>
    <t>鍋爐裝滿水的紐科門蒸汽車床</t>
  </si>
  <si>
    <t>Newcomen全锅炉车床</t>
  </si>
  <si>
    <t>Токарний верстат Newcomen із повним котлом</t>
  </si>
  <si>
    <t>2363.txt</t>
  </si>
  <si>
    <t>Timing Belt Working</t>
  </si>
  <si>
    <t>運轉中的同步帶</t>
  </si>
  <si>
    <t>正时皮带工作</t>
  </si>
  <si>
    <t>Робочий ремінь ГРМ</t>
  </si>
  <si>
    <t>2364.txt</t>
  </si>
  <si>
    <t>Timing Belt</t>
  </si>
  <si>
    <t>同步帶</t>
  </si>
  <si>
    <t>正时皮带</t>
  </si>
  <si>
    <t>Ремінь ГРМ</t>
  </si>
  <si>
    <t>2365.txt</t>
  </si>
  <si>
    <t>Diesel Engine</t>
  </si>
  <si>
    <t>柴油機</t>
  </si>
  <si>
    <t>柴油发动机</t>
  </si>
  <si>
    <t>Дизельний двигун</t>
  </si>
  <si>
    <t>2366.txt</t>
  </si>
  <si>
    <t>Test Engine Running</t>
  </si>
  <si>
    <t>測試發動機運轉</t>
  </si>
  <si>
    <t>测试发动机运行</t>
  </si>
  <si>
    <t>Тестовий двигун працює</t>
  </si>
  <si>
    <t>2368.txt</t>
  </si>
  <si>
    <t>Cam Shaft</t>
  </si>
  <si>
    <t>凸輪軸</t>
  </si>
  <si>
    <t>凸轮轴</t>
  </si>
  <si>
    <t>Кулачковий вал</t>
  </si>
  <si>
    <t>2369.txt</t>
  </si>
  <si>
    <t>Crank Shaft</t>
  </si>
  <si>
    <t>曲柄軸</t>
  </si>
  <si>
    <t>曲轴</t>
  </si>
  <si>
    <t>Колінчастий вал</t>
  </si>
  <si>
    <t>2370.txt</t>
  </si>
  <si>
    <t>Engine Fuel System</t>
  </si>
  <si>
    <t>發動機燃油系統</t>
  </si>
  <si>
    <t>发动机燃油系统</t>
  </si>
  <si>
    <t>Паливна система двигуна</t>
  </si>
  <si>
    <t>2371.txt</t>
  </si>
  <si>
    <t>Precision Cylinder</t>
  </si>
  <si>
    <t>精密氣缸</t>
  </si>
  <si>
    <t>精密气缸</t>
  </si>
  <si>
    <t>Прецизійний циліндр</t>
  </si>
  <si>
    <t>2372.txt</t>
  </si>
  <si>
    <t>Precision Piston</t>
  </si>
  <si>
    <t>精密活塞</t>
  </si>
  <si>
    <t>Прецизійний поршень</t>
  </si>
  <si>
    <t>2373.txt</t>
  </si>
  <si>
    <t>Steel Valve</t>
  </si>
  <si>
    <t>鋼閥門</t>
  </si>
  <si>
    <t>钢制阀门</t>
  </si>
  <si>
    <t>Сталевий клапан</t>
  </si>
  <si>
    <t>2374.txt</t>
  </si>
  <si>
    <t>Fuel Nozzle Body</t>
  </si>
  <si>
    <t>燃油噴嘴體</t>
  </si>
  <si>
    <t>燃油喷嘴体</t>
  </si>
  <si>
    <t>Корпус паливної форсунки</t>
  </si>
  <si>
    <t>2375.txt</t>
  </si>
  <si>
    <t>Fuel Injection Nozzle</t>
  </si>
  <si>
    <t>噴油嘴</t>
  </si>
  <si>
    <t>喷油嘴</t>
  </si>
  <si>
    <t>Паливна форсунка</t>
  </si>
  <si>
    <t>2376.txt</t>
  </si>
  <si>
    <t>Diesel Piston Head</t>
  </si>
  <si>
    <t>柴油機活塞頭</t>
  </si>
  <si>
    <t>柴油机活塞头</t>
  </si>
  <si>
    <t>Поршнева головка дизеля</t>
  </si>
  <si>
    <t>2379.txt</t>
  </si>
  <si>
    <t>Diesel Cylinder Head</t>
  </si>
  <si>
    <t>柴油機氣缸蓋</t>
  </si>
  <si>
    <t>柴油机气缸盖</t>
  </si>
  <si>
    <t>Головка блоку циліндрів дизеля</t>
  </si>
  <si>
    <t>2380.txt</t>
  </si>
  <si>
    <t>Diesel Cylinder Head with Valves</t>
  </si>
  <si>
    <t>帶兩個閥門的柴油機氣缸蓋</t>
  </si>
  <si>
    <t>带气门的柴油机气缸盖</t>
  </si>
  <si>
    <t>Головка блоку циліндрів дизеля з клапанами</t>
  </si>
  <si>
    <t>2381.txt</t>
  </si>
  <si>
    <t>Diesel Cylinder Head with One Valve</t>
  </si>
  <si>
    <t>帶一個閥門的柴油機氣缸蓋</t>
  </si>
  <si>
    <t>带一个气门的柴油机气缸盖</t>
  </si>
  <si>
    <t>Головка блоку циліндрів дизеля з одним клапаном</t>
  </si>
  <si>
    <t>2382.txt</t>
  </si>
  <si>
    <t>Diesel Piston Block</t>
  </si>
  <si>
    <t>柴油機活塞體</t>
  </si>
  <si>
    <t>柴油机活塞块</t>
  </si>
  <si>
    <t>Дизельний поршневий блок</t>
  </si>
  <si>
    <t>2383.txt</t>
  </si>
  <si>
    <t>Diesel Crank Assembly</t>
  </si>
  <si>
    <t>柴油機曲柄總成</t>
  </si>
  <si>
    <t>柴油机曲柄总成</t>
  </si>
  <si>
    <t>Дизельний шатун в зборі</t>
  </si>
  <si>
    <t>2384.txt</t>
  </si>
  <si>
    <t>Cam Timing Assembly</t>
  </si>
  <si>
    <t>凸輪正時總成</t>
  </si>
  <si>
    <t>凸轮正时总成</t>
  </si>
  <si>
    <t>Кулачок ГРМ в зборі</t>
  </si>
  <si>
    <t>2385.txt</t>
  </si>
  <si>
    <t>Diesel Drive Assembly</t>
  </si>
  <si>
    <t>柴油機驅動總成</t>
  </si>
  <si>
    <t>柴油机驱动总成</t>
  </si>
  <si>
    <t>Дизельний привід в зборі</t>
  </si>
  <si>
    <t>2386.txt</t>
  </si>
  <si>
    <t>Pulley Timing Mechanism</t>
  </si>
  <si>
    <t>滑輪正時裝置</t>
  </si>
  <si>
    <t>滑轮正时装置</t>
  </si>
  <si>
    <t>Механізм синхронізації шківа</t>
  </si>
  <si>
    <t>2388.txt</t>
  </si>
  <si>
    <t>Dry Diesel Water Pump</t>
  </si>
  <si>
    <t>干柴油水泵</t>
  </si>
  <si>
    <t>2389.txt</t>
  </si>
  <si>
    <t>Running Water Pump</t>
  </si>
  <si>
    <t>运行水泵</t>
  </si>
  <si>
    <t>2390.txt</t>
  </si>
  <si>
    <t>Wet Diesel Water Pump</t>
  </si>
  <si>
    <t>溼的柴油機水泵</t>
  </si>
  <si>
    <t>湿式柴油水泵</t>
  </si>
  <si>
    <t>Вологий дизельний водяний насос</t>
  </si>
  <si>
    <t>2391.txt</t>
  </si>
  <si>
    <t>Wooden Wheel with Tire</t>
  </si>
  <si>
    <t>木輪胎</t>
  </si>
  <si>
    <t>带轮胎的木轮</t>
  </si>
  <si>
    <t>Дерев'яне колесо з шиною</t>
  </si>
  <si>
    <t>2392.txt</t>
  </si>
  <si>
    <t>Two Wheels with Tires</t>
  </si>
  <si>
    <t>兩個輪胎</t>
  </si>
  <si>
    <t>带轮胎的两轮</t>
  </si>
  <si>
    <t>Два колеса з шинами</t>
  </si>
  <si>
    <t>2393.txt</t>
  </si>
  <si>
    <t>Four Wheels with Tires</t>
  </si>
  <si>
    <t>四個輪胎</t>
  </si>
  <si>
    <t>带轮胎的四个轮子</t>
  </si>
  <si>
    <t>Чотири колеса з шинами</t>
  </si>
  <si>
    <t>2394.txt</t>
  </si>
  <si>
    <t>Unpowered Crude Car</t>
  </si>
  <si>
    <t>無動力柴油車</t>
  </si>
  <si>
    <t>无动力粗车</t>
  </si>
  <si>
    <t>Безмоторний сирий автомобіль</t>
  </si>
  <si>
    <t>2395.txt</t>
  </si>
  <si>
    <t>Crude Car with Empty Tank</t>
  </si>
  <si>
    <t>空罐原油车</t>
  </si>
  <si>
    <t>2396.txt</t>
  </si>
  <si>
    <t>Running Crude Car</t>
  </si>
  <si>
    <t>行駛中的柴油車</t>
  </si>
  <si>
    <t>行驶中的粗车</t>
  </si>
  <si>
    <t>Запущена машина</t>
  </si>
  <si>
    <t>2400.txt</t>
  </si>
  <si>
    <t>Crude Car with Empty Tank#driven</t>
  </si>
  <si>
    <t>無油的柴油車#driven</t>
  </si>
  <si>
    <t>空罐#driven</t>
  </si>
  <si>
    <t>Грубий автомобіль із порожнім баком#driven</t>
  </si>
  <si>
    <t>2401.txt</t>
  </si>
  <si>
    <t>Snake Roadkill</t>
  </si>
  <si>
    <t>被碾死的蛇</t>
  </si>
  <si>
    <t>Snake Road Kill</t>
  </si>
  <si>
    <t>2403.txt</t>
  </si>
  <si>
    <t>Male015 F</t>
  </si>
  <si>
    <t>男性015 F</t>
  </si>
  <si>
    <t>Чоловік 015 Ф</t>
  </si>
  <si>
    <t>2404.txt</t>
  </si>
  <si>
    <t>Female016 A</t>
  </si>
  <si>
    <t>女性016 A</t>
  </si>
  <si>
    <t>Жінка016 А</t>
  </si>
  <si>
    <t>2405.txt</t>
  </si>
  <si>
    <t>Snowball Splat# sick emot_8_10</t>
  </si>
  <si>
    <t>雪球飞溅# sick emot_8_10</t>
  </si>
  <si>
    <t>2406.txt</t>
  </si>
  <si>
    <t>Snowball Splat Face</t>
  </si>
  <si>
    <t>臉上的雪球裂片</t>
  </si>
  <si>
    <t>雪球飞溅面</t>
  </si>
  <si>
    <t>2407.txt</t>
  </si>
  <si>
    <t>Snowball</t>
  </si>
  <si>
    <t>雪球</t>
  </si>
  <si>
    <t>2408.txt</t>
  </si>
  <si>
    <t>Big Snowball</t>
  </si>
  <si>
    <t>大型雪球</t>
  </si>
  <si>
    <t>大雪球</t>
  </si>
  <si>
    <t>Великий Сніжок</t>
  </si>
  <si>
    <t>2410.txt</t>
  </si>
  <si>
    <t>Melting Snowman</t>
  </si>
  <si>
    <t>融化中的雪人</t>
  </si>
  <si>
    <t>融化的雪人</t>
  </si>
  <si>
    <t>Сніговик, що тане</t>
  </si>
  <si>
    <t>2411.txt</t>
  </si>
  <si>
    <t>Huge Snowball</t>
  </si>
  <si>
    <t>巨型雪球</t>
  </si>
  <si>
    <t>巨大的雪球</t>
  </si>
  <si>
    <t>Величезний сніжок</t>
  </si>
  <si>
    <t>2412.txt</t>
  </si>
  <si>
    <t>Medium Snowball</t>
  </si>
  <si>
    <t>中型雪球</t>
  </si>
  <si>
    <t>中等大小的雪球</t>
  </si>
  <si>
    <t>Середній сніжок</t>
  </si>
  <si>
    <t>2413.txt</t>
  </si>
  <si>
    <t>Melting Snowball</t>
  </si>
  <si>
    <t>融化中的雪球</t>
  </si>
  <si>
    <t>融化的雪球</t>
  </si>
  <si>
    <t>Танучий сніжок</t>
  </si>
  <si>
    <t>2414.txt</t>
  </si>
  <si>
    <t>Snowman Foundation</t>
  </si>
  <si>
    <t>雪人底座</t>
  </si>
  <si>
    <t>雪人基金会</t>
  </si>
  <si>
    <t>Фонд Сніговика</t>
  </si>
  <si>
    <t>2415.txt</t>
  </si>
  <si>
    <t>Blank Snowman</t>
  </si>
  <si>
    <t>空白雪人</t>
  </si>
  <si>
    <t>Пустий сніговик</t>
  </si>
  <si>
    <t>2416.txt</t>
  </si>
  <si>
    <t>Blank Snowman with Arms</t>
  </si>
  <si>
    <t>帶手臂的空白雪人</t>
  </si>
  <si>
    <t>一个空着胳膊的雪人</t>
  </si>
  <si>
    <t>Пустий сніговик з руками</t>
  </si>
  <si>
    <t>2417.txt</t>
  </si>
  <si>
    <t>Blank Snowman with Charcoal</t>
  </si>
  <si>
    <t>帶木炭的空白雪人</t>
  </si>
  <si>
    <t>木炭的空白雪人</t>
  </si>
  <si>
    <t>Пустий сніговик з вугіллям</t>
  </si>
  <si>
    <t>2418.txt</t>
  </si>
  <si>
    <t>Snowman</t>
  </si>
  <si>
    <t>雪人</t>
  </si>
  <si>
    <t>Сніговик</t>
  </si>
  <si>
    <t>2419.txt</t>
  </si>
  <si>
    <t>Two Curved Branches</t>
  </si>
  <si>
    <t>兩根彎樹枝</t>
  </si>
  <si>
    <t>两个弯曲的分支</t>
  </si>
  <si>
    <t>Дві вигнуті гілки</t>
  </si>
  <si>
    <t>2420.txt</t>
  </si>
  <si>
    <t>Snowman Remnants</t>
  </si>
  <si>
    <t>雪人殘留物</t>
  </si>
  <si>
    <t>雪人残骸</t>
  </si>
  <si>
    <t>Залишки сніговика</t>
  </si>
  <si>
    <t>2421.txt</t>
  </si>
  <si>
    <t>Snowman Remnants# 2</t>
  </si>
  <si>
    <t>雪人殘留物# 2</t>
  </si>
  <si>
    <t>雪人残骸# 2</t>
  </si>
  <si>
    <t>Залишки сніговика #2</t>
  </si>
  <si>
    <t>2422.txt</t>
  </si>
  <si>
    <t>Snowman Remnants# 3</t>
  </si>
  <si>
    <t>雪人殘留物# 3</t>
  </si>
  <si>
    <t>雪人残骸# 3</t>
  </si>
  <si>
    <t>Залишки сніговика #3</t>
  </si>
  <si>
    <t>2423.txt</t>
  </si>
  <si>
    <t>Snowman Remnants# 4</t>
  </si>
  <si>
    <t>雪人殘留物# 4</t>
  </si>
  <si>
    <t>雪人残骸# 4</t>
  </si>
  <si>
    <t>Залишки сніговика #4</t>
  </si>
  <si>
    <t>2428.txt</t>
  </si>
  <si>
    <t>Garland</t>
  </si>
  <si>
    <t>花環</t>
  </si>
  <si>
    <t>加兰德</t>
  </si>
  <si>
    <t>Гірлянда</t>
  </si>
  <si>
    <t>2429.txt</t>
  </si>
  <si>
    <t>Partial Garland# 6</t>
  </si>
  <si>
    <t>不完整花環# 6</t>
  </si>
  <si>
    <t>加兰德6号部分路段# 6</t>
  </si>
  <si>
    <t>Часткова гірлянда # 6</t>
  </si>
  <si>
    <t>2430.txt</t>
  </si>
  <si>
    <t>Partial Garland# 5</t>
  </si>
  <si>
    <t>不完整花環# 5</t>
  </si>
  <si>
    <t>Garland部分# 5</t>
  </si>
  <si>
    <t>Часткова гірлянда # 5</t>
  </si>
  <si>
    <t>2431.txt</t>
  </si>
  <si>
    <t>Partial Garland# 4</t>
  </si>
  <si>
    <t>不完整花環# 4</t>
  </si>
  <si>
    <t>Garland部分# 4</t>
  </si>
  <si>
    <t>Часткова гірлянда # 4</t>
  </si>
  <si>
    <t>2432.txt</t>
  </si>
  <si>
    <t>Partial Garland# 3</t>
  </si>
  <si>
    <t>不完整花環# 3</t>
  </si>
  <si>
    <t>Garland部分# 3</t>
  </si>
  <si>
    <t>Часткова гірлянда # 3</t>
  </si>
  <si>
    <t>2433.txt</t>
  </si>
  <si>
    <t>Partial Garland# 2</t>
  </si>
  <si>
    <t>不完整花環# 2</t>
  </si>
  <si>
    <t>Garland部分# 2</t>
  </si>
  <si>
    <t>Часткова гірлянда # 2</t>
  </si>
  <si>
    <t>2434.txt</t>
  </si>
  <si>
    <t>Partial Garland# 1</t>
  </si>
  <si>
    <t>不完整花環# 1</t>
  </si>
  <si>
    <t>Garland部分# 1</t>
  </si>
  <si>
    <t>Часткова гірлянда #1</t>
  </si>
  <si>
    <t>2435.txt</t>
  </si>
  <si>
    <t>Pine Tree with One Garland</t>
  </si>
  <si>
    <t>松樹與一條花環</t>
  </si>
  <si>
    <t>松树与一个Garland</t>
  </si>
  <si>
    <t>Сосна з однією гірляндою</t>
  </si>
  <si>
    <t>2436.txt</t>
  </si>
  <si>
    <t>Pine Tree with Two Garlands</t>
  </si>
  <si>
    <t>松樹與兩條花環</t>
  </si>
  <si>
    <t>带两个Garland的松树</t>
  </si>
  <si>
    <t>Сосна з двома гірляндами</t>
  </si>
  <si>
    <t>2437.txt</t>
  </si>
  <si>
    <t>Pine Tree with Three Garlands</t>
  </si>
  <si>
    <t>松樹與三條花環</t>
  </si>
  <si>
    <t>三Garland松树</t>
  </si>
  <si>
    <t>Сосна з трьома гірляндами</t>
  </si>
  <si>
    <t>2438.txt</t>
  </si>
  <si>
    <t>Pine Tree with Four Garlands</t>
  </si>
  <si>
    <t>松樹與四條花環</t>
  </si>
  <si>
    <t>四花园松树</t>
  </si>
  <si>
    <t>Сосна з чотирма гірляндами</t>
  </si>
  <si>
    <t>2439.txt</t>
  </si>
  <si>
    <t>Fractionated Palm Oil</t>
  </si>
  <si>
    <t>分餾棕櫚油</t>
  </si>
  <si>
    <t>分级棕榈油</t>
  </si>
  <si>
    <t>Фракціонована пальмова олія</t>
  </si>
  <si>
    <t>2440.txt</t>
  </si>
  <si>
    <t>Bowl of Palm Wax</t>
  </si>
  <si>
    <t>一碗棕櫚蠟</t>
  </si>
  <si>
    <t>棕榈蜡碗</t>
  </si>
  <si>
    <t>Чаша з пальмового воску</t>
  </si>
  <si>
    <t>2441.txt</t>
  </si>
  <si>
    <t>Bowl of Palm Olein</t>
  </si>
  <si>
    <t>棕榈油碗</t>
  </si>
  <si>
    <t>2442.txt</t>
  </si>
  <si>
    <t>Molten Palm Wax</t>
  </si>
  <si>
    <t>熔融棕櫚蠟</t>
  </si>
  <si>
    <t>熔融棕榈蜡</t>
  </si>
  <si>
    <t>Розплавлений пальмовий віск</t>
  </si>
  <si>
    <t>2443.txt</t>
  </si>
  <si>
    <t>Thin Partial Dipped Candle</t>
  </si>
  <si>
    <t>不完整細浸蠟燭</t>
  </si>
  <si>
    <t>薄偏浸蜡烛</t>
  </si>
  <si>
    <t>Тонка частково занурена свічка</t>
  </si>
  <si>
    <t>2444.txt</t>
  </si>
  <si>
    <t>Hot Partial Dipped Candle</t>
  </si>
  <si>
    <t>不完整熱浸蠟燭</t>
  </si>
  <si>
    <t>热部分浸蜡烛</t>
  </si>
  <si>
    <t>Гаряча частково занурена свічка</t>
  </si>
  <si>
    <t>2445.txt</t>
  </si>
  <si>
    <t>Hot Partial Dipped Candle# 2</t>
  </si>
  <si>
    <t>不完整熱浸蠟燭# 2</t>
  </si>
  <si>
    <t>热部分浸蜡烛# 2</t>
  </si>
  <si>
    <t>Гаряча частково занурена свічка # 2</t>
  </si>
  <si>
    <t>2446.txt</t>
  </si>
  <si>
    <t>Thick Partial Dipped Candle</t>
  </si>
  <si>
    <t>不完整厚浸蠟燭</t>
  </si>
  <si>
    <t>浓淡蜡烛</t>
  </si>
  <si>
    <t>Товста частково занурена свічка</t>
  </si>
  <si>
    <t>2447.txt</t>
  </si>
  <si>
    <t>Hot Candle</t>
  </si>
  <si>
    <t>熱蠟燭</t>
  </si>
  <si>
    <t>热蜡烛</t>
  </si>
  <si>
    <t>Гаряча свічка</t>
  </si>
  <si>
    <t>2448.txt</t>
  </si>
  <si>
    <t>Candle</t>
  </si>
  <si>
    <t>蠟燭</t>
  </si>
  <si>
    <t>蜡烛</t>
  </si>
  <si>
    <t>Свічка</t>
  </si>
  <si>
    <t>2449.txt</t>
  </si>
  <si>
    <t>Candle Set</t>
  </si>
  <si>
    <t>一堆蠟燭</t>
  </si>
  <si>
    <t>蜡烛套装</t>
  </si>
  <si>
    <t>Набір свічок</t>
  </si>
  <si>
    <t>2450.txt</t>
  </si>
  <si>
    <t>Pine Tree with Candles</t>
  </si>
  <si>
    <t>松樹與蠟燭</t>
  </si>
  <si>
    <t>带蜡烛的松树</t>
  </si>
  <si>
    <t>Сосна зі свічками</t>
  </si>
  <si>
    <t>2452.txt</t>
  </si>
  <si>
    <t>Yule Tree</t>
  </si>
  <si>
    <t>聖誕樹</t>
  </si>
  <si>
    <t>玉乐树</t>
  </si>
  <si>
    <t>Святкове дерево</t>
  </si>
  <si>
    <t>2454.txt</t>
  </si>
  <si>
    <t>Spent Yule Tree</t>
  </si>
  <si>
    <t>熄滅的聖誕樹</t>
  </si>
  <si>
    <t>废圣诞树</t>
  </si>
  <si>
    <t>2455.txt</t>
  </si>
  <si>
    <t>Yule Tree with Half Candles</t>
  </si>
  <si>
    <t>剩一半蠟燭的聖誕樹</t>
  </si>
  <si>
    <t>半支蜡烛的圣诞树</t>
  </si>
  <si>
    <t>Святкове дерево з половиною свічок</t>
  </si>
  <si>
    <t>2456.txt</t>
  </si>
  <si>
    <t>Santa Hat</t>
  </si>
  <si>
    <t>聖誕帽</t>
  </si>
  <si>
    <t>圣诞帽</t>
  </si>
  <si>
    <t>Капелюх Діда Мороза</t>
  </si>
  <si>
    <t>2460.txt</t>
  </si>
  <si>
    <t>Pine Tree with Male Cardinal</t>
  </si>
  <si>
    <t>松樹與雄性紅雀</t>
  </si>
  <si>
    <t>松树与雄红衣主教</t>
  </si>
  <si>
    <t>Сосна з чоловічим кардиналом</t>
  </si>
  <si>
    <t>2461.txt</t>
  </si>
  <si>
    <t>Pine Tree with Cardinals</t>
  </si>
  <si>
    <t>松樹與一對紅雀</t>
  </si>
  <si>
    <t>红雀松树</t>
  </si>
  <si>
    <t>Сосна з кардиналами</t>
  </si>
  <si>
    <t>2462.txt</t>
  </si>
  <si>
    <t>Female017 F</t>
  </si>
  <si>
    <t>女性017 F</t>
  </si>
  <si>
    <t>Жінка017 Ф</t>
  </si>
  <si>
    <t>2464.txt</t>
  </si>
  <si>
    <t>Female018 A</t>
  </si>
  <si>
    <t>女性018 A</t>
  </si>
  <si>
    <t>Жінка018 А</t>
  </si>
  <si>
    <t>2465.txt</t>
  </si>
  <si>
    <t>Snowball# just thrown</t>
  </si>
  <si>
    <t>雪球# just thrown</t>
  </si>
  <si>
    <t>刚刚扔的雪球# just thrown</t>
  </si>
  <si>
    <t>Сніжок# щойно кинутий</t>
  </si>
  <si>
    <t>2466.txt</t>
  </si>
  <si>
    <t>Dark Nosaj</t>
  </si>
  <si>
    <t>深色Nosaj</t>
  </si>
  <si>
    <t>2467.txt</t>
  </si>
  <si>
    <t>Endstone</t>
  </si>
  <si>
    <t>末日石</t>
  </si>
  <si>
    <t>2469.txt</t>
  </si>
  <si>
    <t>Stone Block with Hole</t>
  </si>
  <si>
    <t>带孔石块</t>
  </si>
  <si>
    <t>2470.txt</t>
  </si>
  <si>
    <t>Endblock</t>
  </si>
  <si>
    <t>末日方塊</t>
  </si>
  <si>
    <t>端块</t>
  </si>
  <si>
    <t>Кінцевий блок</t>
  </si>
  <si>
    <t>2474.txt</t>
  </si>
  <si>
    <t>Live Nosaj with Endstone#appear</t>
  </si>
  <si>
    <t>帶末日石的活化黑暗祭壇#appear</t>
  </si>
  <si>
    <t>Live Nosaj з Endstone#appear</t>
  </si>
  <si>
    <t>2475.txt</t>
  </si>
  <si>
    <t>Live Nosaj with Endstone</t>
  </si>
  <si>
    <t>帶末日石的活化黑暗祭壇</t>
  </si>
  <si>
    <t>带末日石的活化黑暗祭坛</t>
  </si>
  <si>
    <t>Live Nosaj з Endstone</t>
  </si>
  <si>
    <t>2476.txt</t>
  </si>
  <si>
    <t>Live Nosaj# endstone gone</t>
  </si>
  <si>
    <t>活化黑暗祭壇# endstone gone</t>
  </si>
  <si>
    <t>活化黑暗祭坛# endstone gone</t>
  </si>
  <si>
    <t>Живий Nosaj# endstone gone</t>
  </si>
  <si>
    <t>2477.txt</t>
  </si>
  <si>
    <t>Endtower Base</t>
  </si>
  <si>
    <t>端塔基地</t>
  </si>
  <si>
    <t>2478.txt</t>
  </si>
  <si>
    <t>Seeping Endtower Base</t>
  </si>
  <si>
    <t>渗透的端塔基地</t>
  </si>
  <si>
    <t>2481.txt</t>
  </si>
  <si>
    <t>Seeping Endtower# monumentCall</t>
  </si>
  <si>
    <t>滲透中的末日塔# monumentCall</t>
  </si>
  <si>
    <t>渗透中的末日塔# monumentCall</t>
  </si>
  <si>
    <t>2482.txt</t>
  </si>
  <si>
    <t>The Apocalypse# monumentCall</t>
  </si>
  <si>
    <t>銀行# monumentCall</t>
  </si>
  <si>
    <t>银行# monumentCall</t>
  </si>
  <si>
    <t>Апокаліпсис# monumentCall</t>
  </si>
  <si>
    <t>2483.txt</t>
  </si>
  <si>
    <t>末日塔基座</t>
  </si>
  <si>
    <t>База Ендтауер</t>
  </si>
  <si>
    <t>2484.txt</t>
  </si>
  <si>
    <t>Seeping Endtower Base# monumentCall</t>
  </si>
  <si>
    <t>渗透的末塔基地# MonumentCall</t>
  </si>
  <si>
    <t>2485.txt</t>
  </si>
  <si>
    <t>2486.txt</t>
  </si>
  <si>
    <t>2487.txt</t>
  </si>
  <si>
    <t>2488.txt</t>
  </si>
  <si>
    <t>Stone block with Hole and Chisel</t>
  </si>
  <si>
    <t>带孔和凿子的石块</t>
  </si>
  <si>
    <t>2489.txt</t>
  </si>
  <si>
    <t>Shot Domestic Boar with Piglet# arrow</t>
  </si>
  <si>
    <t>被射中的有崽的家養野豬# arrow</t>
  </si>
  <si>
    <t>被射中的有崽的家养野猪# arrow</t>
  </si>
  <si>
    <t>Кабана з поросятком# arrow</t>
  </si>
  <si>
    <t>2490.txt</t>
  </si>
  <si>
    <t>Daniell Cell</t>
  </si>
  <si>
    <t>丹尼爾電池</t>
  </si>
  <si>
    <t>丹尼尔电池</t>
  </si>
  <si>
    <t>Даніель Сел</t>
  </si>
  <si>
    <t>2491.txt</t>
  </si>
  <si>
    <t>Hot Thin Rod in Wooden Tongs</t>
  </si>
  <si>
    <t>被木鉗夾著的熱細鋼棒</t>
  </si>
  <si>
    <t>被木钳夹着的热细钢棒</t>
  </si>
  <si>
    <t>Гарячий тонкий стрижень у дерев'яних щипцях</t>
  </si>
  <si>
    <t>2492.txt</t>
  </si>
  <si>
    <t>Thin Steel Rod in Wooden Tongs</t>
  </si>
  <si>
    <t>被木鉗夾著的細鋼棒</t>
  </si>
  <si>
    <t>被木钳夹着的细钢棒</t>
  </si>
  <si>
    <t>Тонкий сталевий стрижень у дерев'яних щипцях</t>
  </si>
  <si>
    <t>2493.txt</t>
  </si>
  <si>
    <t>Hot Thin Steel Rod</t>
  </si>
  <si>
    <t>熱細鋼棒</t>
  </si>
  <si>
    <t>热细钢棒</t>
  </si>
  <si>
    <t>Гарячий тонкий сталевий стрижень</t>
  </si>
  <si>
    <t>2494.txt</t>
  </si>
  <si>
    <t>Thin Steel Rod</t>
  </si>
  <si>
    <t>細鋼棒</t>
  </si>
  <si>
    <t>细钢棒</t>
  </si>
  <si>
    <t>Тонкий сталевий стрижень</t>
  </si>
  <si>
    <t>2495.txt</t>
  </si>
  <si>
    <t>Drill Bit</t>
  </si>
  <si>
    <t>鑽頭</t>
  </si>
  <si>
    <t>钻头</t>
  </si>
  <si>
    <t>Свердло</t>
  </si>
  <si>
    <t>2496.txt</t>
  </si>
  <si>
    <t>Drill Mechanism</t>
  </si>
  <si>
    <t>鑽機裝置</t>
  </si>
  <si>
    <t>钻机装置</t>
  </si>
  <si>
    <t>Механізм свердла</t>
  </si>
  <si>
    <t>2497.txt</t>
  </si>
  <si>
    <t>Drill Mechanism# just grabbed</t>
  </si>
  <si>
    <t>鑽機裝置# just grabbed</t>
  </si>
  <si>
    <t>钻机装置# just grabbed</t>
  </si>
  <si>
    <t>Свердлильний механізм # just grabbed</t>
  </si>
  <si>
    <t>2498.txt</t>
  </si>
  <si>
    <t>Firing Newcomen Drill</t>
  </si>
  <si>
    <t>发射纽科门钻</t>
  </si>
  <si>
    <t>2500.txt</t>
  </si>
  <si>
    <t>Newcomen Drill</t>
  </si>
  <si>
    <t>紐科門蒸汽鑽</t>
  </si>
  <si>
    <t>纽科门蒸汽钻</t>
  </si>
  <si>
    <t>Ньюкомен дриль</t>
  </si>
  <si>
    <t>2501.txt</t>
  </si>
  <si>
    <t>Newcomen Drill with Charcoal</t>
  </si>
  <si>
    <t>含木炭的纽科门钻孔机</t>
  </si>
  <si>
    <t>2502.txt</t>
  </si>
  <si>
    <t>Newcomen Drill with Full Boiler</t>
  </si>
  <si>
    <t>鍋爐裝滿水的紐科門蒸汽鑽</t>
  </si>
  <si>
    <t>锅炉装满水的纽科门蒸汽钻</t>
  </si>
  <si>
    <t>Сівалка Newcomen з повним котлом</t>
  </si>
  <si>
    <t>2503.txt</t>
  </si>
  <si>
    <t>Draw Plate</t>
  </si>
  <si>
    <t>拉板</t>
  </si>
  <si>
    <t>2504.txt</t>
  </si>
  <si>
    <t>Malachite</t>
  </si>
  <si>
    <t>孔雀石</t>
  </si>
  <si>
    <t>Малахіт</t>
  </si>
  <si>
    <t>2505.txt</t>
  </si>
  <si>
    <t>Crucible with Malachite and Charcoal</t>
  </si>
  <si>
    <t>裝著孔雀石和木炭的坩堝</t>
  </si>
  <si>
    <t>装着孔雀石和木炭的坩埚</t>
  </si>
  <si>
    <t>Тигель з малахітом і вугіллям</t>
  </si>
  <si>
    <t>2506.txt</t>
  </si>
  <si>
    <t>Unforged Sealed Copper Crucible</t>
  </si>
  <si>
    <t>未熔鍊的銅坩堝</t>
  </si>
  <si>
    <t>未熔炼的铜坩埚</t>
  </si>
  <si>
    <t>Некований запечатаний мідний тигель</t>
  </si>
  <si>
    <t>2507.txt</t>
  </si>
  <si>
    <t>Hot Forged Copper Crucible</t>
  </si>
  <si>
    <t>熱銅坩堝</t>
  </si>
  <si>
    <t>热铜坩埚</t>
  </si>
  <si>
    <t>Гаряче кований мідний тигель</t>
  </si>
  <si>
    <t>2508.txt</t>
  </si>
  <si>
    <t>Forged Copper Crucible</t>
  </si>
  <si>
    <t>已熔鍊的銅坩堝</t>
  </si>
  <si>
    <t>已熔炼的铜坩埚</t>
  </si>
  <si>
    <t>Кований мідний тигель</t>
  </si>
  <si>
    <t>2509.txt</t>
  </si>
  <si>
    <t>Cool Copper Crucible in Wooden Tongs</t>
  </si>
  <si>
    <t>被木鉗夾著的冷銅坩堝</t>
  </si>
  <si>
    <t>被木钳夹着的冷铜坩埚</t>
  </si>
  <si>
    <t>Прохолодний мідний тигель у дерев'яних щипцях</t>
  </si>
  <si>
    <t>2510.txt</t>
  </si>
  <si>
    <t>Unforged Copper Crucible in Wooden Tongs</t>
  </si>
  <si>
    <t>被木鉗夾著的未熔鍊的銅坩堝</t>
  </si>
  <si>
    <t>被木钳夹着的未熔炼的铜坩埚</t>
  </si>
  <si>
    <t>Некований мідний тигель у дерев'яних щипцях</t>
  </si>
  <si>
    <t>2511.txt</t>
  </si>
  <si>
    <t>Hot Copper Crucible in Wooden Tongs</t>
  </si>
  <si>
    <t>被木鉗夾著的熱銅坩堝</t>
  </si>
  <si>
    <t>被木钳夹着的热铜坩埚</t>
  </si>
  <si>
    <t>Гарячий мідний тигель у дерев'яних щипцях</t>
  </si>
  <si>
    <t>2512.txt</t>
  </si>
  <si>
    <t>Crucible with Copper</t>
  </si>
  <si>
    <t>裝著銅的坩堝</t>
  </si>
  <si>
    <t>装着铜的坩埚</t>
  </si>
  <si>
    <t>Тигель з міддю</t>
  </si>
  <si>
    <t>2513.txt</t>
  </si>
  <si>
    <t>Crucible with Malachite</t>
  </si>
  <si>
    <t>裝著孔雀石的坩堝</t>
  </si>
  <si>
    <t>装着孔雀石的坩埚</t>
  </si>
  <si>
    <t>Тигель з малахітом</t>
  </si>
  <si>
    <t>2514.txt</t>
  </si>
  <si>
    <t>Copper Ingot</t>
  </si>
  <si>
    <t>銅錠</t>
  </si>
  <si>
    <t>铜锭</t>
  </si>
  <si>
    <t>Мідний злиток</t>
  </si>
  <si>
    <t>2515.txt</t>
  </si>
  <si>
    <t>Calamine</t>
  </si>
  <si>
    <t>菱鋅礦</t>
  </si>
  <si>
    <t>菱锌矿</t>
  </si>
  <si>
    <t>Каламін</t>
  </si>
  <si>
    <t>2516.txt</t>
  </si>
  <si>
    <t>Crucible with Calamine</t>
  </si>
  <si>
    <t>裝著菱鋅礦的坩堝</t>
  </si>
  <si>
    <t>装着菱锌矿的坩埚</t>
  </si>
  <si>
    <t>Тигель з Каламіном</t>
  </si>
  <si>
    <t>2517.txt</t>
  </si>
  <si>
    <t>Crucible with Calamine and Charcoal</t>
  </si>
  <si>
    <t>裝著菱鋅礦和木炭的坩堝</t>
  </si>
  <si>
    <t>装着菱锌矿和木炭的坩埚</t>
  </si>
  <si>
    <t>Тигель з каламіном і вугіллям</t>
  </si>
  <si>
    <t>2518.txt</t>
  </si>
  <si>
    <t>Zinc Ingot</t>
  </si>
  <si>
    <t>鋅錠</t>
  </si>
  <si>
    <t>锌锭</t>
  </si>
  <si>
    <t>Злиток цинку</t>
  </si>
  <si>
    <t>2519.txt</t>
  </si>
  <si>
    <t>Cool Zinc Crucible in Wooden Tongs</t>
  </si>
  <si>
    <t>被木鉗夾著的冷鋅坩堝</t>
  </si>
  <si>
    <t>被木钳夹着的冷锌坩埚</t>
  </si>
  <si>
    <t>Прохолодний цинковий тигель у дерев'яних щипцях</t>
  </si>
  <si>
    <t>2520.txt</t>
  </si>
  <si>
    <t>Unforged Zinc Crucible in Wooden Tongs</t>
  </si>
  <si>
    <t>被木鉗夾著的未熔鍊的鋅坩堝</t>
  </si>
  <si>
    <t>被木钳夹着的未熔炼的锌坩埚</t>
  </si>
  <si>
    <t>Некований цинковий тигель у дерев'яних щипцях</t>
  </si>
  <si>
    <t>2521.txt</t>
  </si>
  <si>
    <t>Hot Zinc Crucible in Wooden Tongs</t>
  </si>
  <si>
    <t>被木鉗夾著的熱鋅坩堝</t>
  </si>
  <si>
    <t>被木钳夹着的热锌坩埚</t>
  </si>
  <si>
    <t>Гарячий цинковий тигель у дерев'яних щипцях</t>
  </si>
  <si>
    <t>2522.txt</t>
  </si>
  <si>
    <t>Unforged Sealed Zinc Crucible</t>
  </si>
  <si>
    <t>未熔鍊的鋅坩堝</t>
  </si>
  <si>
    <t>未熔炼的锌坩埚</t>
  </si>
  <si>
    <t>Некований герметичний цинковий тигель</t>
  </si>
  <si>
    <t>2523.txt</t>
  </si>
  <si>
    <t>Forged Zinc Crucible</t>
  </si>
  <si>
    <t>已熔鍊的鋅坩堝</t>
  </si>
  <si>
    <t>已熔炼的锌坩埚</t>
  </si>
  <si>
    <t>Кований цинковий тигель</t>
  </si>
  <si>
    <t>2524.txt</t>
  </si>
  <si>
    <t>Hot Forged Zinc Crucible</t>
  </si>
  <si>
    <t>熱鋅坩堝</t>
  </si>
  <si>
    <t>热锌坩埚</t>
  </si>
  <si>
    <t>Гаряче кований цинковий тигель</t>
  </si>
  <si>
    <t>2525.txt</t>
  </si>
  <si>
    <t>Crucible with Zinc</t>
  </si>
  <si>
    <t>鋅坩堝</t>
  </si>
  <si>
    <t>锌坩埚</t>
  </si>
  <si>
    <t>Тигель з цинком</t>
  </si>
  <si>
    <t>2526.txt</t>
  </si>
  <si>
    <t>Cool Zinc Ingot in Wooden Tongs</t>
  </si>
  <si>
    <t>被木鉗夾著的冷鋅棒</t>
  </si>
  <si>
    <t>被木钳夹着的冷锌棒</t>
  </si>
  <si>
    <t>Прохолодний цинковий злиток у дерев'яних щипцях</t>
  </si>
  <si>
    <t>2527.txt</t>
  </si>
  <si>
    <t>Warm Zinc Ingot in Wooden Tongs</t>
  </si>
  <si>
    <t>被木鉗夾著的熱鋅棒</t>
  </si>
  <si>
    <t>被木钳夹着的热锌棒</t>
  </si>
  <si>
    <t>Теплий цинковий злиток у дерев'яних щипцях</t>
  </si>
  <si>
    <t>2528.txt</t>
  </si>
  <si>
    <t>Zinc Rod in Wooden Tongs</t>
  </si>
  <si>
    <t>被木鉗夾著的鋅棒</t>
  </si>
  <si>
    <t>被木钳夹着的锌棒</t>
  </si>
  <si>
    <t>Цинковий стрижень у дерев'яних щипцях</t>
  </si>
  <si>
    <t>2529.txt</t>
  </si>
  <si>
    <t>Zinc Rod</t>
  </si>
  <si>
    <t>鋅棒</t>
  </si>
  <si>
    <t>锌棒</t>
  </si>
  <si>
    <t>Цинковий стрижень</t>
  </si>
  <si>
    <t>2530.txt</t>
  </si>
  <si>
    <t>Thin Copper Rod</t>
  </si>
  <si>
    <t>细铜棒</t>
  </si>
  <si>
    <t>2531.txt</t>
  </si>
  <si>
    <t>Copper Wire</t>
  </si>
  <si>
    <t>銅線</t>
  </si>
  <si>
    <t>铜线</t>
  </si>
  <si>
    <t>Мідний дріт</t>
  </si>
  <si>
    <t>2532.txt</t>
  </si>
  <si>
    <t>Copper Foil</t>
  </si>
  <si>
    <t>銅箔</t>
  </si>
  <si>
    <t>铜箔</t>
  </si>
  <si>
    <t>Мідна фольга</t>
  </si>
  <si>
    <t>2533.txt</t>
  </si>
  <si>
    <t>Foil and Paper Sandwich</t>
  </si>
  <si>
    <t>箔紙夾心</t>
  </si>
  <si>
    <t>箔纸三明治</t>
  </si>
  <si>
    <t>Сендвіч із фольги та паперу</t>
  </si>
  <si>
    <t>2535.txt</t>
  </si>
  <si>
    <t>Capacitor</t>
  </si>
  <si>
    <t>電容</t>
  </si>
  <si>
    <t>电容器</t>
  </si>
  <si>
    <t>Конденсатор</t>
  </si>
  <si>
    <t>2536.txt</t>
  </si>
  <si>
    <t>Copper Coil</t>
  </si>
  <si>
    <t>銅線圈</t>
  </si>
  <si>
    <t>铜线圈</t>
  </si>
  <si>
    <t>Мідна котушка</t>
  </si>
  <si>
    <t>2537.txt</t>
  </si>
  <si>
    <t>Short Antenna</t>
  </si>
  <si>
    <t>短天線</t>
  </si>
  <si>
    <t>短天线</t>
  </si>
  <si>
    <t>Коротка антена</t>
  </si>
  <si>
    <t>2538.txt</t>
  </si>
  <si>
    <t>Medium Antenna</t>
  </si>
  <si>
    <t>中型天线</t>
  </si>
  <si>
    <t>2539.txt</t>
  </si>
  <si>
    <t>Long Antenna</t>
  </si>
  <si>
    <t>长天线</t>
  </si>
  <si>
    <t>2540.txt</t>
  </si>
  <si>
    <t>Niter</t>
  </si>
  <si>
    <t>硝石</t>
  </si>
  <si>
    <t>Селітра</t>
  </si>
  <si>
    <t>2541.txt</t>
  </si>
  <si>
    <t>Bowl of Niter Solution</t>
  </si>
  <si>
    <t>一碗硝酸钠溶液</t>
  </si>
  <si>
    <t>2542.txt</t>
  </si>
  <si>
    <t>Bowl of Dissolved Niter with Ashes</t>
  </si>
  <si>
    <t>一碗溶解的硝石灰</t>
  </si>
  <si>
    <t>2543.txt</t>
  </si>
  <si>
    <t>Ash Niter Solution with Filter Paper</t>
  </si>
  <si>
    <t>帶濾紙的灰硝溶液</t>
  </si>
  <si>
    <t>带滤纸的灰硝溶液</t>
  </si>
  <si>
    <t>Розчин зольної селітри з фільтрувальним папером</t>
  </si>
  <si>
    <t>2544.txt</t>
  </si>
  <si>
    <t>Bowl of Saltpeter Solution</t>
  </si>
  <si>
    <t>2545.txt</t>
  </si>
  <si>
    <t>Bowl with Dirty Filter Paper</t>
  </si>
  <si>
    <t>一碗污濁濾紙</t>
  </si>
  <si>
    <t>一碗污浊滤纸</t>
  </si>
  <si>
    <t>Чаша з брудним фільтрувальним папером</t>
  </si>
  <si>
    <t>2546.txt</t>
  </si>
  <si>
    <t>Dirty filter Paper</t>
  </si>
  <si>
    <t>污濁濾紙</t>
  </si>
  <si>
    <t>污浊滤纸</t>
  </si>
  <si>
    <t>Брудний фільтрувальний папір</t>
  </si>
  <si>
    <t>2547.txt</t>
  </si>
  <si>
    <t>Bowl of Saltpeter</t>
  </si>
  <si>
    <t>一碗硝酸鉀</t>
  </si>
  <si>
    <t>一碗硝酸钾</t>
  </si>
  <si>
    <t>Чаша з селітрою</t>
  </si>
  <si>
    <t>2548.txt</t>
  </si>
  <si>
    <t>Copper Pot</t>
  </si>
  <si>
    <t>銅罐</t>
  </si>
  <si>
    <t>铜罐</t>
  </si>
  <si>
    <t>Мідний горщик</t>
  </si>
  <si>
    <t>2549.txt</t>
  </si>
  <si>
    <t>Bowl of Saltpeter and Sulfur</t>
  </si>
  <si>
    <t>一碗硝酸鉀和硫磺</t>
  </si>
  <si>
    <t>一碗硝酸钾和硫磺</t>
  </si>
  <si>
    <t>Чаша з селітрою та сіркою</t>
  </si>
  <si>
    <t>2550.txt</t>
  </si>
  <si>
    <t>Sulfur Trioxide Reaction</t>
  </si>
  <si>
    <t>三氧化硫反應</t>
  </si>
  <si>
    <t>三氧化硫反应</t>
  </si>
  <si>
    <t>Реакція триоксиду сірки</t>
  </si>
  <si>
    <t>2551.txt</t>
  </si>
  <si>
    <t>Sulfuric Acid on Ashes</t>
  </si>
  <si>
    <t>在灰燼上的硫酸</t>
  </si>
  <si>
    <t>在灰烬上的硫酸</t>
  </si>
  <si>
    <t>Сірчана кислота на попелі</t>
  </si>
  <si>
    <t>2552.txt</t>
  </si>
  <si>
    <t>Bowl of Sulfuric Acid</t>
  </si>
  <si>
    <t>硫酸碗</t>
  </si>
  <si>
    <t>2553.txt</t>
  </si>
  <si>
    <t>Bowl of Copper Sulfate</t>
  </si>
  <si>
    <t>硫酸铜碗</t>
  </si>
  <si>
    <t>2554.txt</t>
  </si>
  <si>
    <t>Pot of Copper Sulfate</t>
  </si>
  <si>
    <t>一罐硫酸銅</t>
  </si>
  <si>
    <t>硫酸铜罐</t>
  </si>
  <si>
    <t>Горщик з мідним купоросом</t>
  </si>
  <si>
    <t>2555.txt</t>
  </si>
  <si>
    <t>Daniell Cell Anode</t>
  </si>
  <si>
    <t>丹尼爾電池陽極</t>
  </si>
  <si>
    <t>丹尼尔电池阳极</t>
  </si>
  <si>
    <t>Анод Daniell Cell</t>
  </si>
  <si>
    <t>2556.txt</t>
  </si>
  <si>
    <t>Light Bulb</t>
  </si>
  <si>
    <t>燈泡</t>
  </si>
  <si>
    <t>灯泡</t>
  </si>
  <si>
    <t>Лампочка</t>
  </si>
  <si>
    <t>2557.txt</t>
  </si>
  <si>
    <t>Glasswort</t>
  </si>
  <si>
    <t>厚岸草</t>
  </si>
  <si>
    <t>玻璃草</t>
  </si>
  <si>
    <t>Склянка</t>
  </si>
  <si>
    <t>2558.txt</t>
  </si>
  <si>
    <t>Cut Glasswort</t>
  </si>
  <si>
    <t>被挖起的厚岸草</t>
  </si>
  <si>
    <t>切割玻璃草</t>
  </si>
  <si>
    <t>Зрізати Склянку</t>
  </si>
  <si>
    <t>2559.txt</t>
  </si>
  <si>
    <t>Dry Glasswort</t>
  </si>
  <si>
    <t>乾燥的厚岸草</t>
  </si>
  <si>
    <t>干玻璃草</t>
  </si>
  <si>
    <t>Суха стеклярус</t>
  </si>
  <si>
    <t>2560.txt</t>
  </si>
  <si>
    <t>Burning Glasswort</t>
  </si>
  <si>
    <t>燃燒的厚岸草</t>
  </si>
  <si>
    <t>燃烧玻璃草</t>
  </si>
  <si>
    <t>Палаюча скловолокна</t>
  </si>
  <si>
    <t>2561.txt</t>
  </si>
  <si>
    <t>Glasswort Ashes</t>
  </si>
  <si>
    <t>草木灰</t>
  </si>
  <si>
    <t>玻璃草灰烬</t>
  </si>
  <si>
    <t>Попіл стекла</t>
  </si>
  <si>
    <t>2562.txt</t>
  </si>
  <si>
    <t>Bowl of Glasswort Ashes</t>
  </si>
  <si>
    <t>一碗草木灰</t>
  </si>
  <si>
    <t>玻璃草灰碗</t>
  </si>
  <si>
    <t>Чаша з попелом склянки</t>
  </si>
  <si>
    <t>2563.txt</t>
  </si>
  <si>
    <t>Bowl of Soaking Glasswort Ashes</t>
  </si>
  <si>
    <t>一碗浸泡的玻璃草灰烬</t>
  </si>
  <si>
    <t>2564.txt</t>
  </si>
  <si>
    <t>Bowl of Glasswort Ashes with Filter Paper</t>
  </si>
  <si>
    <t>装有滤纸的玻璃草灰碗</t>
  </si>
  <si>
    <t>2565.txt</t>
  </si>
  <si>
    <t>Bowl of Soda Ash Solution</t>
  </si>
  <si>
    <t>一碗苏打水溶液</t>
  </si>
  <si>
    <t>2566.txt</t>
  </si>
  <si>
    <t>Bowl of Soda Ash</t>
  </si>
  <si>
    <t>一碗純鹼</t>
  </si>
  <si>
    <t>一碗纯碱</t>
  </si>
  <si>
    <t>Чаша кальцинованої соди</t>
  </si>
  <si>
    <t>2567.txt</t>
  </si>
  <si>
    <t>Sand Deposit</t>
  </si>
  <si>
    <t>沙堆</t>
  </si>
  <si>
    <t>Поклад піску</t>
  </si>
  <si>
    <t>2568.txt</t>
  </si>
  <si>
    <t>Sand Pit</t>
  </si>
  <si>
    <t>沙坑</t>
  </si>
  <si>
    <t>Піщана яма</t>
  </si>
  <si>
    <t>2569.txt</t>
  </si>
  <si>
    <t>Empty Sand Pit</t>
  </si>
  <si>
    <t>空沙坑</t>
  </si>
  <si>
    <t>Порожній піщаний кар'єр</t>
  </si>
  <si>
    <t>2570.txt</t>
  </si>
  <si>
    <t>Bowl of Sand</t>
  </si>
  <si>
    <t>一碗沙子</t>
  </si>
  <si>
    <t>Чаша з піском</t>
  </si>
  <si>
    <t>2571.txt</t>
  </si>
  <si>
    <t>Small Sand Pile</t>
  </si>
  <si>
    <t>小沙堆</t>
  </si>
  <si>
    <t>Невелика купа піску</t>
  </si>
  <si>
    <t>2572.txt</t>
  </si>
  <si>
    <t>Bowl of Soda Lime Mixture</t>
  </si>
  <si>
    <t>一碗鹼石灰混合物</t>
  </si>
  <si>
    <t>一碗碱石灰混合物</t>
  </si>
  <si>
    <t>Чаша з вапняно-натронною сумішшю</t>
  </si>
  <si>
    <t>2573.txt</t>
  </si>
  <si>
    <t>Soda Lime Glass Batch</t>
  </si>
  <si>
    <t>鹼石灰玻璃坯</t>
  </si>
  <si>
    <t>碱石灰玻璃坯</t>
  </si>
  <si>
    <t>Партія натрієвого скла</t>
  </si>
  <si>
    <t>2574.txt</t>
  </si>
  <si>
    <t>Molten Glass</t>
  </si>
  <si>
    <t>熔融玻璃</t>
  </si>
  <si>
    <t>Розплавлене скло</t>
  </si>
  <si>
    <t>2575.txt</t>
  </si>
  <si>
    <t>Thin Steel Pipe</t>
  </si>
  <si>
    <t>薄钢管</t>
  </si>
  <si>
    <t>2576.txt</t>
  </si>
  <si>
    <t>Molten Glass in Wooden Tongs</t>
  </si>
  <si>
    <t>被木鉗夾著的熔融玻璃</t>
  </si>
  <si>
    <t>被木钳夹着的熔融玻璃</t>
  </si>
  <si>
    <t>Розплавлене скло в дерев'яних щипцях</t>
  </si>
  <si>
    <t>2577.txt</t>
  </si>
  <si>
    <t>Soda Lime Batch in Wooden Tongs</t>
  </si>
  <si>
    <t>被木鉗夾著的鹼石灰玻璃坯</t>
  </si>
  <si>
    <t>被木钳夹着的碱石灰玻璃坯</t>
  </si>
  <si>
    <t>Порція натронного вапна в дерев’яних щипцях</t>
  </si>
  <si>
    <t>2578.txt</t>
  </si>
  <si>
    <t>Cool Glass</t>
  </si>
  <si>
    <t>冷卻玻璃</t>
  </si>
  <si>
    <t>冷却玻璃</t>
  </si>
  <si>
    <t>Круте скло</t>
  </si>
  <si>
    <t>2579.txt</t>
  </si>
  <si>
    <t>Cool Glass in Wooden Tongs</t>
  </si>
  <si>
    <t>被木鉗夾著的冷卻玻璃</t>
  </si>
  <si>
    <t>被木钳夹着的冷却玻璃</t>
  </si>
  <si>
    <t>Прохолодне скло в дерев'яних щипцях</t>
  </si>
  <si>
    <t>2580.txt</t>
  </si>
  <si>
    <t>Blowpipe With Hot Glass Bulb</t>
  </si>
  <si>
    <t>帶熱玻璃燈泡的吹管</t>
  </si>
  <si>
    <t>带热玻璃灯泡的吹管</t>
  </si>
  <si>
    <t>Духова труба з гарячою скляною колбою</t>
  </si>
  <si>
    <t>2581.txt</t>
  </si>
  <si>
    <t>Blowpipe With Cool Glass Bulb</t>
  </si>
  <si>
    <t>帶冷卻玻璃燈泡的吹管</t>
  </si>
  <si>
    <t>带冷却玻璃灯泡的吹管</t>
  </si>
  <si>
    <t>Духова труба з прохолодною скляною колбою</t>
  </si>
  <si>
    <t>2582.txt</t>
  </si>
  <si>
    <t>Cool Glass# just added</t>
  </si>
  <si>
    <t>冷卻玻璃# just added</t>
  </si>
  <si>
    <t>冷却玻璃# just added</t>
  </si>
  <si>
    <t>2583.txt</t>
  </si>
  <si>
    <t>Thread in Clay Bowl</t>
  </si>
  <si>
    <t>一碗絲線</t>
  </si>
  <si>
    <t>一碗丝线</t>
  </si>
  <si>
    <t>Нитка в глиняній чаші</t>
  </si>
  <si>
    <t>2584.txt</t>
  </si>
  <si>
    <t>Thread in Sealed Crucible</t>
  </si>
  <si>
    <t>裝著絲線的坩堝</t>
  </si>
  <si>
    <t>装着丝线的坩埚</t>
  </si>
  <si>
    <t>Нитка в герметичному тиглі</t>
  </si>
  <si>
    <t>2585.txt</t>
  </si>
  <si>
    <t>Thread Crucible in Wooden Tongs</t>
  </si>
  <si>
    <t>被木鉗夾著的絲線坩堝</t>
  </si>
  <si>
    <t>被木钳夹着的丝线坩埚</t>
  </si>
  <si>
    <t>Тигель для ниток у дерев'яних щипцях</t>
  </si>
  <si>
    <t>2586.txt</t>
  </si>
  <si>
    <t>Filament Crucible in Wooden Tongs</t>
  </si>
  <si>
    <t>被木鉗夾著的炭絲坩堝</t>
  </si>
  <si>
    <t>被木钳夹着的炭丝坩埚</t>
  </si>
  <si>
    <t>Тигель для нитки в дерев'яних щипцях</t>
  </si>
  <si>
    <t>2587.txt</t>
  </si>
  <si>
    <t>Filament in Sealed Crucible</t>
  </si>
  <si>
    <t>裝著炭絲的坩堝</t>
  </si>
  <si>
    <t>装着炭丝的坩埚</t>
  </si>
  <si>
    <t>2588.txt</t>
  </si>
  <si>
    <t>Carbon Filament in Clay Bowl</t>
  </si>
  <si>
    <t>一碗炭絲</t>
  </si>
  <si>
    <t>一碗炭丝</t>
  </si>
  <si>
    <t>Вугільна нитка в глиняній чаші</t>
  </si>
  <si>
    <t>2589.txt</t>
  </si>
  <si>
    <t>Carbon Filament</t>
  </si>
  <si>
    <t>炭絲</t>
  </si>
  <si>
    <t>炭丝</t>
  </si>
  <si>
    <t>Вугільна нитка</t>
  </si>
  <si>
    <t>2590.txt</t>
  </si>
  <si>
    <t>Carbon Filament with Wire Leads</t>
  </si>
  <si>
    <t>帶引線的炭絲</t>
  </si>
  <si>
    <t>带引线的炭丝</t>
  </si>
  <si>
    <t>Вугільна нитка з проводами</t>
  </si>
  <si>
    <t>2591.txt</t>
  </si>
  <si>
    <t>Wrought Iron with Filings</t>
  </si>
  <si>
    <t>鍛鐵和鐵屑</t>
  </si>
  <si>
    <t>锻铁和铁屑</t>
  </si>
  <si>
    <t>Ковані з ошурками</t>
  </si>
  <si>
    <t>2592.txt</t>
  </si>
  <si>
    <t>Iron Filings</t>
  </si>
  <si>
    <t>鐵屑</t>
  </si>
  <si>
    <t>铁屑</t>
  </si>
  <si>
    <t>Залізні стружки</t>
  </si>
  <si>
    <t>2594.txt</t>
  </si>
  <si>
    <t>Clay Bowl with Coherer Parts</t>
  </si>
  <si>
    <t>一碗部分檢波器</t>
  </si>
  <si>
    <t>一碗部分检波器</t>
  </si>
  <si>
    <t>Глиняна миска з деталями Coherer</t>
  </si>
  <si>
    <t>2595.txt</t>
  </si>
  <si>
    <t>Bowl of Iron Filings</t>
  </si>
  <si>
    <t>一碗鐵屑</t>
  </si>
  <si>
    <t>一碗铁屑</t>
  </si>
  <si>
    <t>Чаша із залізними ошурками</t>
  </si>
  <si>
    <t>2596.txt</t>
  </si>
  <si>
    <t>Coherer</t>
  </si>
  <si>
    <t>檢波器</t>
  </si>
  <si>
    <t>检波器</t>
  </si>
  <si>
    <t>Когерер</t>
  </si>
  <si>
    <t>2597.txt</t>
  </si>
  <si>
    <t>Bowl with Coherer</t>
  </si>
  <si>
    <t>一碗檢波器</t>
  </si>
  <si>
    <t>一碗检波器</t>
  </si>
  <si>
    <t>Чаша з Coherer</t>
  </si>
  <si>
    <t>2598.txt</t>
  </si>
  <si>
    <t>Iron Rod in Wooden Tongs</t>
  </si>
  <si>
    <t>被木鉗夾著的鐵棒</t>
  </si>
  <si>
    <t>被木钳夹着的铁棒</t>
  </si>
  <si>
    <t>Залізний прут у дерев'яних щипцях</t>
  </si>
  <si>
    <t>2599.txt</t>
  </si>
  <si>
    <t>Iron Rod</t>
  </si>
  <si>
    <t>鐵棒</t>
  </si>
  <si>
    <t>铁棒</t>
  </si>
  <si>
    <t>Залізний жезл</t>
  </si>
  <si>
    <t>2600.txt</t>
  </si>
  <si>
    <t>Electromagnet</t>
  </si>
  <si>
    <t>電磁鐵</t>
  </si>
  <si>
    <t>电磁铁</t>
  </si>
  <si>
    <t>Електромагніт</t>
  </si>
  <si>
    <t>2601.txt</t>
  </si>
  <si>
    <t>Spark Terminal</t>
  </si>
  <si>
    <t>火花端子</t>
  </si>
  <si>
    <t>Термінал Spark</t>
  </si>
  <si>
    <t>2602.txt</t>
  </si>
  <si>
    <t>Two Spark Terminals</t>
  </si>
  <si>
    <t>兩個火花端子</t>
  </si>
  <si>
    <t>两个火花端子</t>
  </si>
  <si>
    <t>Дві клеми Spark</t>
  </si>
  <si>
    <t>2603.txt</t>
  </si>
  <si>
    <t>Partial Spark Gap Transmitter# 1</t>
  </si>
  <si>
    <t>不完整火花隙變送器# 1</t>
  </si>
  <si>
    <t>不完整火花隙变送器# 1</t>
  </si>
  <si>
    <t>Передавач із частковим іскровим проміжком # 1</t>
  </si>
  <si>
    <t>2604.txt</t>
  </si>
  <si>
    <t>Two Capacitors</t>
  </si>
  <si>
    <t>兩個電容</t>
  </si>
  <si>
    <t>两个电容</t>
  </si>
  <si>
    <t>Два конденсатора</t>
  </si>
  <si>
    <t>2605.txt</t>
  </si>
  <si>
    <t>Partial Spark Gap Transmitter# 2</t>
  </si>
  <si>
    <t>不完整火花隙變送器# 2</t>
  </si>
  <si>
    <t>不完整火花隙变送器# 2</t>
  </si>
  <si>
    <t>Передавач із частковим іскровим проміжком # 2</t>
  </si>
  <si>
    <t>2606.txt</t>
  </si>
  <si>
    <t>Partial Spark Gap Transmitter# 3</t>
  </si>
  <si>
    <t>不完整火花隙變送器# 3</t>
  </si>
  <si>
    <t>不完整火花隙变送器# 3</t>
  </si>
  <si>
    <t>Передавач із частковим іскровим проміжком # 3</t>
  </si>
  <si>
    <t>2607.txt</t>
  </si>
  <si>
    <t>High Frequency Spark Gap Transmitter# !global1</t>
  </si>
  <si>
    <t>高頻火花隙變送器# !global1</t>
  </si>
  <si>
    <t>高频火花隙变送器# !global1</t>
  </si>
  <si>
    <t>Високочастотний передавач іскрового розрядника# !global1</t>
  </si>
  <si>
    <t>2608.txt</t>
  </si>
  <si>
    <t>Medium Frequency Spark Gap Transmitter# !global2</t>
  </si>
  <si>
    <t>中頻火花隙變送器# !global2</t>
  </si>
  <si>
    <t>中频火花隙变送器# !global2</t>
  </si>
  <si>
    <t>Середньочастотний іскровий передавач# !global2</t>
  </si>
  <si>
    <t>2609.txt</t>
  </si>
  <si>
    <t>Low Frequency Spark Gap Transmitter# !global3</t>
  </si>
  <si>
    <t>低頻火花隙變送器# !global3</t>
  </si>
  <si>
    <t>低频火花隙变送器# !global3</t>
  </si>
  <si>
    <t>Низькочастотний передавач іскрового розрядника# !global3</t>
  </si>
  <si>
    <t>2610.txt</t>
  </si>
  <si>
    <t>Operating High Frequency Transmitter# *global1</t>
  </si>
  <si>
    <t>操作中的高頻發報機# *global1</t>
  </si>
  <si>
    <t>操作中的高频发报机# *global1</t>
  </si>
  <si>
    <t>Робочий високочастотний передавач# *global1</t>
  </si>
  <si>
    <t>2611.txt</t>
  </si>
  <si>
    <t>Operating Medium Frequency Transmitter# *global2</t>
  </si>
  <si>
    <t>操作中的中頻發報機# *global2</t>
  </si>
  <si>
    <t>操作中的中频发报机# *global2</t>
  </si>
  <si>
    <t>Робочий середньочастотний передавач# *global2</t>
  </si>
  <si>
    <t>2612.txt</t>
  </si>
  <si>
    <t>Operating Low Frequency Transmitter# *global3</t>
  </si>
  <si>
    <t>操作中的低頻發報機# *global3</t>
  </si>
  <si>
    <t>操作中的低频发报机# *global3</t>
  </si>
  <si>
    <t>Робочий низькочастотний передавач# *global3</t>
  </si>
  <si>
    <t>2613.txt</t>
  </si>
  <si>
    <t>Partial Marconi Receiver# 1</t>
  </si>
  <si>
    <t>不完整無線電報接收器# 1</t>
  </si>
  <si>
    <t>不完整无线电报接收器# 1</t>
  </si>
  <si>
    <t>Частковий приймач Марконі # 1</t>
  </si>
  <si>
    <t>2614.txt</t>
  </si>
  <si>
    <t>Two Copper Coils</t>
  </si>
  <si>
    <t>兩個銅線圈</t>
  </si>
  <si>
    <t>两个铜线圈</t>
  </si>
  <si>
    <t>Дві мідні котушки</t>
  </si>
  <si>
    <t>2615.txt</t>
  </si>
  <si>
    <t>Partial Marconi Receiver# 2</t>
  </si>
  <si>
    <t>不完整無線電報接收器# 2</t>
  </si>
  <si>
    <t>不完整无线电报接收器# 2</t>
  </si>
  <si>
    <t>Частковий приймач Марконі # 2</t>
  </si>
  <si>
    <t>2616.txt</t>
  </si>
  <si>
    <t>Partial Marconi Receiver# 3</t>
  </si>
  <si>
    <t>不完整無線電報接收器# 3</t>
  </si>
  <si>
    <t>不完整无线电报接收器# 3</t>
  </si>
  <si>
    <t>Частковий приймач Марконі # 3</t>
  </si>
  <si>
    <t>2617.txt</t>
  </si>
  <si>
    <t>Partial Marconi Receiver# 4</t>
  </si>
  <si>
    <t>不完整無線電報接收器# 4</t>
  </si>
  <si>
    <t>不完整无线电报接收器# 4</t>
  </si>
  <si>
    <t>Частковий приймач Марконі # 4</t>
  </si>
  <si>
    <t>2619.txt</t>
  </si>
  <si>
    <t>Two Daniell Cells</t>
  </si>
  <si>
    <t>兩節丹尼爾電池</t>
  </si>
  <si>
    <t>两节丹尼尔电池</t>
  </si>
  <si>
    <t>Дві камери Daniell</t>
  </si>
  <si>
    <t>2620.txt</t>
  </si>
  <si>
    <t>Partial Marconi Receiver# 5</t>
  </si>
  <si>
    <t>不完整無線電報接收器# 5</t>
  </si>
  <si>
    <t>不完整无线电报接收器# 5</t>
  </si>
  <si>
    <t>Частковий приймач Марконі # 5</t>
  </si>
  <si>
    <t>2621.txt</t>
  </si>
  <si>
    <t>High Frequency Marconi Receiver# &gt;global1</t>
  </si>
  <si>
    <t>高頻無線電報接收器# &gt;global1</t>
  </si>
  <si>
    <t>高频无线电报接收器# &gt;global1</t>
  </si>
  <si>
    <t>Високочастотний приймач Marconi# &gt;global1</t>
  </si>
  <si>
    <t>2622.txt</t>
  </si>
  <si>
    <t>Medium Frequency Marconi Receiver# &gt;global2</t>
  </si>
  <si>
    <t>中頻無線電報接收器# &gt;global2</t>
  </si>
  <si>
    <t>中频无线电报接收器# &gt;global2</t>
  </si>
  <si>
    <t>Середньочастотний приймач Marconi# &gt;global2</t>
  </si>
  <si>
    <t>2623.txt</t>
  </si>
  <si>
    <t>Low Frequency Marconi Receiver# &gt;global3</t>
  </si>
  <si>
    <t>低頻無線電報接收器# &gt;global3</t>
  </si>
  <si>
    <t>低频无线电报接收器# &gt;global3</t>
  </si>
  <si>
    <t>Низькочастотний приймач Marconi# &gt;global3</t>
  </si>
  <si>
    <t>2624.txt</t>
  </si>
  <si>
    <t>High Frequency Marconi Receiver# on</t>
  </si>
  <si>
    <t>高頻無線電報接收器# on</t>
  </si>
  <si>
    <t>高频无线电报接收器# on</t>
  </si>
  <si>
    <t>Високочастотний приймач Marconi# on</t>
  </si>
  <si>
    <t>2625.txt</t>
  </si>
  <si>
    <t>Medium Frequency Marconi Receiver# on</t>
  </si>
  <si>
    <t>中頻無線電報接收器# on</t>
  </si>
  <si>
    <t>中频无线电报接收器# on</t>
  </si>
  <si>
    <t>Середньочастотний приймач Marconi# on</t>
  </si>
  <si>
    <t>2626.txt</t>
  </si>
  <si>
    <t>Low Frequency Marconi Receiver# on</t>
  </si>
  <si>
    <t>低頻無線電報接收器# on</t>
  </si>
  <si>
    <t>低频无线电报接收器# on</t>
  </si>
  <si>
    <t>Низькочастотний приймач Marconi# on</t>
  </si>
  <si>
    <t>2627.txt</t>
  </si>
  <si>
    <t>&gt;global1</t>
  </si>
  <si>
    <t>&gt;全服頻道1</t>
  </si>
  <si>
    <t>&gt;全服频道1</t>
  </si>
  <si>
    <t>&gt;глобальний1</t>
  </si>
  <si>
    <t>2629.txt</t>
  </si>
  <si>
    <t>&gt;global2</t>
  </si>
  <si>
    <t>&gt;全服頻道2</t>
  </si>
  <si>
    <t>&gt;全服频道2</t>
  </si>
  <si>
    <t>&gt;глобальний2</t>
  </si>
  <si>
    <t>2631.txt</t>
  </si>
  <si>
    <t>&gt;global3</t>
  </si>
  <si>
    <t>&gt;全服頻道3</t>
  </si>
  <si>
    <t>&gt;全服频道3</t>
  </si>
  <si>
    <t>&gt;глобальний3</t>
  </si>
  <si>
    <t>2634.txt</t>
  </si>
  <si>
    <t>Hot Steel Rod in Wooden Tongs# reheated</t>
  </si>
  <si>
    <t>木钳中的热钢条# reheated</t>
  </si>
  <si>
    <t>2635.txt</t>
  </si>
  <si>
    <t>Hot Steel Rod in Wooden Tongs# grabbed</t>
  </si>
  <si>
    <t>木钳中的热钢条# grabbed</t>
  </si>
  <si>
    <t>2636.txt</t>
  </si>
  <si>
    <t>Cool Glass in Wooden Tongs# grabbed</t>
  </si>
  <si>
    <t>被木鉗夾著的冷卻玻璃# grabbed</t>
  </si>
  <si>
    <t>木钳中的清凉玻璃# grabbed</t>
  </si>
  <si>
    <t>Класне скло в дерев'яних щипцях# grabbed</t>
  </si>
  <si>
    <t>2638.txt</t>
  </si>
  <si>
    <t>Diode Leads</t>
  </si>
  <si>
    <t>二極管引線</t>
  </si>
  <si>
    <t>二极管引线</t>
  </si>
  <si>
    <t>Виводи діодів</t>
  </si>
  <si>
    <t>2639.txt</t>
  </si>
  <si>
    <t>Triode Leads</t>
  </si>
  <si>
    <t>三極管引線</t>
  </si>
  <si>
    <t>三极管引线</t>
  </si>
  <si>
    <t>Тріод Ліди</t>
  </si>
  <si>
    <t>2640.txt</t>
  </si>
  <si>
    <t>Vacuum Diode</t>
  </si>
  <si>
    <t>真空二極管</t>
  </si>
  <si>
    <t>真空二极管</t>
  </si>
  <si>
    <t>Вакуумний діод</t>
  </si>
  <si>
    <t>2641.txt</t>
  </si>
  <si>
    <t>Vacuum Triode</t>
  </si>
  <si>
    <t>真空三極管</t>
  </si>
  <si>
    <t>真空三极管</t>
  </si>
  <si>
    <t>Вакуумний Тріод</t>
  </si>
  <si>
    <t>2642.txt</t>
  </si>
  <si>
    <t>Carbon Microphone</t>
  </si>
  <si>
    <t>碳纖維麥克風</t>
  </si>
  <si>
    <t>碳纤维麦克风</t>
  </si>
  <si>
    <t>Карбоновий мікрофон</t>
  </si>
  <si>
    <t>2643.txt</t>
  </si>
  <si>
    <t>Copper Foil with Carbon Granules</t>
  </si>
  <si>
    <t>碳粒銅箔</t>
  </si>
  <si>
    <t>碳粒铜箔</t>
  </si>
  <si>
    <t>Мідна фольга з вуглецевими гранулами</t>
  </si>
  <si>
    <t>2644.txt</t>
  </si>
  <si>
    <t>Copper Foil Carbon Sandwich</t>
  </si>
  <si>
    <t>銅箔碳夾心</t>
  </si>
  <si>
    <t>铜箔碳夹心</t>
  </si>
  <si>
    <t>Карбоновий сендвіч із мідної фольги</t>
  </si>
  <si>
    <t>2645.txt</t>
  </si>
  <si>
    <t>Loudspeaker</t>
  </si>
  <si>
    <t>揚聲器</t>
  </si>
  <si>
    <t>扬声器</t>
  </si>
  <si>
    <t>Гучномовець</t>
  </si>
  <si>
    <t>2646.txt</t>
  </si>
  <si>
    <t>Two Vacuum Triodes</t>
  </si>
  <si>
    <t>兩個真空三極管</t>
  </si>
  <si>
    <t>两个真空三极管</t>
  </si>
  <si>
    <t>Два вакуумних тріода</t>
  </si>
  <si>
    <t>2647.txt</t>
  </si>
  <si>
    <t>Partial AM Transmitter# 1</t>
  </si>
  <si>
    <t>不完整調幅發射機# 1</t>
  </si>
  <si>
    <t>不完整调幅发射机# 1</t>
  </si>
  <si>
    <t>Частковий передавач AM # 1</t>
  </si>
  <si>
    <t>2648.txt</t>
  </si>
  <si>
    <t>Partial AM Transmitter# 2</t>
  </si>
  <si>
    <t>不完整調幅發射機# 2</t>
  </si>
  <si>
    <t>不完整调幅发射机# 2</t>
  </si>
  <si>
    <t>Частковий передавач AM # 2</t>
  </si>
  <si>
    <t>2650.txt</t>
  </si>
  <si>
    <t>Partial AM Transmitter# 3</t>
  </si>
  <si>
    <t>不完整調幅發射機# 3</t>
  </si>
  <si>
    <t>不完整调幅发射机# 3</t>
  </si>
  <si>
    <t>Частковий передавач AM # 3</t>
  </si>
  <si>
    <t>2651.txt</t>
  </si>
  <si>
    <t>Three Capacitors</t>
  </si>
  <si>
    <t>三個電容</t>
  </si>
  <si>
    <t>三个电容</t>
  </si>
  <si>
    <t>Три конденсатори</t>
  </si>
  <si>
    <t>2652.txt</t>
  </si>
  <si>
    <t>Partial AM Transmitter# 4</t>
  </si>
  <si>
    <t>不完整調幅發射機# 4</t>
  </si>
  <si>
    <t>不完整调幅发射机# 4</t>
  </si>
  <si>
    <t>Частковий передавач AM # 4</t>
  </si>
  <si>
    <t>2653.txt</t>
  </si>
  <si>
    <t>Unpowered High Frequency AM Transmitter</t>
  </si>
  <si>
    <t>沒電的高頻調幅發射機</t>
  </si>
  <si>
    <t>没电的高频调幅发射机</t>
  </si>
  <si>
    <t>Вимкнений високочастотний передавач AM</t>
  </si>
  <si>
    <t>2654.txt</t>
  </si>
  <si>
    <t>Unpowered Medium Frequency AM Transmitter</t>
  </si>
  <si>
    <t>沒電的中頻調幅發射機</t>
  </si>
  <si>
    <t>没电的中频调幅发射机</t>
  </si>
  <si>
    <t>Неактивний середньочастотний передавач AM</t>
  </si>
  <si>
    <t>2655.txt</t>
  </si>
  <si>
    <t>Unpowered Low Frequency AM Transmitter</t>
  </si>
  <si>
    <t>沒電的低頻調幅發射機</t>
  </si>
  <si>
    <t>没电的低频调幅发射机</t>
  </si>
  <si>
    <t>Низькочастотний AM передавач без живлення</t>
  </si>
  <si>
    <t>2656.txt</t>
  </si>
  <si>
    <t>Low Frequency AM Transmitter# speechIn_0</t>
  </si>
  <si>
    <t>低頻調幅發射機# speechIn_0</t>
  </si>
  <si>
    <t>低频调幅发射机# speechIn_0</t>
  </si>
  <si>
    <t>Низькочастотний AM передавач# speakIn_0</t>
  </si>
  <si>
    <t>2659.txt</t>
  </si>
  <si>
    <t>Medium Frequency AM Transmitter# speechIn_1</t>
  </si>
  <si>
    <t>中頻調幅發射機# speechIn_1</t>
  </si>
  <si>
    <t>中频调幅发射机# speechIn_1</t>
  </si>
  <si>
    <t>Середньочастотний передавач AM# speakIn_1</t>
  </si>
  <si>
    <t>2660.txt</t>
  </si>
  <si>
    <t>High Frequency AM Transmitter# speechIn_2</t>
  </si>
  <si>
    <t>高頻調幅發射機# speechIn_2</t>
  </si>
  <si>
    <t>高频调幅发射机# speechIn_2</t>
  </si>
  <si>
    <t>Високочастотний AM передавач# speakIn_2</t>
  </si>
  <si>
    <t>2661.txt</t>
  </si>
  <si>
    <t>Partial AM Receiver# 1</t>
  </si>
  <si>
    <t>不完整調幅收音機# 1</t>
  </si>
  <si>
    <t>不完整调幅收音机# 1</t>
  </si>
  <si>
    <t>Частковий AM-приймач # 1</t>
  </si>
  <si>
    <t>2662.txt</t>
  </si>
  <si>
    <t>Partial AM Receiver# 2</t>
  </si>
  <si>
    <t>不完整調幅收音機# 2</t>
  </si>
  <si>
    <t>不完整调幅收音机# 2</t>
  </si>
  <si>
    <t>Частковий AM-приймач # 2</t>
  </si>
  <si>
    <t>2663.txt</t>
  </si>
  <si>
    <t>Partial AM Receiver# 3</t>
  </si>
  <si>
    <t>不完整調幅收音機# 3</t>
  </si>
  <si>
    <t>不完整调幅收音机# 3</t>
  </si>
  <si>
    <t>Частковий AM-приймач # 3</t>
  </si>
  <si>
    <t>2664.txt</t>
  </si>
  <si>
    <t>Partial AM Receiver# 4</t>
  </si>
  <si>
    <t>不完整調幅收音機# 4</t>
  </si>
  <si>
    <t>不完整调幅收音机# 4</t>
  </si>
  <si>
    <t>Частковий AM-приймач # 4</t>
  </si>
  <si>
    <t>2665.txt</t>
  </si>
  <si>
    <t>Partial AM Receiver# 5</t>
  </si>
  <si>
    <t>不完整調幅收音機# 5</t>
  </si>
  <si>
    <t>不完整调幅收音机# 5</t>
  </si>
  <si>
    <t>Частковий AM-приймач # 5</t>
  </si>
  <si>
    <t>2669.txt</t>
  </si>
  <si>
    <t>High Frequency AM Receiver# speechOut_2</t>
  </si>
  <si>
    <t>高頻調幅收音機# speechOut_2</t>
  </si>
  <si>
    <t>高频调幅收音机# speechOut_2</t>
  </si>
  <si>
    <t>Високочастотний AM-приймач# speechOut_2</t>
  </si>
  <si>
    <t>2670.txt</t>
  </si>
  <si>
    <t>Medium Frequency AM Receiver# speechOut_1</t>
  </si>
  <si>
    <t>中頻調幅收音機# speechOut_1</t>
  </si>
  <si>
    <t>中频调幅收音机# speechOut_1</t>
  </si>
  <si>
    <t>Середньочастотний AM-приймач# speakOut_1</t>
  </si>
  <si>
    <t>2671.txt</t>
  </si>
  <si>
    <t>Low Frequency AM Receiver# speechOut_0</t>
  </si>
  <si>
    <t>低頻調幅收音機# speechOut_0</t>
  </si>
  <si>
    <t>低频调幅收音机# speechOut_0</t>
  </si>
  <si>
    <t>Низькочастотний AM-приймач# speechOut_1</t>
  </si>
  <si>
    <t>2672.txt</t>
  </si>
  <si>
    <t>Tutorial Stone# tutorial 1101</t>
  </si>
  <si>
    <t>教程石# tutorial 1101</t>
  </si>
  <si>
    <t>Підручник Stone# tutorial 1101</t>
  </si>
  <si>
    <t>2673.txt</t>
  </si>
  <si>
    <t>Tutorial Stone# tutorial 1001</t>
  </si>
  <si>
    <t>教程石# tutorial 1001</t>
  </si>
  <si>
    <t>Навчальний камінь # tutorial 1001</t>
  </si>
  <si>
    <t>2674.txt</t>
  </si>
  <si>
    <t>Tutorial Stone# tutorial 1002</t>
  </si>
  <si>
    <t>教程石# tutorial 1002</t>
  </si>
  <si>
    <t>Підручник Stone# tutorial 1002</t>
  </si>
  <si>
    <t>2675.txt</t>
  </si>
  <si>
    <t>Tutorial Stone# tutorial 1010</t>
  </si>
  <si>
    <t>教程石# tutorial 1010</t>
  </si>
  <si>
    <t>Навчальний камінь# tutorial 1010</t>
  </si>
  <si>
    <t>2676.txt</t>
  </si>
  <si>
    <t>Tutorial Stone# tutorial 1011</t>
  </si>
  <si>
    <t>教程石# tutorial 1011</t>
  </si>
  <si>
    <t>Підручник Stone# tutorial 1011</t>
  </si>
  <si>
    <t>2677.txt</t>
  </si>
  <si>
    <t>Landing Strip# +land</t>
  </si>
  <si>
    <t>降落跑道# +land</t>
  </si>
  <si>
    <t>Злітно-посадкова смуга# +land</t>
  </si>
  <si>
    <t>2680.txt</t>
  </si>
  <si>
    <t>Loom with Wool Cloth</t>
  </si>
  <si>
    <t>毛布织机</t>
  </si>
  <si>
    <t>2681.txt</t>
  </si>
  <si>
    <t>Loom with Wool Warp</t>
  </si>
  <si>
    <t>羊毛经编织机</t>
  </si>
  <si>
    <t>2682.txt</t>
  </si>
  <si>
    <t>Loom</t>
  </si>
  <si>
    <t>織布機</t>
  </si>
  <si>
    <t>织布机</t>
  </si>
  <si>
    <t>Ткацький верстат</t>
  </si>
  <si>
    <t>2684.txt</t>
  </si>
  <si>
    <t>Loom# cloth just removed</t>
  </si>
  <si>
    <t>織布機# cloth just removed</t>
  </si>
  <si>
    <t>刚刚拆下的织机# cloth just removed</t>
  </si>
  <si>
    <t>Тканина Loom# cloth just removed</t>
  </si>
  <si>
    <t>2685.txt</t>
  </si>
  <si>
    <t>Bolt of Wool Cloth</t>
  </si>
  <si>
    <t>一匹布</t>
  </si>
  <si>
    <t>毛布螺栓</t>
  </si>
  <si>
    <t>Болт вовняної тканини</t>
  </si>
  <si>
    <t>2686.txt</t>
  </si>
  <si>
    <t>Loom with Cut Wool Cloth</t>
  </si>
  <si>
    <t>切割羊毛布织机</t>
  </si>
  <si>
    <t>2687.txt</t>
  </si>
  <si>
    <t>Loom Reed</t>
  </si>
  <si>
    <t>織機筘</t>
  </si>
  <si>
    <t>织机筘</t>
  </si>
  <si>
    <t>Лум Рід</t>
  </si>
  <si>
    <t>2688.txt</t>
  </si>
  <si>
    <t>Loom Heddle</t>
  </si>
  <si>
    <t>織機綜</t>
  </si>
  <si>
    <t>织机综</t>
  </si>
  <si>
    <t>Лом Хеддл</t>
  </si>
  <si>
    <t>2689.txt</t>
  </si>
  <si>
    <t>Two Loom Heddles</t>
  </si>
  <si>
    <t>兩個織機綜</t>
  </si>
  <si>
    <t>两个织机综</t>
  </si>
  <si>
    <t>Два ткацькі верстати</t>
  </si>
  <si>
    <t>2690.txt</t>
  </si>
  <si>
    <t>Two Loom Heddles with Reed</t>
  </si>
  <si>
    <t>兩個織機綜與織機筘</t>
  </si>
  <si>
    <t>两个织机综与织机筘</t>
  </si>
  <si>
    <t>2691.txt</t>
  </si>
  <si>
    <t>Wing Strut</t>
  </si>
  <si>
    <t>機翼支柱</t>
  </si>
  <si>
    <t>机翼支柱</t>
  </si>
  <si>
    <t>Підвіска крила</t>
  </si>
  <si>
    <t>2692.txt</t>
  </si>
  <si>
    <t>Two Wing Struts</t>
  </si>
  <si>
    <t>兩個機翼支柱</t>
  </si>
  <si>
    <t>两个机翼支柱</t>
  </si>
  <si>
    <t>Дві розпірки крил</t>
  </si>
  <si>
    <t>2693.txt</t>
  </si>
  <si>
    <t>Four Wing Struts</t>
  </si>
  <si>
    <t>四個機翼支柱</t>
  </si>
  <si>
    <t>四个机翼支柱</t>
  </si>
  <si>
    <t>Чотири підвіски</t>
  </si>
  <si>
    <t>2694.txt</t>
  </si>
  <si>
    <t>Cloth Wing</t>
  </si>
  <si>
    <t>布翼</t>
  </si>
  <si>
    <t>Суконне крило</t>
  </si>
  <si>
    <t>2695.txt</t>
  </si>
  <si>
    <t>Rubberized Wing</t>
  </si>
  <si>
    <t>塗膠機翼</t>
  </si>
  <si>
    <t>涂胶机翼</t>
  </si>
  <si>
    <t>Прогумоване крило</t>
  </si>
  <si>
    <t>2696.txt</t>
  </si>
  <si>
    <t>Pair of Wings</t>
  </si>
  <si>
    <t>一對機翼</t>
  </si>
  <si>
    <t>一对机翼</t>
  </si>
  <si>
    <t>Пара крил</t>
  </si>
  <si>
    <t>2697.txt</t>
  </si>
  <si>
    <t>Propeller</t>
  </si>
  <si>
    <t>螺旋槳</t>
  </si>
  <si>
    <t>螺旋桨</t>
  </si>
  <si>
    <t>Пропелер</t>
  </si>
  <si>
    <t>2698.txt</t>
  </si>
  <si>
    <t>Running Crude Airplane# +fly</t>
  </si>
  <si>
    <t>運行中的柴油飛機# +fly</t>
  </si>
  <si>
    <t>运行中的柴油飞机# +fly</t>
  </si>
  <si>
    <t>2699.txt</t>
  </si>
  <si>
    <t>Airplane Kit</t>
  </si>
  <si>
    <t>飛機組件</t>
  </si>
  <si>
    <t>飞机组件</t>
  </si>
  <si>
    <t>Комплект літака</t>
  </si>
  <si>
    <t>2700.txt</t>
  </si>
  <si>
    <t>Crude Airplane with Empty Tank</t>
  </si>
  <si>
    <t>空油箱的粗制滥造飞机</t>
  </si>
  <si>
    <t>2701.txt</t>
  </si>
  <si>
    <t>Crude Airplane with Empty Tank#flown</t>
  </si>
  <si>
    <t>空燃油罐的柴油飛機#flown</t>
  </si>
  <si>
    <t>空油箱#flown</t>
  </si>
  <si>
    <t>Політ літака з порожнім баком#flown</t>
  </si>
  <si>
    <t>2703.txt</t>
  </si>
  <si>
    <t>Running Crude Airplane on Landing Strip</t>
  </si>
  <si>
    <t>在降落跑道上的運行中的柴油飛機</t>
  </si>
  <si>
    <t>在着陆带上运行粗制滥造的飞机</t>
  </si>
  <si>
    <t>Запуск сирої літака на посадковій смузі</t>
  </si>
  <si>
    <t>2704.txt</t>
  </si>
  <si>
    <t>Crude Airplane on Landing Strip</t>
  </si>
  <si>
    <t>降落跑道上的粗糙飞机</t>
  </si>
  <si>
    <t>2705.txt</t>
  </si>
  <si>
    <t>Bowl of Kerosene</t>
  </si>
  <si>
    <t>一碗柴油</t>
  </si>
  <si>
    <t>2706.txt</t>
  </si>
  <si>
    <t>Tank of Kerosene# just filled</t>
  </si>
  <si>
    <t>一箱柴油</t>
  </si>
  <si>
    <t>2707.txt</t>
  </si>
  <si>
    <t>Tutorial Stone# tutorial 1501</t>
  </si>
  <si>
    <t>教程石# tutorial 1501</t>
  </si>
  <si>
    <t>Навчальний камінь # tutorial 1501</t>
  </si>
  <si>
    <t>2708.txt</t>
  </si>
  <si>
    <t>Tutorial Stone# tutorial 1601</t>
  </si>
  <si>
    <t>教程石# tutorial 1601</t>
  </si>
  <si>
    <t>Підручник Stone# tutorial 1601</t>
  </si>
  <si>
    <t>2709.txt</t>
  </si>
  <si>
    <t>Large Slow Fire#tut_only burns forever</t>
  </si>
  <si>
    <t>慢火#tut_only burns forever</t>
  </si>
  <si>
    <t>Великий повільний вогонь#tut_only burns forever</t>
  </si>
  <si>
    <t>2710.txt</t>
  </si>
  <si>
    <t>(outdated) Wild Horse with Lasso</t>
  </si>
  <si>
    <t>2711.txt</t>
  </si>
  <si>
    <t>Mouflon Lamb with Rope</t>
  </si>
  <si>
    <t>盤羊羊羔與繩子</t>
  </si>
  <si>
    <t>盘羊羊羔与绳子</t>
  </si>
  <si>
    <t>Баранчик-муфлон з мотузкою</t>
  </si>
  <si>
    <t>2712.txt</t>
  </si>
  <si>
    <t>Domestic Lamb with Rope</t>
  </si>
  <si>
    <t>家養羊羔與繩子</t>
  </si>
  <si>
    <t>家养羊羔与绳子</t>
  </si>
  <si>
    <t>Баранина домашня з мотузкою</t>
  </si>
  <si>
    <t>2713.txt</t>
  </si>
  <si>
    <t>Fed Domestic Lamb with Rope</t>
  </si>
  <si>
    <t>餵過的家養羊羔與繩子</t>
  </si>
  <si>
    <t>喂过的家养羊羔与绳子</t>
  </si>
  <si>
    <t>Годований домашній баран з мотузкою</t>
  </si>
  <si>
    <t>2714.txt</t>
  </si>
  <si>
    <t>Fed Domestic Lamb with Rope#post hungry</t>
  </si>
  <si>
    <t>餵過的家養羊羔與繩子#post hungry</t>
  </si>
  <si>
    <t>喂过的家养羊羔与绳子#post hungry</t>
  </si>
  <si>
    <t>Нагодований домашній баран з мотузкою#post hungry</t>
  </si>
  <si>
    <t>2715.txt</t>
  </si>
  <si>
    <t>Dumped Palm Kernel Bowl</t>
  </si>
  <si>
    <t>棕榈仁碗</t>
  </si>
  <si>
    <t>2716.txt</t>
  </si>
  <si>
    <t>Dumped Crushed Palm Kernel Bowl</t>
  </si>
  <si>
    <t>倾倒碎棕榈仁碗</t>
  </si>
  <si>
    <t>2717.txt</t>
  </si>
  <si>
    <t>Dumped Palm Kernels</t>
  </si>
  <si>
    <t>倒出的棕櫚仁</t>
  </si>
  <si>
    <t>倒出的棕榈仁</t>
  </si>
  <si>
    <t>Викинуті пальмові ядра</t>
  </si>
  <si>
    <t>2718.txt</t>
  </si>
  <si>
    <t>Dumped Crushed Palm Kernels</t>
  </si>
  <si>
    <t>倒出的碎棕櫚仁</t>
  </si>
  <si>
    <t>倒出的碎棕榈仁</t>
  </si>
  <si>
    <t>Подрібнені пальмові ядра</t>
  </si>
  <si>
    <t>2719.txt</t>
  </si>
  <si>
    <t>Shears with Juniper Cutting</t>
  </si>
  <si>
    <t>帶刺柏剪枝的剪刀</t>
  </si>
  <si>
    <t>带刺柏剪枝的剪刀</t>
  </si>
  <si>
    <t>Ножиці з стрижкою ялівцю</t>
  </si>
  <si>
    <t>2720.txt</t>
  </si>
  <si>
    <t>Juniper Tree Cutting</t>
  </si>
  <si>
    <t>刺柏剪枝</t>
  </si>
  <si>
    <t>Обрізка ялівцю</t>
  </si>
  <si>
    <t>2721.txt</t>
  </si>
  <si>
    <t>Dry Juniper Sapling Cutting</t>
  </si>
  <si>
    <t>乾的刺柏剪枝</t>
  </si>
  <si>
    <t>干的刺柏剪枝</t>
  </si>
  <si>
    <t>Обрізка сухих саджанців ялівцю</t>
  </si>
  <si>
    <t>2722.txt</t>
  </si>
  <si>
    <t>Wet Juniper Sapling Cutting</t>
  </si>
  <si>
    <t>溼的刺柏剪枝</t>
  </si>
  <si>
    <t>湿的刺柏剪枝</t>
  </si>
  <si>
    <t>Вологе обрізання саджанців ялівцю</t>
  </si>
  <si>
    <t>2723.txt</t>
  </si>
  <si>
    <t>Dry Juniper Sapling</t>
  </si>
  <si>
    <t>乾的刺柏樹苗</t>
  </si>
  <si>
    <t>干的刺柏树苗</t>
  </si>
  <si>
    <t>Саджанець ялівцю сухий</t>
  </si>
  <si>
    <t>2724.txt</t>
  </si>
  <si>
    <t>Wet Juniper Sapling</t>
  </si>
  <si>
    <t>溼的刺柏樹苗</t>
  </si>
  <si>
    <t>湿的刺柏树苗</t>
  </si>
  <si>
    <t>Саджанець мокрого ялівцю</t>
  </si>
  <si>
    <t>2725.txt</t>
  </si>
  <si>
    <t>Limestone Pile</t>
  </si>
  <si>
    <t>一堆石灰石</t>
  </si>
  <si>
    <t>Вапнякова купа</t>
  </si>
  <si>
    <t>2726.txt</t>
  </si>
  <si>
    <t>Fed Bison Calf# just fed</t>
  </si>
  <si>
    <t>餵過的野牛犢# just fed</t>
  </si>
  <si>
    <t>喂过的野牛犊# just fed</t>
  </si>
  <si>
    <t>Нагодоване теля бізона# just fed</t>
  </si>
  <si>
    <t>2727.txt</t>
  </si>
  <si>
    <t>Fed Domestic Calf# just fed</t>
  </si>
  <si>
    <t>餵過的家養牛犢# just fed</t>
  </si>
  <si>
    <t>喂过的家养牛犊# just fed</t>
  </si>
  <si>
    <t>Відгодоване домашнє теля # just fed</t>
  </si>
  <si>
    <t>2728.txt</t>
  </si>
  <si>
    <t>Bison Calf with Rope</t>
  </si>
  <si>
    <t>野牛犢與繩子</t>
  </si>
  <si>
    <t>野牛犊与绳子</t>
  </si>
  <si>
    <t>Теля бізона з мотузкою</t>
  </si>
  <si>
    <t>2729.txt</t>
  </si>
  <si>
    <t>Fed Domestic Calf# rope</t>
  </si>
  <si>
    <t>餵過的家養牛犢# rope</t>
  </si>
  <si>
    <t>喂过的家养牛犊# rope</t>
  </si>
  <si>
    <t>2730.txt</t>
  </si>
  <si>
    <t>Fed Domestic Calf with Rope</t>
  </si>
  <si>
    <t>餵過的家養牛犢與繩子</t>
  </si>
  <si>
    <t>喂过的家养牛犊与绳子</t>
  </si>
  <si>
    <t>Нагодоване домашнє теля з мотузкою</t>
  </si>
  <si>
    <t>2731.txt</t>
  </si>
  <si>
    <t>Dumped Iron Filings</t>
  </si>
  <si>
    <t>倾倒的铁屑</t>
  </si>
  <si>
    <t>2732.txt</t>
  </si>
  <si>
    <t>Vulcanized Rubber Tire#removed</t>
  </si>
  <si>
    <t>硫化橡膠胎#removed</t>
  </si>
  <si>
    <t>硫化橡胶胎#removed</t>
  </si>
  <si>
    <t>Вулканізована гумова шина#removed</t>
  </si>
  <si>
    <t>2733.txt</t>
  </si>
  <si>
    <t>Melting Snowman# 2</t>
  </si>
  <si>
    <t>融化中的雪人# 2</t>
  </si>
  <si>
    <t>Сніговик, що тане # 2</t>
  </si>
  <si>
    <t>2734.txt</t>
  </si>
  <si>
    <t>Melting Snowman# 3</t>
  </si>
  <si>
    <t>融化中的雪人# 3</t>
  </si>
  <si>
    <t>Тане Сніговик # 3</t>
  </si>
  <si>
    <t>2735.txt</t>
  </si>
  <si>
    <t>Melting Snowman# 4</t>
  </si>
  <si>
    <t>融化中的雪人# 4</t>
  </si>
  <si>
    <t>Сніговик, що тане # 4</t>
  </si>
  <si>
    <t>2736.txt</t>
  </si>
  <si>
    <t>Huge Snowball# melted</t>
  </si>
  <si>
    <t>巨型雪球# melted</t>
  </si>
  <si>
    <t>Величезний сніжок# melted</t>
  </si>
  <si>
    <t>2737.txt</t>
  </si>
  <si>
    <t>Big Snowball# melted</t>
  </si>
  <si>
    <t>大型雪球# melted</t>
  </si>
  <si>
    <t>Великий сніжок# melted</t>
  </si>
  <si>
    <t>2738.txt</t>
  </si>
  <si>
    <t>Medium Snowball# melted</t>
  </si>
  <si>
    <t>中型雪球# melted</t>
  </si>
  <si>
    <t>Середній сніжок# melted</t>
  </si>
  <si>
    <t>2739.txt</t>
  </si>
  <si>
    <t>Snowball# melted</t>
  </si>
  <si>
    <t>雪球# melted</t>
  </si>
  <si>
    <t>Сніжок# розтанув</t>
  </si>
  <si>
    <t>2740.txt</t>
  </si>
  <si>
    <t>Wooden Box with Boards</t>
  </si>
  <si>
    <t>木箱子與木板</t>
  </si>
  <si>
    <t>木箱子与木板</t>
  </si>
  <si>
    <t>Дерев'яний ящик з дошками</t>
  </si>
  <si>
    <t>2741.txt</t>
  </si>
  <si>
    <t>Wooden Box with Shaft</t>
  </si>
  <si>
    <t>木箱子與木棍</t>
  </si>
  <si>
    <t>木箱子与木棍</t>
  </si>
  <si>
    <t>Дерев'яна коробка з валом</t>
  </si>
  <si>
    <t>2742.txt</t>
  </si>
  <si>
    <t>Carrot Pile</t>
  </si>
  <si>
    <t>胡蘿蔔堆</t>
  </si>
  <si>
    <t>胡萝卜堆</t>
  </si>
  <si>
    <t>Морквяна купа</t>
  </si>
  <si>
    <t>2743.txt</t>
  </si>
  <si>
    <t>Bowl of Gooseberry Seeds</t>
  </si>
  <si>
    <t>一碗醋栗種子</t>
  </si>
  <si>
    <t>一碗醋栗种子</t>
  </si>
  <si>
    <t>Чаша з насінням агрусу</t>
  </si>
  <si>
    <t>2744.txt</t>
  </si>
  <si>
    <t>Bowl of Milkweed Seeds</t>
  </si>
  <si>
    <t>一碗乳草種子</t>
  </si>
  <si>
    <t>一碗乳草种子</t>
  </si>
  <si>
    <t>Чаша з насінням молочаю</t>
  </si>
  <si>
    <t>2745.txt</t>
  </si>
  <si>
    <t>Bowl of Carrot Seeds</t>
  </si>
  <si>
    <t>一碗胡蘿蔔種子</t>
  </si>
  <si>
    <t>一碗胡萝卜种子</t>
  </si>
  <si>
    <t>Чаша з насінням моркви</t>
  </si>
  <si>
    <t>2747.txt</t>
  </si>
  <si>
    <t>Hubba Brows</t>
  </si>
  <si>
    <t>情竇初開眉</t>
  </si>
  <si>
    <t>情窦初开眉</t>
  </si>
  <si>
    <t>Хубба Броуз</t>
  </si>
  <si>
    <t>2748.txt</t>
  </si>
  <si>
    <t>SickFace</t>
  </si>
  <si>
    <t>病懨懨的臉色</t>
  </si>
  <si>
    <t>病恹恹的脸色</t>
  </si>
  <si>
    <t>2749.txt</t>
  </si>
  <si>
    <t>SickMouth</t>
  </si>
  <si>
    <t>病懨懨的嘴</t>
  </si>
  <si>
    <t>病恹恹的嘴</t>
  </si>
  <si>
    <t>2750.txt</t>
  </si>
  <si>
    <t>YoohooMouth</t>
  </si>
  <si>
    <t>YUM嘴</t>
  </si>
  <si>
    <t>2752.txt</t>
  </si>
  <si>
    <t>Hmph Brows</t>
  </si>
  <si>
    <t>哼眉</t>
  </si>
  <si>
    <t>Хмм Брови</t>
  </si>
  <si>
    <t>2753.txt</t>
  </si>
  <si>
    <t>Hmph Mouth</t>
  </si>
  <si>
    <t>哼嘴</t>
  </si>
  <si>
    <t>Хмм Рот</t>
  </si>
  <si>
    <t>2754.txt</t>
  </si>
  <si>
    <t>Love Heart #modTool</t>
  </si>
  <si>
    <t>爱心#modTool</t>
  </si>
  <si>
    <t>2755.txt</t>
  </si>
  <si>
    <t>OReally Brows</t>
  </si>
  <si>
    <t>真的嗎眉</t>
  </si>
  <si>
    <t>真的吗眉</t>
  </si>
  <si>
    <t>2756.txt</t>
  </si>
  <si>
    <t>Shock Mouth</t>
  </si>
  <si>
    <t>震驚嘴</t>
  </si>
  <si>
    <t>震惊嘴</t>
  </si>
  <si>
    <t>Шоковий рот</t>
  </si>
  <si>
    <t>2757.txt</t>
  </si>
  <si>
    <t>Springy Wooden Door# Installed +autoDefaultTrans +blocksMoving</t>
  </si>
  <si>
    <t>弹性木门# Installed +autoDefaultTrans +blocksMoving</t>
  </si>
  <si>
    <t>2758.txt</t>
  </si>
  <si>
    <t>Springy Open Wooden Door# installed +blocksMoving</t>
  </si>
  <si>
    <t>弹性打开木门# installed +blocksMoving</t>
  </si>
  <si>
    <t>2759.txt</t>
  </si>
  <si>
    <t>Springy Wooden Door# installed vert +autoDefaultTrans +blocksMoving</t>
  </si>
  <si>
    <t>弹性木门# installed vert +autoDefaultTrans +blocksMoving</t>
  </si>
  <si>
    <t>2760.txt</t>
  </si>
  <si>
    <t>Springy Open Wooden Door# installed vert +blocksMoving</t>
  </si>
  <si>
    <t>弹性打开木门# installed vert +blocksMoving</t>
  </si>
  <si>
    <t>2762.txt</t>
  </si>
  <si>
    <t>Springy Wooden Door</t>
  </si>
  <si>
    <t>彈簧木門</t>
  </si>
  <si>
    <t>弹簧木门</t>
  </si>
  <si>
    <t>Пружинні дерев'яні двері</t>
  </si>
  <si>
    <t>2765.txt</t>
  </si>
  <si>
    <t>Sugarcane</t>
  </si>
  <si>
    <t>甘蔗</t>
  </si>
  <si>
    <t>Цукрова тростина</t>
  </si>
  <si>
    <t>2766.txt</t>
  </si>
  <si>
    <t>Sugarcane Bundle</t>
  </si>
  <si>
    <t>甘蔗捆</t>
  </si>
  <si>
    <t>Пучок цукрової тростини</t>
  </si>
  <si>
    <t>2767.txt</t>
  </si>
  <si>
    <t>Sugarcane Stalk</t>
  </si>
  <si>
    <t>甘蔗莖</t>
  </si>
  <si>
    <t>甘蔗茎</t>
  </si>
  <si>
    <t>Стебло цукрової тростини</t>
  </si>
  <si>
    <t>2768.txt</t>
  </si>
  <si>
    <t>Sugarcane Chunks</t>
  </si>
  <si>
    <t>甘蔗塊</t>
  </si>
  <si>
    <t>甘蔗块</t>
  </si>
  <si>
    <t>Шматочки цукрової тростини</t>
  </si>
  <si>
    <t>2770.txt</t>
  </si>
  <si>
    <t>Dry Planted Sugarcane</t>
  </si>
  <si>
    <t>旱植甘蔗</t>
  </si>
  <si>
    <t>2771.txt</t>
  </si>
  <si>
    <t>Wet Planted Sugarcane</t>
  </si>
  <si>
    <t>溼潤的甘蔗田</t>
  </si>
  <si>
    <t>湿润的甘蔗田</t>
  </si>
  <si>
    <t>Цукрова тростина, висаджена у вологому стані</t>
  </si>
  <si>
    <t>2772.txt</t>
  </si>
  <si>
    <t>Sprouting Sugarcane</t>
  </si>
  <si>
    <t>發芽的甘蔗</t>
  </si>
  <si>
    <t>发芽的甘蔗</t>
  </si>
  <si>
    <t>Проростання цукрової тростини</t>
  </si>
  <si>
    <t>2773.txt</t>
  </si>
  <si>
    <t>Bowl of Sugarcane Chunks</t>
  </si>
  <si>
    <t>一碗甘蔗塊</t>
  </si>
  <si>
    <t>一碗甘蔗块</t>
  </si>
  <si>
    <t>Чаша шматків цукрової тростини</t>
  </si>
  <si>
    <t>2774.txt</t>
  </si>
  <si>
    <t>Bowl of Sugarcane Pulp</t>
  </si>
  <si>
    <t>一碗甘蔗果肉</t>
  </si>
  <si>
    <t>Чаша з цукровою тростиною</t>
  </si>
  <si>
    <t>2775.txt</t>
  </si>
  <si>
    <t>Bowl of Soaking Sugarcane Pulp</t>
  </si>
  <si>
    <t>浸泡甘蔗浆碗</t>
  </si>
  <si>
    <t>2776.txt</t>
  </si>
  <si>
    <t>Sugarcane Pulp in Simmering Water</t>
  </si>
  <si>
    <t>煮沸的甘蔗果肉</t>
  </si>
  <si>
    <t>М'якоть цукрової тростини в киплячій воді</t>
  </si>
  <si>
    <t>2777.txt</t>
  </si>
  <si>
    <t>Bowl of Cooked Sugarcane Pulp</t>
  </si>
  <si>
    <t>一碗煮過的甘蔗果肉</t>
  </si>
  <si>
    <t>一碗煮过的甘蔗果肉</t>
  </si>
  <si>
    <t>Чаша вареної м’якоті цукрової тростини</t>
  </si>
  <si>
    <t>2778.txt</t>
  </si>
  <si>
    <t>Cooked Sugarcane Pulp on Hot Coals</t>
  </si>
  <si>
    <t>熱炭上的煮過的甘蔗果肉</t>
  </si>
  <si>
    <t>热炭上的煮过的甘蔗果肉</t>
  </si>
  <si>
    <t>Приготована м’якоть цукрової тростини на гарячому вугіллі</t>
  </si>
  <si>
    <t>2779.txt</t>
  </si>
  <si>
    <t>Ashes with Bowl of Cooked Sugarcane Pulp</t>
  </si>
  <si>
    <t>灰燼上的煮過的甘蔗果肉</t>
  </si>
  <si>
    <t>灰烬上的煮过的甘蔗果肉</t>
  </si>
  <si>
    <t>Попіл із чашею вареної м’якоті цукрової тростини</t>
  </si>
  <si>
    <t>2780.txt</t>
  </si>
  <si>
    <t>Bowl of Cane Juice</t>
  </si>
  <si>
    <t>一碗甘蔗汁</t>
  </si>
  <si>
    <t>2781.txt</t>
  </si>
  <si>
    <t>Simmering Cane Juice</t>
  </si>
  <si>
    <t>煮沸的甘蔗汁</t>
  </si>
  <si>
    <t>Кип'ятіння тростинного соку</t>
  </si>
  <si>
    <t>2782.txt</t>
  </si>
  <si>
    <t>Bowl of Bagasse</t>
  </si>
  <si>
    <t>一碗甘蔗渣</t>
  </si>
  <si>
    <t>Чаша багаси</t>
  </si>
  <si>
    <t>2783.txt</t>
  </si>
  <si>
    <t>Bowl of Raw Sugar</t>
  </si>
  <si>
    <t>一碗粗製糖</t>
  </si>
  <si>
    <t>一碗粗制糖</t>
  </si>
  <si>
    <t>Чаша цукру-сирцю</t>
  </si>
  <si>
    <t>2784.txt</t>
  </si>
  <si>
    <t>Ashes with Bowl of Raw Sugar</t>
  </si>
  <si>
    <t>灰燼上的粗製糖</t>
  </si>
  <si>
    <t>灰烬上的粗制糖</t>
  </si>
  <si>
    <t>Попіл із мискою цукру-сирцю</t>
  </si>
  <si>
    <t>2785.txt</t>
  </si>
  <si>
    <t>Dried Raw Sugar</t>
  </si>
  <si>
    <t>乾燥的粗製糖</t>
  </si>
  <si>
    <t>干燥的粗制糖</t>
  </si>
  <si>
    <t>Висушений цукор-сирець</t>
  </si>
  <si>
    <t>2786.txt</t>
  </si>
  <si>
    <t>Bowl of Sugared Cream</t>
  </si>
  <si>
    <t>一碗加糖奶油</t>
  </si>
  <si>
    <t>2789.txt</t>
  </si>
  <si>
    <t>Crock of Snow</t>
  </si>
  <si>
    <t>一罐雪</t>
  </si>
  <si>
    <t>Глиняний сніг</t>
  </si>
  <si>
    <t>2790.txt</t>
  </si>
  <si>
    <t>Crock of Salted Snow</t>
  </si>
  <si>
    <t>一罐加鹽雪</t>
  </si>
  <si>
    <t>一罐加盐雪</t>
  </si>
  <si>
    <t>Кувшин із солоного снігу</t>
  </si>
  <si>
    <t>2791.txt</t>
  </si>
  <si>
    <t>Crock of Chilling Cream</t>
  </si>
  <si>
    <t>一罐冰鎮中的奶油</t>
  </si>
  <si>
    <t>一罐冰镇中的奶油</t>
  </si>
  <si>
    <t>Чашка з охолоджуючими вершками</t>
  </si>
  <si>
    <t>2792.txt</t>
  </si>
  <si>
    <t>Crock of Ice Cream</t>
  </si>
  <si>
    <t>一罐冰淇淋</t>
  </si>
  <si>
    <t>Чаша з морозивом</t>
  </si>
  <si>
    <t>2793.txt</t>
  </si>
  <si>
    <t>Crock of Warm Sugared Cream</t>
  </si>
  <si>
    <t>一罐溫暖的加糖奶油</t>
  </si>
  <si>
    <t>一罐温暖的加糖奶油</t>
  </si>
  <si>
    <t>Чаша з теплими цукровими вершками</t>
  </si>
  <si>
    <t>2794.txt</t>
  </si>
  <si>
    <t>Bowl of Ice Cream</t>
  </si>
  <si>
    <t>一碗冰淇淋</t>
  </si>
  <si>
    <t>2795.txt</t>
  </si>
  <si>
    <t>Spoon</t>
  </si>
  <si>
    <t>勺子</t>
  </si>
  <si>
    <t>Ложка</t>
  </si>
  <si>
    <t>2796.txt</t>
  </si>
  <si>
    <t>Spoon of Ice Cream</t>
  </si>
  <si>
    <t>一勺冰淇淋</t>
  </si>
  <si>
    <t>Ложка морозива</t>
  </si>
  <si>
    <t>2797.txt</t>
  </si>
  <si>
    <t>Sugarcane Bundle#just harvested</t>
  </si>
  <si>
    <t>甘蔗捆 #just harvested</t>
  </si>
  <si>
    <t>Пучок цукрової тростини#just harvested</t>
  </si>
  <si>
    <t>2798.txt</t>
  </si>
  <si>
    <t>Sugarcane Chunks#dumped</t>
  </si>
  <si>
    <t>甘蔗塊 #dumped</t>
  </si>
  <si>
    <t>甘蔗块 #dumped</t>
  </si>
  <si>
    <t>Шматки цукрової тростини#dumped</t>
  </si>
  <si>
    <t>2799.txt</t>
  </si>
  <si>
    <t>Bowl of Vinegar</t>
  </si>
  <si>
    <t>一碗醋</t>
  </si>
  <si>
    <t>2800.txt</t>
  </si>
  <si>
    <t>Wild Tomato Plant</t>
  </si>
  <si>
    <t>野生番茄</t>
  </si>
  <si>
    <t>Рослина диких помідорів</t>
  </si>
  <si>
    <t>2801.txt</t>
  </si>
  <si>
    <t>Wild Tomato Cluster</t>
  </si>
  <si>
    <t>野生番茄簇</t>
  </si>
  <si>
    <t>Гроно диких помідорів</t>
  </si>
  <si>
    <t>2802.txt</t>
  </si>
  <si>
    <t>Dug Wild Tomato Plant</t>
  </si>
  <si>
    <t>被挖起的野生番茄</t>
  </si>
  <si>
    <t>Викопаний дикий томатний завод</t>
  </si>
  <si>
    <t>2803.txt</t>
  </si>
  <si>
    <t>Empty Wild Tomato Plant</t>
  </si>
  <si>
    <t>空的野生番茄</t>
  </si>
  <si>
    <t>Порожній дикий томатний завод</t>
  </si>
  <si>
    <t>2804.txt</t>
  </si>
  <si>
    <t>Wild Pepper Plant</t>
  </si>
  <si>
    <t>野生辣椒</t>
  </si>
  <si>
    <t>Рослина дикого перцю</t>
  </si>
  <si>
    <t>2805.txt</t>
  </si>
  <si>
    <t>Dug Wild Pepper Plant</t>
  </si>
  <si>
    <t>被挖起的野生辣椒</t>
  </si>
  <si>
    <t>Викопаний завод дикого перцю</t>
  </si>
  <si>
    <t>2806.txt</t>
  </si>
  <si>
    <t>Empty Wild Pepper Plant</t>
  </si>
  <si>
    <t>空的野生辣椒</t>
  </si>
  <si>
    <t>Порожній завод дикого перцю</t>
  </si>
  <si>
    <t>2807.txt</t>
  </si>
  <si>
    <t>Wild Pepper# +emotEat_26_10</t>
  </si>
  <si>
    <t>野胡椒# +emotEat_26_10</t>
  </si>
  <si>
    <t>2808.txt</t>
  </si>
  <si>
    <t>Pepper Seed</t>
  </si>
  <si>
    <t>辣椒種子</t>
  </si>
  <si>
    <t>胡椒种子</t>
  </si>
  <si>
    <t>Насіння перцю</t>
  </si>
  <si>
    <t>2809.txt</t>
  </si>
  <si>
    <t>Net</t>
  </si>
  <si>
    <t>渔网</t>
  </si>
  <si>
    <t>2810.txt</t>
  </si>
  <si>
    <t>Cast Net</t>
  </si>
  <si>
    <t>被拋出的網</t>
  </si>
  <si>
    <t>被抛出的网</t>
  </si>
  <si>
    <t>2811.txt</t>
  </si>
  <si>
    <t>Perhaps some Shrimp</t>
  </si>
  <si>
    <t>可能是蝦子</t>
  </si>
  <si>
    <t>可能是虾子</t>
  </si>
  <si>
    <t>Можливо трохи креветок</t>
  </si>
  <si>
    <t>2812.txt</t>
  </si>
  <si>
    <t>Net of Shrimp#just caught</t>
  </si>
  <si>
    <t>一漁網的蝦 #just caught</t>
  </si>
  <si>
    <t>一渔网的虾 #just caught</t>
  </si>
  <si>
    <t>Сітка з креветками#just caught</t>
  </si>
  <si>
    <t>2813.txt</t>
  </si>
  <si>
    <t>Net# just pulled</t>
  </si>
  <si>
    <t>網 # just pulled</t>
  </si>
  <si>
    <t>网 # just pulled</t>
  </si>
  <si>
    <t>2814.txt</t>
  </si>
  <si>
    <t>Live Shrimp</t>
  </si>
  <si>
    <t>活蝦</t>
  </si>
  <si>
    <t>活虾</t>
  </si>
  <si>
    <t>Живі креветки</t>
  </si>
  <si>
    <t>2815.txt</t>
  </si>
  <si>
    <t>Shrimp</t>
  </si>
  <si>
    <t>蝦</t>
  </si>
  <si>
    <t>虾</t>
  </si>
  <si>
    <t>креветки</t>
  </si>
  <si>
    <t>2816.txt</t>
  </si>
  <si>
    <t>Net# just emptied</t>
  </si>
  <si>
    <t>網# just emptied</t>
  </si>
  <si>
    <t>网# just emptied</t>
  </si>
  <si>
    <t>2817.txt</t>
  </si>
  <si>
    <t>Net of Shrimp</t>
  </si>
  <si>
    <t>一漁網的蝦</t>
  </si>
  <si>
    <t>一渔网的虾</t>
  </si>
  <si>
    <t>Сітка для креветок</t>
  </si>
  <si>
    <t>2818.txt</t>
  </si>
  <si>
    <t>Plate of Whole Shrimp</t>
  </si>
  <si>
    <t>一盘整虾</t>
  </si>
  <si>
    <t>2819.txt</t>
  </si>
  <si>
    <t>Plate of Cleaned Shrimp</t>
  </si>
  <si>
    <t>一盘干净的虾</t>
  </si>
  <si>
    <t>2820.txt</t>
  </si>
  <si>
    <t>Skewered Shrimp</t>
  </si>
  <si>
    <t>一串蝦</t>
  </si>
  <si>
    <t>斜虾</t>
  </si>
  <si>
    <t>Креветки на шпажках</t>
  </si>
  <si>
    <t>2821.txt</t>
  </si>
  <si>
    <t>Burnt Shrimp</t>
  </si>
  <si>
    <t>烧焦的虾</t>
  </si>
  <si>
    <t>2822.txt</t>
  </si>
  <si>
    <t>烤焦的蝦</t>
  </si>
  <si>
    <t>Палені креветки</t>
  </si>
  <si>
    <t>2823.txt</t>
  </si>
  <si>
    <t>Cooked Shrimp</t>
  </si>
  <si>
    <t>烤蝦</t>
  </si>
  <si>
    <t>烤虾</t>
  </si>
  <si>
    <t>варені креветки</t>
  </si>
  <si>
    <t>2824.txt</t>
  </si>
  <si>
    <t>Holey Net</t>
  </si>
  <si>
    <t>破損的網</t>
  </si>
  <si>
    <t>破损的网</t>
  </si>
  <si>
    <t>Дірява сітка</t>
  </si>
  <si>
    <t>2825.txt</t>
  </si>
  <si>
    <t>Bowl of Tomato Seed Pulp</t>
  </si>
  <si>
    <t>番茄籽浆碗</t>
  </si>
  <si>
    <t>2826.txt</t>
  </si>
  <si>
    <t>Bowl of Fermented Tomato Seed Pulp</t>
  </si>
  <si>
    <t>发酵番茄籽浆碗</t>
  </si>
  <si>
    <t>2827.txt</t>
  </si>
  <si>
    <t>Bowl of Soaking Tomato Seed Pulp</t>
  </si>
  <si>
    <t>浸泡番茄籽浆碗</t>
  </si>
  <si>
    <t>2828.txt</t>
  </si>
  <si>
    <t>Bowl of Tomato Seeds</t>
  </si>
  <si>
    <t>一碗番茄種子</t>
  </si>
  <si>
    <t>一碗番茄种子</t>
  </si>
  <si>
    <t>Чаша з насінням томатів</t>
  </si>
  <si>
    <t>2829.txt</t>
  </si>
  <si>
    <t>Dry Planted Tomato Seed</t>
  </si>
  <si>
    <t>乾燥的番茄田</t>
  </si>
  <si>
    <t>干燥的番茄田</t>
  </si>
  <si>
    <t>Сухе посаджене насіння томатів</t>
  </si>
  <si>
    <t>2830.txt</t>
  </si>
  <si>
    <t>Tomato Seed</t>
  </si>
  <si>
    <t>番茄種子</t>
  </si>
  <si>
    <t>番茄种子</t>
  </si>
  <si>
    <t>Насіння томатів</t>
  </si>
  <si>
    <t>2831.txt</t>
  </si>
  <si>
    <t>Wet Planted Tomato Seed</t>
  </si>
  <si>
    <t>溼潤的番茄田</t>
  </si>
  <si>
    <t>湿润的番茄田</t>
  </si>
  <si>
    <t>Вологе посаджене насіння томатів</t>
  </si>
  <si>
    <t>2832.txt</t>
  </si>
  <si>
    <t>Tomato Sprout</t>
  </si>
  <si>
    <t>番茄苗</t>
  </si>
  <si>
    <t>Розсада помідорів</t>
  </si>
  <si>
    <t>2833.txt</t>
  </si>
  <si>
    <t>Staked Tomato Sprout</t>
  </si>
  <si>
    <t>插樁的番茄苗</t>
  </si>
  <si>
    <t>插桩的番茄苗</t>
  </si>
  <si>
    <t>2834.txt</t>
  </si>
  <si>
    <t>Tomato Plant</t>
  </si>
  <si>
    <t>番茄植株</t>
  </si>
  <si>
    <t>Томатний завод</t>
  </si>
  <si>
    <t>2835.txt</t>
  </si>
  <si>
    <t>Fruiting Tomato Plant</t>
  </si>
  <si>
    <t>結果的番茄</t>
  </si>
  <si>
    <t>结果的番茄</t>
  </si>
  <si>
    <t>Плодоносна рослина томатів</t>
  </si>
  <si>
    <t>2836.txt</t>
  </si>
  <si>
    <t>Tomato</t>
  </si>
  <si>
    <t>番茄</t>
  </si>
  <si>
    <t>помідор</t>
  </si>
  <si>
    <t>2837.txt</t>
  </si>
  <si>
    <t>Hardened Row with Stake</t>
  </si>
  <si>
    <t>板結的耕地和籤子</t>
  </si>
  <si>
    <t>板结的耕地和签子</t>
  </si>
  <si>
    <t>Загартований ряд із кілком</t>
  </si>
  <si>
    <t>2838.txt</t>
  </si>
  <si>
    <t>Bowl of Pepper Seeds</t>
  </si>
  <si>
    <t>一碗辣椒種子</t>
  </si>
  <si>
    <t>一碗辣椒种子</t>
  </si>
  <si>
    <t>Чаша з насінням перцю</t>
  </si>
  <si>
    <t>2839.txt</t>
  </si>
  <si>
    <t>Dry Planted Pepper Seed</t>
  </si>
  <si>
    <t>乾燥的辣椒田</t>
  </si>
  <si>
    <t>干燥的辣椒田</t>
  </si>
  <si>
    <t>Сухе посаджене насіння перцю</t>
  </si>
  <si>
    <t>2840.txt</t>
  </si>
  <si>
    <t>Wet Planted Pepper Seed</t>
  </si>
  <si>
    <t>溼潤的辣椒田</t>
  </si>
  <si>
    <t>湿润的辣椒田</t>
  </si>
  <si>
    <t>Вологе посаджене насіння перцю</t>
  </si>
  <si>
    <t>2841.txt</t>
  </si>
  <si>
    <t>Pepper Sprout</t>
  </si>
  <si>
    <t>辣椒苗</t>
  </si>
  <si>
    <t>Росток перцю</t>
  </si>
  <si>
    <t>2842.txt</t>
  </si>
  <si>
    <t>Pepper Plant</t>
  </si>
  <si>
    <t>辣椒</t>
  </si>
  <si>
    <t>Рослина перцю</t>
  </si>
  <si>
    <t>2843.txt</t>
  </si>
  <si>
    <t>Fruiting Pepper Plant</t>
  </si>
  <si>
    <t>結果辣椒</t>
  </si>
  <si>
    <t>结果辣椒</t>
  </si>
  <si>
    <t>Плодоносна рослина перцю</t>
  </si>
  <si>
    <t>2844.txt</t>
  </si>
  <si>
    <t>Hot Pepper# +emotEat_26_10</t>
  </si>
  <si>
    <t>辣椒# +emotEat_26_10</t>
  </si>
  <si>
    <t>2845.txt</t>
  </si>
  <si>
    <t>Dry Planted Wild Onion</t>
  </si>
  <si>
    <t>乾燥的野生洋蔥田</t>
  </si>
  <si>
    <t>干燥的野生洋葱田</t>
  </si>
  <si>
    <t>Суха посадка дикої цибулі</t>
  </si>
  <si>
    <t>2846.txt</t>
  </si>
  <si>
    <t>Wet Planted Wild Onion</t>
  </si>
  <si>
    <t>溼潤的野生洋蔥田</t>
  </si>
  <si>
    <t>湿润的野生洋葱田</t>
  </si>
  <si>
    <t>Вологий посаджений дикий лук</t>
  </si>
  <si>
    <t>2847.txt</t>
  </si>
  <si>
    <t>Sprouted Second-Year Onion</t>
  </si>
  <si>
    <t>野生洋蔥苗</t>
  </si>
  <si>
    <t>野生洋葱苗</t>
  </si>
  <si>
    <t>Пророщена цибуля другого року</t>
  </si>
  <si>
    <t>2848.txt</t>
  </si>
  <si>
    <t>Blooming Onion</t>
  </si>
  <si>
    <t>開花的洋蔥</t>
  </si>
  <si>
    <t>开花的洋葱</t>
  </si>
  <si>
    <t>Квітуча цибуля</t>
  </si>
  <si>
    <t>2849.txt</t>
  </si>
  <si>
    <t>Onion Seeds</t>
  </si>
  <si>
    <t>洋蔥種子</t>
  </si>
  <si>
    <t>洋葱种子</t>
  </si>
  <si>
    <t>Насіння цибулі</t>
  </si>
  <si>
    <t>2850.txt</t>
  </si>
  <si>
    <t>Bowl of Onion Seeds</t>
  </si>
  <si>
    <t>一碗洋蔥種子</t>
  </si>
  <si>
    <t>一碗洋葱种子</t>
  </si>
  <si>
    <t>Чаша з насінням цибулі</t>
  </si>
  <si>
    <t>2851.txt</t>
  </si>
  <si>
    <t>Dry Planted Onions</t>
  </si>
  <si>
    <t>乾燥的洋蔥田</t>
  </si>
  <si>
    <t>干燥的洋葱田</t>
  </si>
  <si>
    <t>Сушена посаджена цибуля</t>
  </si>
  <si>
    <t>2852.txt</t>
  </si>
  <si>
    <t>Wet Planted Onions</t>
  </si>
  <si>
    <t>溼潤的洋蔥田</t>
  </si>
  <si>
    <t>湿润的洋葱田</t>
  </si>
  <si>
    <t>Вологий посаджений лук</t>
  </si>
  <si>
    <t>2853.txt</t>
  </si>
  <si>
    <t>Onion Sprouts</t>
  </si>
  <si>
    <t>洋蔥苗</t>
  </si>
  <si>
    <t>洋葱苗</t>
  </si>
  <si>
    <t>Паростки цибулі</t>
  </si>
  <si>
    <t>2854.txt</t>
  </si>
  <si>
    <t>Ripe Onions</t>
  </si>
  <si>
    <t>成熟的洋蔥</t>
  </si>
  <si>
    <t>成熟的洋葱</t>
  </si>
  <si>
    <t>Стигла цибуля</t>
  </si>
  <si>
    <t>2855.txt</t>
  </si>
  <si>
    <t>Onion</t>
  </si>
  <si>
    <t>洋蔥</t>
  </si>
  <si>
    <t>洋葱</t>
  </si>
  <si>
    <t>Цибуля</t>
  </si>
  <si>
    <t>2856.txt</t>
  </si>
  <si>
    <t>Dry Planted Onion</t>
  </si>
  <si>
    <t>Суха посаджена цибуля</t>
  </si>
  <si>
    <t>2857.txt</t>
  </si>
  <si>
    <t>Wet Planted Onion</t>
  </si>
  <si>
    <t>Мокрий посаджений лук</t>
  </si>
  <si>
    <t>2858.txt</t>
  </si>
  <si>
    <t>Onion on Plate</t>
  </si>
  <si>
    <t>洋葱盘</t>
  </si>
  <si>
    <t>2859.txt</t>
  </si>
  <si>
    <t>Tomato on Plate</t>
  </si>
  <si>
    <t>盘子里的番茄</t>
  </si>
  <si>
    <t>2860.txt</t>
  </si>
  <si>
    <t>Chopped Onion on Plate</t>
  </si>
  <si>
    <t>盘子里的洋葱碎</t>
  </si>
  <si>
    <t>2861.txt</t>
  </si>
  <si>
    <t>Chopped Tomato on Plate</t>
  </si>
  <si>
    <t>盘子里的番茄碎</t>
  </si>
  <si>
    <t>2862.txt</t>
  </si>
  <si>
    <t>Bowl of Salsa</t>
  </si>
  <si>
    <t>一碗莎莎醬</t>
  </si>
  <si>
    <t>萨尔萨酱</t>
  </si>
  <si>
    <t>Чаша сальси</t>
  </si>
  <si>
    <t>2863.txt</t>
  </si>
  <si>
    <t>Chopped Tomato and Onion on Plate</t>
  </si>
  <si>
    <t>番茄洋葱碎</t>
  </si>
  <si>
    <t>2864.txt</t>
  </si>
  <si>
    <t>Chopped Tomato and Onion with Hot Pepper</t>
  </si>
  <si>
    <t>辣椒番茄洋葱碎</t>
  </si>
  <si>
    <t>2865.txt</t>
  </si>
  <si>
    <t>Corn Tortilla in Bowl</t>
  </si>
  <si>
    <t>放在碗裏的玉米餅</t>
  </si>
  <si>
    <t>碗里的玉米卷</t>
  </si>
  <si>
    <t>Кукурудзяна тортилья в мисці</t>
  </si>
  <si>
    <t>2866.txt</t>
  </si>
  <si>
    <t>Raw Tortilla Chips</t>
  </si>
  <si>
    <t>生的墨西哥薄馅饼</t>
  </si>
  <si>
    <t>2867.txt</t>
  </si>
  <si>
    <t>Simmering Palm Oil</t>
  </si>
  <si>
    <t>煮沸的油</t>
  </si>
  <si>
    <t>Кип'ятіння пальмової олії</t>
  </si>
  <si>
    <t>2868.txt</t>
  </si>
  <si>
    <t>Tortilla Chips</t>
  </si>
  <si>
    <t>墨西哥薄馅饼</t>
  </si>
  <si>
    <t>2869.txt</t>
  </si>
  <si>
    <t>Tortilla Chip</t>
  </si>
  <si>
    <t>油炸玉米片</t>
  </si>
  <si>
    <t>Тортилла Чіпс</t>
  </si>
  <si>
    <t>2870.txt</t>
  </si>
  <si>
    <t>Chip with Salsa</t>
  </si>
  <si>
    <t>蘸莎莎醬的玉米片</t>
  </si>
  <si>
    <t>蘸莎莎酱的玉米片</t>
  </si>
  <si>
    <t>Чіпс із сальсою</t>
  </si>
  <si>
    <t>2871.txt</t>
  </si>
  <si>
    <t>Potato on Plate</t>
  </si>
  <si>
    <t>盘子里的土豆</t>
  </si>
  <si>
    <t>2872.txt</t>
  </si>
  <si>
    <t>Raw French Fries on Plate</t>
  </si>
  <si>
    <t>盘子里的生薯条</t>
  </si>
  <si>
    <t>2873.txt</t>
  </si>
  <si>
    <t>French Fries on Plate</t>
  </si>
  <si>
    <t>盘子里的炸薯条</t>
  </si>
  <si>
    <t>2874.txt</t>
  </si>
  <si>
    <t>French Fry</t>
  </si>
  <si>
    <t>油炸薯條</t>
  </si>
  <si>
    <t>油炸薯条</t>
  </si>
  <si>
    <t>Фрай по-французськи</t>
  </si>
  <si>
    <t>2875.txt</t>
  </si>
  <si>
    <t>French Fry with Ketchup</t>
  </si>
  <si>
    <t>蘸番茄醬的油炸薯條</t>
  </si>
  <si>
    <t>蘸番茄酱的油炸薯条</t>
  </si>
  <si>
    <t>Фрай з кетчупом</t>
  </si>
  <si>
    <t>2876.txt</t>
  </si>
  <si>
    <t>Bowl of Sweetened Vinegar</t>
  </si>
  <si>
    <t>一碗甜醋</t>
  </si>
  <si>
    <t>2877.txt</t>
  </si>
  <si>
    <t>Bowl of Ketchup</t>
  </si>
  <si>
    <t>一碗番茄醬</t>
  </si>
  <si>
    <t>一碗番茄酱</t>
  </si>
  <si>
    <t>Чаша кетчупу</t>
  </si>
  <si>
    <t>2878.txt</t>
  </si>
  <si>
    <t>Undyed Long Skirt</t>
  </si>
  <si>
    <t>未染色的長裙</t>
  </si>
  <si>
    <t>未染色的长裙</t>
  </si>
  <si>
    <t>Нефарбована довга спідниця</t>
  </si>
  <si>
    <t>2879.txt</t>
  </si>
  <si>
    <t>Undyed Long Dress</t>
  </si>
  <si>
    <t>未染色的連衣裙</t>
  </si>
  <si>
    <t>未染色的连衣裙</t>
  </si>
  <si>
    <t>Нефарбована довга сукня</t>
  </si>
  <si>
    <t>2880.txt</t>
  </si>
  <si>
    <t>Undyed Pleated Skirt</t>
  </si>
  <si>
    <t>未染色的百褶裙</t>
  </si>
  <si>
    <t>Нефарбована плісирована спідниця</t>
  </si>
  <si>
    <t>2881.txt</t>
  </si>
  <si>
    <t>Undyed Short Trousers</t>
  </si>
  <si>
    <t>未染色的短褲</t>
  </si>
  <si>
    <t>未染色的短裤</t>
  </si>
  <si>
    <t>Нефарбовані короткі штани</t>
  </si>
  <si>
    <t>2882.txt</t>
  </si>
  <si>
    <t>Undyed Button-down Shirt</t>
  </si>
  <si>
    <t>未染色的襯衫</t>
  </si>
  <si>
    <t>未染色的衬衫</t>
  </si>
  <si>
    <t>Нефарбована сорочка на ґудзиках</t>
  </si>
  <si>
    <t>2883.txt</t>
  </si>
  <si>
    <t>Undyed Cloak</t>
  </si>
  <si>
    <t>未染色的斗篷</t>
  </si>
  <si>
    <t>Нефарбований плащ</t>
  </si>
  <si>
    <t>2884.txt</t>
  </si>
  <si>
    <t>Undyed Bowler Hat</t>
  </si>
  <si>
    <t>未染色的圓頂禮帽</t>
  </si>
  <si>
    <t>未染色的圆顶礼帽</t>
  </si>
  <si>
    <t>Нефарбований казанок</t>
  </si>
  <si>
    <t>2885.txt</t>
  </si>
  <si>
    <t>Undyed Top Hat</t>
  </si>
  <si>
    <t>未染色的禮帽</t>
  </si>
  <si>
    <t>未染色的礼帽</t>
  </si>
  <si>
    <t>Нефарбований циліндр</t>
  </si>
  <si>
    <t>2886.txt</t>
  </si>
  <si>
    <t>Wooden Shoe</t>
  </si>
  <si>
    <t>木屐</t>
  </si>
  <si>
    <t>Дерев'яне взуття</t>
  </si>
  <si>
    <t>2887.txt</t>
  </si>
  <si>
    <t>Sandal</t>
  </si>
  <si>
    <t>涼鞋</t>
  </si>
  <si>
    <t>凉鞋</t>
  </si>
  <si>
    <t>Сандал</t>
  </si>
  <si>
    <t>2888.txt</t>
  </si>
  <si>
    <t>Wool Felt</t>
  </si>
  <si>
    <t>羊毛氈</t>
  </si>
  <si>
    <t>羊毛毡</t>
  </si>
  <si>
    <t>Вовняний фетр</t>
  </si>
  <si>
    <t>2889.txt</t>
  </si>
  <si>
    <t>Two Pieces of Wool Felt</t>
  </si>
  <si>
    <t>兩塊羊毛氈</t>
  </si>
  <si>
    <t>两块羊毛毡</t>
  </si>
  <si>
    <t>Два шматки вовняного фетру</t>
  </si>
  <si>
    <t>2890.txt</t>
  </si>
  <si>
    <t>Skirt and Shirt</t>
  </si>
  <si>
    <t>短裙和襯衫</t>
  </si>
  <si>
    <t>短裙和衬衫</t>
  </si>
  <si>
    <t>Спідниця і сорочка</t>
  </si>
  <si>
    <t>2891.txt</t>
  </si>
  <si>
    <t>Tortilla Chips# just cooked</t>
  </si>
  <si>
    <t>玉米片 # just cooked</t>
  </si>
  <si>
    <t>Тортилла Чіпси # щойно приготовані</t>
  </si>
  <si>
    <t>2892.txt</t>
  </si>
  <si>
    <t>French Fries on Plate# just cooked</t>
  </si>
  <si>
    <t>盤子上的油炸薯條 # just cooked</t>
  </si>
  <si>
    <t>盘子上的油炸薯条 # just cooked</t>
  </si>
  <si>
    <t>Картопля фрі на тарілці # щойно приготована</t>
  </si>
  <si>
    <t>2893.txt</t>
  </si>
  <si>
    <t>Bowl of Rust</t>
  </si>
  <si>
    <t>一碗鐵鏽</t>
  </si>
  <si>
    <t>一碗铁锈</t>
  </si>
  <si>
    <t>Чаша іржі</t>
  </si>
  <si>
    <t>2894.txt</t>
  </si>
  <si>
    <t>Bowl of Rust in Salt Water</t>
  </si>
  <si>
    <t>盐水里的一碗铁锈</t>
  </si>
  <si>
    <t>2895.txt</t>
  </si>
  <si>
    <t>Bowl of Black Dye</t>
  </si>
  <si>
    <t>黑色染料碗</t>
  </si>
  <si>
    <t>2896.txt</t>
  </si>
  <si>
    <t>Simmering Black Dye</t>
  </si>
  <si>
    <t>煮沸的黑色染料</t>
  </si>
  <si>
    <t>Кипляча чорна фарба</t>
  </si>
  <si>
    <t>2897.txt</t>
  </si>
  <si>
    <t>Simmering Yellow Dye</t>
  </si>
  <si>
    <t>煮沸的黃色染料</t>
  </si>
  <si>
    <t>煮沸的黄色染料</t>
  </si>
  <si>
    <t>Киплячий жовтий барвник</t>
  </si>
  <si>
    <t>2898.txt</t>
  </si>
  <si>
    <t>Simmering Green Dye</t>
  </si>
  <si>
    <t>煮沸的綠色染料</t>
  </si>
  <si>
    <t>煮沸的绿色染料</t>
  </si>
  <si>
    <t>Киплячий зелений барвник</t>
  </si>
  <si>
    <t>2899.txt</t>
  </si>
  <si>
    <t>@ Undyed Item Pattern</t>
  </si>
  <si>
    <t>@ Нефарбований візерунок предмета</t>
  </si>
  <si>
    <t>2900.txt</t>
  </si>
  <si>
    <t>@ Dye-ready Item Pattern</t>
  </si>
  <si>
    <t>@ Візерунок предмета, готового до фарбування</t>
  </si>
  <si>
    <t>2901.txt</t>
  </si>
  <si>
    <t>@ Dyed Red Item Pattern</t>
  </si>
  <si>
    <t>@ Пофарбований червоний візерунок</t>
  </si>
  <si>
    <t>2902.txt</t>
  </si>
  <si>
    <t>@ Dyed Indigo Item Pattern</t>
  </si>
  <si>
    <t>@ Візерунок предмета кольору індиго</t>
  </si>
  <si>
    <t>2903.txt</t>
  </si>
  <si>
    <t>@ Dyed Green Item Pattern</t>
  </si>
  <si>
    <t>@ Пофарбований зелений візерунок</t>
  </si>
  <si>
    <t>2904.txt</t>
  </si>
  <si>
    <t>@ Dyed Yellow Item Pattern</t>
  </si>
  <si>
    <t>@ Пофарбований жовтий візерунок</t>
  </si>
  <si>
    <t>2905.txt</t>
  </si>
  <si>
    <t>@ Dyed Black Item Pattern</t>
  </si>
  <si>
    <t>@ Пофарбований чорний візерунок</t>
  </si>
  <si>
    <t>2907.txt</t>
  </si>
  <si>
    <t>Dye-Ready Long Skirt</t>
  </si>
  <si>
    <t>準備染色的長裙</t>
  </si>
  <si>
    <t>准备染色的长裙</t>
  </si>
  <si>
    <t>Довга спідниця, готова до фарбування</t>
  </si>
  <si>
    <t>2908.txt</t>
  </si>
  <si>
    <t>Dye-Ready Cloak</t>
  </si>
  <si>
    <t>準備染色的斗篷</t>
  </si>
  <si>
    <t>准备染色的斗篷</t>
  </si>
  <si>
    <t>Фарбований плащ</t>
  </si>
  <si>
    <t>2909.txt</t>
  </si>
  <si>
    <t>Dye-Ready Long Dress</t>
  </si>
  <si>
    <t>準備染色的連衣裙</t>
  </si>
  <si>
    <t>准备染色的连衣裙</t>
  </si>
  <si>
    <t>Довга сукня, готова до фарбування</t>
  </si>
  <si>
    <t>2910.txt</t>
  </si>
  <si>
    <t>Dye-Ready Pleated Skirt</t>
  </si>
  <si>
    <t>準備染色的百褶裙</t>
  </si>
  <si>
    <t>准备染色的百褶裙</t>
  </si>
  <si>
    <t>Плісирована спідниця, готова до фарбування</t>
  </si>
  <si>
    <t>2911.txt</t>
  </si>
  <si>
    <t>Dye-Ready Button-down Shirt</t>
  </si>
  <si>
    <t>準備染色的襯衫</t>
  </si>
  <si>
    <t>准备染色的衬衫</t>
  </si>
  <si>
    <t>Готова до фарбування сорочка на ґудзиках</t>
  </si>
  <si>
    <t>2912.txt</t>
  </si>
  <si>
    <t>Dye-Ready Short Trousers</t>
  </si>
  <si>
    <t>準備染色的短褲</t>
  </si>
  <si>
    <t>准备染色的短裤</t>
  </si>
  <si>
    <t>Короткі штани, готові до фарбування</t>
  </si>
  <si>
    <t>2913.txt</t>
  </si>
  <si>
    <t>Dye-Ready Bowler Hat</t>
  </si>
  <si>
    <t>準備染色的圓頂禮帽</t>
  </si>
  <si>
    <t>准备染色的圆顶礼帽</t>
  </si>
  <si>
    <t>Готовий до фарбування капелюх-котелок</t>
  </si>
  <si>
    <t>2914.txt</t>
  </si>
  <si>
    <t>Dye-Ready Top Hat</t>
  </si>
  <si>
    <t>準備染色的禮帽</t>
  </si>
  <si>
    <t>准备染色的礼帽</t>
  </si>
  <si>
    <t>Готовий до фарбування циліндр</t>
  </si>
  <si>
    <t>2915.txt</t>
  </si>
  <si>
    <t>Red Cloak</t>
  </si>
  <si>
    <t>玫瑰紅斗篷</t>
  </si>
  <si>
    <t>玫瑰红斗篷</t>
  </si>
  <si>
    <t>Червоний плащ</t>
  </si>
  <si>
    <t>2916.txt</t>
  </si>
  <si>
    <t>Red Long Skirt</t>
  </si>
  <si>
    <t>玫瑰紅長裙</t>
  </si>
  <si>
    <t>玫瑰红长裙</t>
  </si>
  <si>
    <t>Червона довга спідниця</t>
  </si>
  <si>
    <t>2917.txt</t>
  </si>
  <si>
    <t>Red Pleated Skirt</t>
  </si>
  <si>
    <t>玫瑰紅百褶裙</t>
  </si>
  <si>
    <t>玫瑰红百褶裙</t>
  </si>
  <si>
    <t>Червона плісирована спідниця</t>
  </si>
  <si>
    <t>2918.txt</t>
  </si>
  <si>
    <t>Red Short Trousers</t>
  </si>
  <si>
    <t>玫瑰紅短褲</t>
  </si>
  <si>
    <t>玫瑰红短裤</t>
  </si>
  <si>
    <t>Червоні короткі штани</t>
  </si>
  <si>
    <t>2919.txt</t>
  </si>
  <si>
    <t>Red Button-down Shirt</t>
  </si>
  <si>
    <t>玫瑰紅襯衫</t>
  </si>
  <si>
    <t>玫瑰红衬衫</t>
  </si>
  <si>
    <t>Червона сорочка на ґудзиках</t>
  </si>
  <si>
    <t>2920.txt</t>
  </si>
  <si>
    <t>Red Bowler Hat</t>
  </si>
  <si>
    <t>玫瑰紅圓頂禮帽</t>
  </si>
  <si>
    <t>玫瑰红圆顶礼帽</t>
  </si>
  <si>
    <t>Червоний казанок</t>
  </si>
  <si>
    <t>2921.txt</t>
  </si>
  <si>
    <t>Red Top Hat</t>
  </si>
  <si>
    <t>玫瑰紅禮帽</t>
  </si>
  <si>
    <t>玫瑰红礼帽</t>
  </si>
  <si>
    <t>Червоний циліндр</t>
  </si>
  <si>
    <t>2922.txt</t>
  </si>
  <si>
    <t>Red Long Dress</t>
  </si>
  <si>
    <t>Червона довга сукня</t>
  </si>
  <si>
    <t>2925.txt</t>
  </si>
  <si>
    <t>Indigo Cloak</t>
  </si>
  <si>
    <t>靛藍斗篷</t>
  </si>
  <si>
    <t>靛蓝斗篷</t>
  </si>
  <si>
    <t>Плащ індиго</t>
  </si>
  <si>
    <t>2926.txt</t>
  </si>
  <si>
    <t>Indigo Long Dress</t>
  </si>
  <si>
    <t>靛藍連衣裙</t>
  </si>
  <si>
    <t>靛蓝连衣裙</t>
  </si>
  <si>
    <t>Довга сукня кольору індиго</t>
  </si>
  <si>
    <t>2927.txt</t>
  </si>
  <si>
    <t>Indigo Long Skirt</t>
  </si>
  <si>
    <t>靛藍長裙</t>
  </si>
  <si>
    <t>靛蓝长裙</t>
  </si>
  <si>
    <t>Довга спідниця кольору індиго</t>
  </si>
  <si>
    <t>2928.txt</t>
  </si>
  <si>
    <t>Indigo Pleated Skirt</t>
  </si>
  <si>
    <t>靛藍百褶裙</t>
  </si>
  <si>
    <t>靛蓝百褶裙</t>
  </si>
  <si>
    <t>Плісирована спідниця кольору індиго</t>
  </si>
  <si>
    <t>2929.txt</t>
  </si>
  <si>
    <t>Indigo Short Trousers</t>
  </si>
  <si>
    <t>靛藍短褲</t>
  </si>
  <si>
    <t>靛蓝短裤</t>
  </si>
  <si>
    <t>Короткі штани індиго</t>
  </si>
  <si>
    <t>2930.txt</t>
  </si>
  <si>
    <t>Indigo Button-down Shirt</t>
  </si>
  <si>
    <t>靛藍襯衫</t>
  </si>
  <si>
    <t>靛蓝衬衫</t>
  </si>
  <si>
    <t>Сорочка на ґудзиках кольору індиго</t>
  </si>
  <si>
    <t>2931.txt</t>
  </si>
  <si>
    <t>Indigo Bowler Hat</t>
  </si>
  <si>
    <t>靛藍圓頂禮帽</t>
  </si>
  <si>
    <t>靛蓝圆顶礼帽</t>
  </si>
  <si>
    <t>Капелюх-котелок кольору індиго</t>
  </si>
  <si>
    <t>2932.txt</t>
  </si>
  <si>
    <t>Indigo Top Hat</t>
  </si>
  <si>
    <t>靛藍禮帽</t>
  </si>
  <si>
    <t>靛蓝礼帽</t>
  </si>
  <si>
    <t>Циліндр кольору індиго</t>
  </si>
  <si>
    <t>2933.txt</t>
  </si>
  <si>
    <t>Green Cloak</t>
  </si>
  <si>
    <t>綠色斗篷</t>
  </si>
  <si>
    <t>绿色斗篷</t>
  </si>
  <si>
    <t>Зелений плащ</t>
  </si>
  <si>
    <t>2934.txt</t>
  </si>
  <si>
    <t>Green Long Dress</t>
  </si>
  <si>
    <t>綠色連衣裙</t>
  </si>
  <si>
    <t>绿色连衣裙</t>
  </si>
  <si>
    <t>Довга зелена сукня</t>
  </si>
  <si>
    <t>2935.txt</t>
  </si>
  <si>
    <t>Green Long Skirt</t>
  </si>
  <si>
    <t>綠色長裙</t>
  </si>
  <si>
    <t>绿色长裙</t>
  </si>
  <si>
    <t>Зелена довга спідниця</t>
  </si>
  <si>
    <t>2936.txt</t>
  </si>
  <si>
    <t>Green Pleated Skirt</t>
  </si>
  <si>
    <t>綠色百褶裙</t>
  </si>
  <si>
    <t>绿色百褶裙</t>
  </si>
  <si>
    <t>Зелена плісирована спідниця</t>
  </si>
  <si>
    <t>2937.txt</t>
  </si>
  <si>
    <t>Green Short Trousers</t>
  </si>
  <si>
    <t>綠色短褲</t>
  </si>
  <si>
    <t>绿色短裤</t>
  </si>
  <si>
    <t>Зелені короткі штани</t>
  </si>
  <si>
    <t>2938.txt</t>
  </si>
  <si>
    <t>Green Button-down Shirt</t>
  </si>
  <si>
    <t>綠色襯衫</t>
  </si>
  <si>
    <t>绿色衬衫</t>
  </si>
  <si>
    <t>Зелена сорочка на ґудзиках</t>
  </si>
  <si>
    <t>2939.txt</t>
  </si>
  <si>
    <t>Green Bowler Hat</t>
  </si>
  <si>
    <t>綠色圓頂禮帽</t>
  </si>
  <si>
    <t>绿色圆顶礼帽</t>
  </si>
  <si>
    <t>Зелений казанок</t>
  </si>
  <si>
    <t>2940.txt</t>
  </si>
  <si>
    <t>Green Top Hat</t>
  </si>
  <si>
    <t>綠色禮帽</t>
  </si>
  <si>
    <t>绿色礼帽</t>
  </si>
  <si>
    <t>Зелений циліндр</t>
  </si>
  <si>
    <t>2941.txt</t>
  </si>
  <si>
    <t>Yellow Cloak</t>
  </si>
  <si>
    <t>黃色斗篷</t>
  </si>
  <si>
    <t>黄色斗篷</t>
  </si>
  <si>
    <t>Жовтий плащ</t>
  </si>
  <si>
    <t>2942.txt</t>
  </si>
  <si>
    <t>Yellow Long Dress</t>
  </si>
  <si>
    <t>黃色連衣裙</t>
  </si>
  <si>
    <t>黄色连衣裙</t>
  </si>
  <si>
    <t>Довга жовта сукня</t>
  </si>
  <si>
    <t>2943.txt</t>
  </si>
  <si>
    <t>Yellow Long Skirt</t>
  </si>
  <si>
    <t>黃色長裙</t>
  </si>
  <si>
    <t>黄色长裙</t>
  </si>
  <si>
    <t>Жовта довга спідниця</t>
  </si>
  <si>
    <t>2944.txt</t>
  </si>
  <si>
    <t>Yellow Pleated Skirt</t>
  </si>
  <si>
    <t>黃色百褶裙</t>
  </si>
  <si>
    <t>黄色百褶裙</t>
  </si>
  <si>
    <t>Жовта плісирована спідниця</t>
  </si>
  <si>
    <t>2945.txt</t>
  </si>
  <si>
    <t>Yellow Short Trousers</t>
  </si>
  <si>
    <t>黃色短褲</t>
  </si>
  <si>
    <t>黄色短裤</t>
  </si>
  <si>
    <t>Жовті короткі штани</t>
  </si>
  <si>
    <t>2946.txt</t>
  </si>
  <si>
    <t>Yellow Button-down Shirt</t>
  </si>
  <si>
    <t>黃色襯衫</t>
  </si>
  <si>
    <t>黄色衬衫</t>
  </si>
  <si>
    <t>Жовта сорочка на ґудзиках</t>
  </si>
  <si>
    <t>2947.txt</t>
  </si>
  <si>
    <t>Yellow Bowler Hat</t>
  </si>
  <si>
    <t>黃色圓頂禮帽</t>
  </si>
  <si>
    <t>黄色圆顶礼帽</t>
  </si>
  <si>
    <t>Жовтий казанок</t>
  </si>
  <si>
    <t>2948.txt</t>
  </si>
  <si>
    <t>Yellow Top Hat</t>
  </si>
  <si>
    <t>黃色禮帽</t>
  </si>
  <si>
    <t>黄色礼帽</t>
  </si>
  <si>
    <t>Жовтий циліндр</t>
  </si>
  <si>
    <t>2949.txt</t>
  </si>
  <si>
    <t>Black Cloak</t>
  </si>
  <si>
    <t>黑色斗篷</t>
  </si>
  <si>
    <t>Чорний плащ</t>
  </si>
  <si>
    <t>2950.txt</t>
  </si>
  <si>
    <t>Black Long Dress</t>
  </si>
  <si>
    <t>黑色連衣裙</t>
  </si>
  <si>
    <t>黑色连衣裙</t>
  </si>
  <si>
    <t>Чорна довга сукня</t>
  </si>
  <si>
    <t>2951.txt</t>
  </si>
  <si>
    <t>Black Long Skirt</t>
  </si>
  <si>
    <t>黑色長裙</t>
  </si>
  <si>
    <t>黑色长裙</t>
  </si>
  <si>
    <t>Чорна довга спідниця</t>
  </si>
  <si>
    <t>2952.txt</t>
  </si>
  <si>
    <t>Black Pleated Skirt</t>
  </si>
  <si>
    <t>黑色百褶裙</t>
  </si>
  <si>
    <t>Чорна плісирована спідниця</t>
  </si>
  <si>
    <t>2953.txt</t>
  </si>
  <si>
    <t>Black Short Trousers</t>
  </si>
  <si>
    <t>黑色短褲</t>
  </si>
  <si>
    <t>黑色短裤</t>
  </si>
  <si>
    <t>Чорні короткі штани</t>
  </si>
  <si>
    <t>2954.txt</t>
  </si>
  <si>
    <t>Black Button-down Shirt</t>
  </si>
  <si>
    <t>黑色襯衫</t>
  </si>
  <si>
    <t>黑色衬衫</t>
  </si>
  <si>
    <t>Чорна сорочка на ґудзиках</t>
  </si>
  <si>
    <t>2955.txt</t>
  </si>
  <si>
    <t>Black Bowler Hat</t>
  </si>
  <si>
    <t>黑色圓頂禮帽</t>
  </si>
  <si>
    <t>黑色圆顶礼帽</t>
  </si>
  <si>
    <t>Чорний казанок</t>
  </si>
  <si>
    <t>2956.txt</t>
  </si>
  <si>
    <t>Black Top Hat</t>
  </si>
  <si>
    <t>黑色禮帽</t>
  </si>
  <si>
    <t>黑色礼帽</t>
  </si>
  <si>
    <t>Чорний циліндр</t>
  </si>
  <si>
    <t>2957.txt</t>
  </si>
  <si>
    <t>Primitive Fence Twigs</t>
  </si>
  <si>
    <t>基本围栏细枝</t>
  </si>
  <si>
    <t>2959.txt</t>
  </si>
  <si>
    <t>Primitive Fence#horizontal</t>
  </si>
  <si>
    <t>基本围栏#horizontal</t>
  </si>
  <si>
    <t>2960.txt</t>
  </si>
  <si>
    <t>Primitive Fence#corner</t>
  </si>
  <si>
    <t>原始围栏#corner</t>
  </si>
  <si>
    <t>2961.txt</t>
  </si>
  <si>
    <t>Primitive Fence#vert</t>
  </si>
  <si>
    <t>基本围栏#vert</t>
  </si>
  <si>
    <t>2962.txt</t>
  </si>
  <si>
    <t>Primitive Fence Gate</t>
  </si>
  <si>
    <t>基本栅栏门</t>
  </si>
  <si>
    <t>2963.txt</t>
  </si>
  <si>
    <t>Primitive Fence Gate# +blocksMoving</t>
  </si>
  <si>
    <t>原始栅栏门# +blocksMoving</t>
  </si>
  <si>
    <t>2965.txt</t>
  </si>
  <si>
    <t>Planned Primitive Fence#horizontal groundOnly</t>
  </si>
  <si>
    <t>规划基本围栏#horizontal groundOnly</t>
  </si>
  <si>
    <t>2966.txt</t>
  </si>
  <si>
    <t>Planned Primitive Fence Gate</t>
  </si>
  <si>
    <t>规划的基本栅栏门</t>
  </si>
  <si>
    <t>2968.txt</t>
  </si>
  <si>
    <t>Planned Primitive Fence#vert groundOnly</t>
  </si>
  <si>
    <t>规划的基本围栏#vert groundOnly</t>
  </si>
  <si>
    <t>2970.txt</t>
  </si>
  <si>
    <t>Primitive Fence Ready For Construction#horizontal</t>
  </si>
  <si>
    <t>基本围栏准备施工#horizontal</t>
  </si>
  <si>
    <t>2971.txt</t>
  </si>
  <si>
    <t>Primitive Fence Ready For Construction#vert</t>
  </si>
  <si>
    <t>基本围栏准备施工#vert</t>
  </si>
  <si>
    <t>2972.txt</t>
  </si>
  <si>
    <t>Planned Primitive Fence#corner groundOnly</t>
  </si>
  <si>
    <t>规划的原始围栏#corner groundOnly</t>
  </si>
  <si>
    <t>2973.txt</t>
  </si>
  <si>
    <t>Primitive Fence Ready For Construction#corner</t>
  </si>
  <si>
    <t>原始围栏准备施工#corner</t>
  </si>
  <si>
    <t>2974.txt</t>
  </si>
  <si>
    <t>Primitive Fence Gate Ready For Construction</t>
  </si>
  <si>
    <t>可施工的原始栅栏门</t>
  </si>
  <si>
    <t>2976.txt</t>
  </si>
  <si>
    <t>Rickety Fence</t>
  </si>
  <si>
    <t>围栏</t>
  </si>
  <si>
    <t>2977.txt</t>
  </si>
  <si>
    <t>Rickety Primitive Fence#vert</t>
  </si>
  <si>
    <t>脆弱的原始围栏#vert</t>
  </si>
  <si>
    <t>2978.txt</t>
  </si>
  <si>
    <t>Rickety Primitive Fence#corner</t>
  </si>
  <si>
    <t>脆弱的原始围栏#corner</t>
  </si>
  <si>
    <t>2982.txt</t>
  </si>
  <si>
    <t>Shaky Primitive Fence#horizontal</t>
  </si>
  <si>
    <t>摇晃的原始围栏#horizontal</t>
  </si>
  <si>
    <t>2983.txt</t>
  </si>
  <si>
    <t>Shaky Primitive Fence Gate# +blocksMoving</t>
  </si>
  <si>
    <t>摇晃的原始栅栏门# +blocksMoving</t>
  </si>
  <si>
    <t>2984.txt</t>
  </si>
  <si>
    <t>Shaky Primitive Fence Gate</t>
  </si>
  <si>
    <t>摇摇晃晃的原始栅栏门</t>
  </si>
  <si>
    <t>2985.txt</t>
  </si>
  <si>
    <t>Shaky Primitive Fence#corner</t>
  </si>
  <si>
    <t>摇晃的原始围栏#corner</t>
  </si>
  <si>
    <t>2986.txt</t>
  </si>
  <si>
    <t>Shaky Primitive Fence#vert</t>
  </si>
  <si>
    <t>摇晃的原始围栏#vert</t>
  </si>
  <si>
    <t>2992.txt</t>
  </si>
  <si>
    <t>Primitive Fence Twigs# just set down</t>
  </si>
  <si>
    <t>2993.txt</t>
  </si>
  <si>
    <t>Gathering Primitive Fence Twigs</t>
  </si>
  <si>
    <t>收集基本围栏细枝</t>
  </si>
  <si>
    <t>2994.txt</t>
  </si>
  <si>
    <t>Gathering Primitive Fence Twigs# B</t>
  </si>
  <si>
    <t>收集原始围栏细枝# B</t>
  </si>
  <si>
    <t>2995.txt</t>
  </si>
  <si>
    <t>@ Shaky Fence Buster</t>
  </si>
  <si>
    <t>2996.txt</t>
  </si>
  <si>
    <t>@ Any approved fence</t>
  </si>
  <si>
    <t>2997.txt</t>
  </si>
  <si>
    <t>Empty Camera</t>
  </si>
  <si>
    <t>空摄像机</t>
  </si>
  <si>
    <t>2998.txt</t>
  </si>
  <si>
    <t>Camera taking Photograph# +photo</t>
  </si>
  <si>
    <t>相机拍摄照片# +photo</t>
  </si>
  <si>
    <t>2999.txt</t>
  </si>
  <si>
    <t>Loaded Camera</t>
  </si>
  <si>
    <t>已裝載底片的相機</t>
  </si>
  <si>
    <t>加载的摄像机</t>
  </si>
  <si>
    <t>Завантажена камера</t>
  </si>
  <si>
    <t>3000.txt</t>
  </si>
  <si>
    <t>Wound Loaded Camera</t>
  </si>
  <si>
    <t>受震動的已裝載底片的相機</t>
  </si>
  <si>
    <t>伤口加载相机</t>
  </si>
  <si>
    <t>3001.txt</t>
  </si>
  <si>
    <t>Electrum Ore</t>
  </si>
  <si>
    <t>銀金礦</t>
  </si>
  <si>
    <t>Electrum矿石</t>
  </si>
  <si>
    <t>Електрум Руда</t>
  </si>
  <si>
    <t>3002.txt</t>
  </si>
  <si>
    <t>Crucible with Electrum Ore</t>
  </si>
  <si>
    <t>裝著銀金礦的坩堝</t>
  </si>
  <si>
    <t>装有矿石的坩埚</t>
  </si>
  <si>
    <t>Тигель з Електрумовою рудою</t>
  </si>
  <si>
    <t>3003.txt</t>
  </si>
  <si>
    <t>Unforged Sealed Electrum Crucible</t>
  </si>
  <si>
    <t>未熔鍊的琥珀金坩堝</t>
  </si>
  <si>
    <t>非折叠密封Electrum坩埚</t>
  </si>
  <si>
    <t>Некований запечатаний електричний тигель</t>
  </si>
  <si>
    <t>3004.txt</t>
  </si>
  <si>
    <t>Unforged Electrum Crucible in Wooden Tongs</t>
  </si>
  <si>
    <t>被木鉗夾著的未熔鍊的琥珀金坩堝</t>
  </si>
  <si>
    <t>木制钳子中的展开式Electrum坩埚</t>
  </si>
  <si>
    <t>Некований тигель Electrum у дерев'яних щипцях</t>
  </si>
  <si>
    <t>3005.txt</t>
  </si>
  <si>
    <t>Cool Electrum Crucible in Wooden Tongs</t>
  </si>
  <si>
    <t>被木鉗夾著的冷琥珀金坩堝</t>
  </si>
  <si>
    <t>木制钳子中的冷Electrum坩埚</t>
  </si>
  <si>
    <t>Cool Electrum Crucible в дерев'яних щипцях</t>
  </si>
  <si>
    <t>3006.txt</t>
  </si>
  <si>
    <t>Hot Electrum Crucible in Wooden Tongs</t>
  </si>
  <si>
    <t>被木鉗夾著的熱琥珀金坩堝</t>
  </si>
  <si>
    <t>木制钳子中的电热电坩埚</t>
  </si>
  <si>
    <t>Тигель з гарячим електриком у дерев'яних щипцях</t>
  </si>
  <si>
    <t>3007.txt</t>
  </si>
  <si>
    <t>Hot Forged Electrum Crucible</t>
  </si>
  <si>
    <t>熱琥珀金坩堝</t>
  </si>
  <si>
    <t>热锻Electrum坩埚</t>
  </si>
  <si>
    <t>Гаряче кований Електрум Тигель</t>
  </si>
  <si>
    <t>3008.txt</t>
  </si>
  <si>
    <t>Forged Electrum Crucible</t>
  </si>
  <si>
    <t>已熔鍊的琥珀金坩堝</t>
  </si>
  <si>
    <t>锻造Electrum坩埚</t>
  </si>
  <si>
    <t>Кований тигель Electrum</t>
  </si>
  <si>
    <t>3009.txt</t>
  </si>
  <si>
    <t>Crucible with Electrum</t>
  </si>
  <si>
    <t>裝著琥珀金的坩堝</t>
  </si>
  <si>
    <t>带Electrum的坩埚</t>
  </si>
  <si>
    <t>Тигель з Електрумом</t>
  </si>
  <si>
    <t>3010.txt</t>
  </si>
  <si>
    <t>Electrum Ingot</t>
  </si>
  <si>
    <t>琥珀金錠</t>
  </si>
  <si>
    <t>Електровий злиток</t>
  </si>
  <si>
    <t>3011.txt</t>
  </si>
  <si>
    <t>Bowl of Copper Sulfate with Alum</t>
  </si>
  <si>
    <t>硫酸铜明矾碗</t>
  </si>
  <si>
    <t>3012.txt</t>
  </si>
  <si>
    <t>Bowl of Copper Sulfate with Alum and Niter</t>
  </si>
  <si>
    <t>一碗硫酸銅溶液和明礬和硝石</t>
  </si>
  <si>
    <t>含明矾和硝酸盐的硫酸铜碗</t>
  </si>
  <si>
    <t>Чаша з мідним купоросом з галуном і селітрою</t>
  </si>
  <si>
    <t>3013.txt</t>
  </si>
  <si>
    <t>Bowl of Nitric Acid</t>
  </si>
  <si>
    <t>一碗硝酸</t>
  </si>
  <si>
    <t>3014.txt</t>
  </si>
  <si>
    <t>Bowl of Silver Nitrate Solution</t>
  </si>
  <si>
    <t>一碗硝酸银溶液</t>
  </si>
  <si>
    <t>3015.txt</t>
  </si>
  <si>
    <t>Gold in Silver Nitrate Solution</t>
  </si>
  <si>
    <t>一碗硝酸銀溶液和金沉澱</t>
  </si>
  <si>
    <t>硝酸银溶液中的金</t>
  </si>
  <si>
    <t>Золото в розчині нітрату срібла</t>
  </si>
  <si>
    <t>3017.txt</t>
  </si>
  <si>
    <t>Protected Stack of Photo Paper</t>
  </si>
  <si>
    <t>一疊被保護的底片</t>
  </si>
  <si>
    <t>照片纸的保护堆叠</t>
  </si>
  <si>
    <t>Захищений стос фотопаперу</t>
  </si>
  <si>
    <t>3018.txt</t>
  </si>
  <si>
    <t>Damp Photo Paper</t>
  </si>
  <si>
    <t>潮溼的底片</t>
  </si>
  <si>
    <t>潮湿的相纸</t>
  </si>
  <si>
    <t>Вологий фотопапір</t>
  </si>
  <si>
    <t>3019.txt</t>
  </si>
  <si>
    <t>Ruined Photo Paper</t>
  </si>
  <si>
    <t>損壞的底片</t>
  </si>
  <si>
    <t>损毁的相纸</t>
  </si>
  <si>
    <t>Зіпсований фотопапір</t>
  </si>
  <si>
    <t>3021.txt</t>
  </si>
  <si>
    <t>Bowl of Charcoal Powder</t>
  </si>
  <si>
    <t>一碗木炭粉末</t>
  </si>
  <si>
    <t>一碗木炭粉</t>
  </si>
  <si>
    <t>Чаша з вугільним порошком</t>
  </si>
  <si>
    <t>3022.txt</t>
  </si>
  <si>
    <t>Bucket of Black Paint</t>
  </si>
  <si>
    <t>黑色顏料桶</t>
  </si>
  <si>
    <t>黑色油漆桶</t>
  </si>
  <si>
    <t>Відро чорної фарби</t>
  </si>
  <si>
    <t>3025.txt</t>
  </si>
  <si>
    <t>Camera Body</t>
  </si>
  <si>
    <t>相機機身</t>
  </si>
  <si>
    <t>相机机身</t>
  </si>
  <si>
    <t>Корпус камери</t>
  </si>
  <si>
    <t>3026.txt</t>
  </si>
  <si>
    <t>Spring Loaded Black Box</t>
  </si>
  <si>
    <t>裝載了彈簧的黑盒</t>
  </si>
  <si>
    <t>弹簧加载黑匣子</t>
  </si>
  <si>
    <t>Підпружинений чорний ящик</t>
  </si>
  <si>
    <t>3027.txt</t>
  </si>
  <si>
    <t>Black Box</t>
  </si>
  <si>
    <t>黑盒</t>
  </si>
  <si>
    <t>黑匣子</t>
  </si>
  <si>
    <t>Чорна коробка</t>
  </si>
  <si>
    <t>3028.txt</t>
  </si>
  <si>
    <t>Tripod</t>
  </si>
  <si>
    <t>三腳架</t>
  </si>
  <si>
    <t>三脚架</t>
  </si>
  <si>
    <t>Штатив</t>
  </si>
  <si>
    <t>3029.txt</t>
  </si>
  <si>
    <t>Flash Fire</t>
  </si>
  <si>
    <t>閃火</t>
  </si>
  <si>
    <t>闪火</t>
  </si>
  <si>
    <t>3030.txt</t>
  </si>
  <si>
    <t>Natural Spring# gridPlacement40 evePrimaryLoc</t>
  </si>
  <si>
    <t>泉眼# gridPlacement40 evePrimaryLoc</t>
  </si>
  <si>
    <t>Природне джерело# gridPlacement40 evePrimaryLoc</t>
  </si>
  <si>
    <t>3031.txt</t>
  </si>
  <si>
    <t>Exhausted Deep Well</t>
  </si>
  <si>
    <t>枯竭的深井</t>
  </si>
  <si>
    <t>Вичерпаний Глибокий колодязь</t>
  </si>
  <si>
    <t>3032.txt</t>
  </si>
  <si>
    <t>Exhausted Newcomen Pump</t>
  </si>
  <si>
    <t>枯竭的紐科門蒸汽泵</t>
  </si>
  <si>
    <t>枯竭的纽科门蒸汽泵</t>
  </si>
  <si>
    <t>Вичерпаний насос Ньюкомена</t>
  </si>
  <si>
    <t>3034.txt</t>
  </si>
  <si>
    <t>Perhaps an Exhausted Pump</t>
  </si>
  <si>
    <t>也许是一个耗尽的泵</t>
  </si>
  <si>
    <t>3036.txt</t>
  </si>
  <si>
    <t>Exhausted Newcomen Pump# no core</t>
  </si>
  <si>
    <t>枯竭的紐科門蒸汽泵# no core</t>
  </si>
  <si>
    <t>枯竭的纽科门蒸汽泵# no core</t>
  </si>
  <si>
    <t>Вичерпаний насос Newcomen# no core</t>
  </si>
  <si>
    <t>3037.txt</t>
  </si>
  <si>
    <t>Exhausted Newcomen Pump# no beam</t>
  </si>
  <si>
    <t>枯竭的紐科門蒸汽泵# no beam</t>
  </si>
  <si>
    <t>枯竭的纽科门蒸汽泵# no beam</t>
  </si>
  <si>
    <t>Вичерпаний насос Newcomen# no beam</t>
  </si>
  <si>
    <t>3038.txt</t>
  </si>
  <si>
    <t>Exhausted Newcomen Pump# 3 stone</t>
  </si>
  <si>
    <t>枯竭的紐科門蒸汽泵# 3 stone</t>
  </si>
  <si>
    <t>枯竭的纽科门蒸汽泵# 3 stone</t>
  </si>
  <si>
    <t>Вичерпаний Newcomen Pump # 3 stone</t>
  </si>
  <si>
    <t>3039.txt</t>
  </si>
  <si>
    <t>Exhausted Newcomen Pump# 2 stone</t>
  </si>
  <si>
    <t>枯竭的紐科門蒸汽泵# 2 stone</t>
  </si>
  <si>
    <t>枯竭的纽科门蒸汽泵# 2 stone</t>
  </si>
  <si>
    <t>Вичерпаний Newcomen Pump# 2 stone</t>
  </si>
  <si>
    <t>3040.txt</t>
  </si>
  <si>
    <t>Exhausted Newcomen Pump# 1 stone</t>
  </si>
  <si>
    <t>枯竭的紐科門蒸汽泵# 1 stone</t>
  </si>
  <si>
    <t>枯竭的纽科门蒸汽泵# 1 stone</t>
  </si>
  <si>
    <t>Вичерпаний Newcomen Pump # 1 stone</t>
  </si>
  <si>
    <t>3041.txt</t>
  </si>
  <si>
    <t>Unpowered Pump Head# from exhausted</t>
  </si>
  <si>
    <t>無動力的泵頭# from exhausted</t>
  </si>
  <si>
    <t>无动力的泵头# from exhausted</t>
  </si>
  <si>
    <t>Знеструмлена головка насоса # from exhausted</t>
  </si>
  <si>
    <t>3043.txt</t>
  </si>
  <si>
    <t>@ Unpowered Pump Head</t>
  </si>
  <si>
    <t>3046.txt</t>
  </si>
  <si>
    <t>Pregnant Belly</t>
  </si>
  <si>
    <t>懷孕的腹部</t>
  </si>
  <si>
    <t>怀孕的腹部</t>
  </si>
  <si>
    <t>Вагітний живіт</t>
  </si>
  <si>
    <t>3047.txt</t>
  </si>
  <si>
    <t>Sharp War Sword</t>
  </si>
  <si>
    <t>锋利的战剑</t>
  </si>
  <si>
    <t>3048.txt</t>
  </si>
  <si>
    <t>Bloody War Sword</t>
  </si>
  <si>
    <t>血腥战剑</t>
  </si>
  <si>
    <t>3050.txt</t>
  </si>
  <si>
    <t>Backpack with Sword</t>
  </si>
  <si>
    <t>佩劍背包</t>
  </si>
  <si>
    <t>剑背包</t>
  </si>
  <si>
    <t>Рюкзак з мечем</t>
  </si>
  <si>
    <t>3051.txt</t>
  </si>
  <si>
    <t>Baby Bone Pile# origGrave</t>
  </si>
  <si>
    <t>嬰兒骨堆# origGrave</t>
  </si>
  <si>
    <t>婴儿骨桩# origGrave</t>
  </si>
  <si>
    <t>3052.txt</t>
  </si>
  <si>
    <t>Basket of Baby Bones</t>
  </si>
  <si>
    <t>婴儿骨篮</t>
  </si>
  <si>
    <t>3053.txt</t>
  </si>
  <si>
    <t>Baby Bone Pile# origGrave justDied</t>
  </si>
  <si>
    <t>婴儿骨堆# origGrave justDied</t>
  </si>
  <si>
    <t>3054.txt</t>
  </si>
  <si>
    <t>Hot Steel Rod on Anvil</t>
  </si>
  <si>
    <t>铁砧上的热钢条</t>
  </si>
  <si>
    <t>3055.txt</t>
  </si>
  <si>
    <t>Steel Rod on Anvil</t>
  </si>
  <si>
    <t>铁砧上的钢条</t>
  </si>
  <si>
    <t>3056.txt</t>
  </si>
  <si>
    <t>War Sword on Anvil</t>
  </si>
  <si>
    <t>铁砧上的战剑</t>
  </si>
  <si>
    <t>3057.txt</t>
  </si>
  <si>
    <t>Steel Rod# from sword</t>
  </si>
  <si>
    <t>鋼棒# from sword</t>
  </si>
  <si>
    <t>剑中的钢条# from sword</t>
  </si>
  <si>
    <t>Сталевий жезл# from sword</t>
  </si>
  <si>
    <t>3059.txt</t>
  </si>
  <si>
    <t>Track Kit with Stakes</t>
  </si>
  <si>
    <t>帶標樁的軌道組件</t>
  </si>
  <si>
    <t>带桩的履带套件</t>
  </si>
  <si>
    <t>Набір доріжок із кілками</t>
  </si>
  <si>
    <t>3060.txt</t>
  </si>
  <si>
    <t>Stakes# just dropped</t>
  </si>
  <si>
    <t>赌注# just dropped</t>
  </si>
  <si>
    <t>3064.txt</t>
  </si>
  <si>
    <t>Wooden Box with Slot Notches</t>
  </si>
  <si>
    <t>帶槽缺口的木箱子</t>
  </si>
  <si>
    <t>带槽口的木箱</t>
  </si>
  <si>
    <t>Дерев'яна коробка з прорізами</t>
  </si>
  <si>
    <t>3065.txt</t>
  </si>
  <si>
    <t>Wooden Slot Box</t>
  </si>
  <si>
    <t>木製槽盒</t>
  </si>
  <si>
    <t>木制插槽盒</t>
  </si>
  <si>
    <t>Дерев'яна коробка для слотів</t>
  </si>
  <si>
    <t>3066.txt</t>
  </si>
  <si>
    <t>Murder Mouth</t>
  </si>
  <si>
    <t>杀人嘴</t>
  </si>
  <si>
    <t>3068.txt</t>
  </si>
  <si>
    <t>Medical Apron with Sterile Pads</t>
  </si>
  <si>
    <t>带无菌垫的医用停机坪</t>
  </si>
  <si>
    <t>3069.txt</t>
  </si>
  <si>
    <t>Dry Rubber Sapling</t>
  </si>
  <si>
    <t>乾燥的橡膠樹苗</t>
  </si>
  <si>
    <t>干燥的橡胶树苗</t>
  </si>
  <si>
    <t>Сухий саджанець каучуку</t>
  </si>
  <si>
    <t>3070.txt</t>
  </si>
  <si>
    <t>Wet Rubber Sapling</t>
  </si>
  <si>
    <t>溼潤的橡膠樹苗</t>
  </si>
  <si>
    <t>湿润的橡胶树苗</t>
  </si>
  <si>
    <t>Саджанець мокрої гуми</t>
  </si>
  <si>
    <t>3071.txt</t>
  </si>
  <si>
    <t>Dry Rubber Sapling Cutting</t>
  </si>
  <si>
    <t>干橡胶边料切割</t>
  </si>
  <si>
    <t>3072.txt</t>
  </si>
  <si>
    <t>Wet Rubber Sapling Cutting</t>
  </si>
  <si>
    <t>溼潤的橡膠樹剪枝</t>
  </si>
  <si>
    <t>湿橡胶边料切割</t>
  </si>
  <si>
    <t>Вологе різання саджанців гуми</t>
  </si>
  <si>
    <t>3073.txt</t>
  </si>
  <si>
    <t>Shears with Rubber Cutting</t>
  </si>
  <si>
    <t>帶橡膠樹剪枝的剪刀</t>
  </si>
  <si>
    <t>带橡胶切割的剪切机</t>
  </si>
  <si>
    <t>Ножиці з гумовою нарізкою</t>
  </si>
  <si>
    <t>3074.txt</t>
  </si>
  <si>
    <t>Rubber Tree Cutting</t>
  </si>
  <si>
    <t>橡膠樹剪枝</t>
  </si>
  <si>
    <t>橡胶树切割</t>
  </si>
  <si>
    <t>Різання каучукового дерева</t>
  </si>
  <si>
    <t>3075.txt</t>
  </si>
  <si>
    <t>@ (outdated) Cutting-source Rubber Tree</t>
  </si>
  <si>
    <t>3076.txt</t>
  </si>
  <si>
    <t>Scrap Bowl</t>
  </si>
  <si>
    <t>廢鋼碗</t>
  </si>
  <si>
    <t>废料碗</t>
  </si>
  <si>
    <t>Миска для лому</t>
  </si>
  <si>
    <t>3077.txt</t>
  </si>
  <si>
    <t>Clay Bowl# scrap mark erased</t>
  </si>
  <si>
    <t>黏土碗# scrap mark erased</t>
  </si>
  <si>
    <t>粘土碗# scrap mark erased</t>
  </si>
  <si>
    <t>Глиняна миска # scrap mark erased</t>
  </si>
  <si>
    <t>3078.txt</t>
  </si>
  <si>
    <t>Male019 A</t>
  </si>
  <si>
    <t>男性019 A</t>
  </si>
  <si>
    <t>Чоловік019 А</t>
  </si>
  <si>
    <t>3079.txt</t>
  </si>
  <si>
    <t>Male020 A</t>
  </si>
  <si>
    <t>男性020 A</t>
  </si>
  <si>
    <t>Чоловік020 А</t>
  </si>
  <si>
    <t>3080.txt</t>
  </si>
  <si>
    <t>Male021 F</t>
  </si>
  <si>
    <t>男性021 F</t>
  </si>
  <si>
    <t>Чоловік021 F</t>
  </si>
  <si>
    <t>3081.txt</t>
  </si>
  <si>
    <t>Male022 F</t>
  </si>
  <si>
    <t>男性022 F</t>
  </si>
  <si>
    <t>Чоловік 022 F</t>
  </si>
  <si>
    <t>3083.txt</t>
  </si>
  <si>
    <t>Dismantled Oil Pumpjack</t>
  </si>
  <si>
    <t>拆卸的油泵千斤顶</t>
  </si>
  <si>
    <t>3084.txt</t>
  </si>
  <si>
    <t>Dismantled Oil Pumpjack# 1</t>
  </si>
  <si>
    <t>拆卸的1号油泵# 1</t>
  </si>
  <si>
    <t>3085.txt</t>
  </si>
  <si>
    <t>Ropeless Dismantled Oil Pumpjack# 2</t>
  </si>
  <si>
    <t>2号无绳拆卸式抽油机# 2</t>
  </si>
  <si>
    <t>3086.txt</t>
  </si>
  <si>
    <t>Dismantled Oil Pump Tower# 3</t>
  </si>
  <si>
    <t>拆除的3号油泵塔# 3</t>
  </si>
  <si>
    <t>3087.txt</t>
  </si>
  <si>
    <t>Dismantled Oil Pump Tower# 4</t>
  </si>
  <si>
    <t>拆卸的4号油泵塔# 4</t>
  </si>
  <si>
    <t>3088.txt</t>
  </si>
  <si>
    <t>Dismantled Oil Pumpjack# 5</t>
  </si>
  <si>
    <t>拆卸的5号油泵# 5</t>
  </si>
  <si>
    <t>3089.txt</t>
  </si>
  <si>
    <t>Dismantled Oil Pump Tower# 6</t>
  </si>
  <si>
    <t>拆卸的油泵塔# 6</t>
  </si>
  <si>
    <t>3090.txt</t>
  </si>
  <si>
    <t>Dismantled Oil Pump Tower# 7</t>
  </si>
  <si>
    <t>拆卸的油泵塔# 7</t>
  </si>
  <si>
    <t>3091.txt</t>
  </si>
  <si>
    <t>Bore Hole</t>
  </si>
  <si>
    <t>钻孔</t>
  </si>
  <si>
    <t>3092.txt</t>
  </si>
  <si>
    <t>Pump Valve# removed</t>
  </si>
  <si>
    <t>泵閥# removed</t>
  </si>
  <si>
    <t>泵阀# removed</t>
  </si>
  <si>
    <t>Клапан насоса # removed</t>
  </si>
  <si>
    <t>3093.txt</t>
  </si>
  <si>
    <t>Renewed Primitive Fence#horizontal</t>
  </si>
  <si>
    <t>更新的原始围栏#horizontal</t>
  </si>
  <si>
    <t>3095.txt</t>
  </si>
  <si>
    <t>Renewed Primitive Fence#corner</t>
  </si>
  <si>
    <t>更新的原始围栏#corner</t>
  </si>
  <si>
    <t>3096.txt</t>
  </si>
  <si>
    <t>Renewed Primitive Fence#vert</t>
  </si>
  <si>
    <t>更新的原始围栏#vert</t>
  </si>
  <si>
    <t>3097.txt</t>
  </si>
  <si>
    <t>Rift# A 1 +noHighlight</t>
  </si>
  <si>
    <t>裂縫# A 1 +noHighlight</t>
  </si>
  <si>
    <t>裂缝# A 1 +noHighlight</t>
  </si>
  <si>
    <t>Рифт# A 1 +noHighlight</t>
  </si>
  <si>
    <t>3098.txt</t>
  </si>
  <si>
    <t>Rift# A 2 +noHighlight</t>
  </si>
  <si>
    <t>裂縫# A 2 +noHighlight</t>
  </si>
  <si>
    <t>裂缝# A 2 +noHighlight</t>
  </si>
  <si>
    <t>Рифт# A 2 +noHighlight</t>
  </si>
  <si>
    <t>3099.txt</t>
  </si>
  <si>
    <t>Rift# A 3 +noHighlight</t>
  </si>
  <si>
    <t>裂縫# A 3 +noHighlight</t>
  </si>
  <si>
    <t>裂缝# A 3 +noHighlight</t>
  </si>
  <si>
    <t>Рифт# A 3 +noHighlight</t>
  </si>
  <si>
    <t>3100.txt</t>
  </si>
  <si>
    <t>Rift# A 4 +noHighlight</t>
  </si>
  <si>
    <t>裂縫# A 4 +noHighlight</t>
  </si>
  <si>
    <t>裂缝# A 4 +noHighlight</t>
  </si>
  <si>
    <t>Рифт# A 4 +noHighlight</t>
  </si>
  <si>
    <t>3101.txt</t>
  </si>
  <si>
    <t>Rift# B 1 +noHighlight</t>
  </si>
  <si>
    <t>裂縫# B 1 +noHighlight</t>
  </si>
  <si>
    <t>裂缝# B 1 +noHighlight</t>
  </si>
  <si>
    <t>Рифт# B 1 +noHighlight</t>
  </si>
  <si>
    <t>3102.txt</t>
  </si>
  <si>
    <t>Rift# B 2 +noHighlight</t>
  </si>
  <si>
    <t>裂縫# B 2 +noHighlight</t>
  </si>
  <si>
    <t>裂缝# B 2 +noHighlight</t>
  </si>
  <si>
    <t>Рифт# B 2 +noHighlight</t>
  </si>
  <si>
    <t>3103.txt</t>
  </si>
  <si>
    <t>Rift# B 3 +noHighlight</t>
  </si>
  <si>
    <t>裂縫# B 3 +noHighlight</t>
  </si>
  <si>
    <t>裂缝# B 3 +noHighlight</t>
  </si>
  <si>
    <t>Рифт# B 3 +noHighlight</t>
  </si>
  <si>
    <t>3104.txt</t>
  </si>
  <si>
    <t>Rift# B 4 +noHighlight</t>
  </si>
  <si>
    <t>裂縫# B 4 +noHighlight</t>
  </si>
  <si>
    <t>裂缝# B 4 +noHighlight</t>
  </si>
  <si>
    <t>Рифт# B 4 +noHighlight</t>
  </si>
  <si>
    <t>3105.txt</t>
  </si>
  <si>
    <t>Rift# C 1 +noHighlight</t>
  </si>
  <si>
    <t>裂縫# C 1 +noHighlight</t>
  </si>
  <si>
    <t>裂缝# C 1 +noHighlight</t>
  </si>
  <si>
    <t>Рифт# C 1 +noHighlight</t>
  </si>
  <si>
    <t>3106.txt</t>
  </si>
  <si>
    <t>Rift# C 2 +noHighlight</t>
  </si>
  <si>
    <t>裂縫# C 2 +noHighlight</t>
  </si>
  <si>
    <t>裂缝# C 2 +noHighlight</t>
  </si>
  <si>
    <t>Рифт# C 2 +noHighlight</t>
  </si>
  <si>
    <t>3107.txt</t>
  </si>
  <si>
    <t>Rift# C 3 +noHighlight</t>
  </si>
  <si>
    <t>裂縫# C 3 +noHighlight</t>
  </si>
  <si>
    <t>裂缝# C 3 +noHighlight</t>
  </si>
  <si>
    <t>Рифт# C 3 +noHighlight</t>
  </si>
  <si>
    <t>3108.txt</t>
  </si>
  <si>
    <t>Rift# C 4 +noHighlight</t>
  </si>
  <si>
    <t>裂縫# C 4 +noHighlight</t>
  </si>
  <si>
    <t>裂缝# C 4 +noHighlight</t>
  </si>
  <si>
    <t>Рифт# C 4 +noHighlight</t>
  </si>
  <si>
    <t>3109.txt</t>
  </si>
  <si>
    <t>Staked Wild Gooseberry Bush</t>
  </si>
  <si>
    <t>被固定的野生醋栗叢</t>
  </si>
  <si>
    <t>被固定的野生醋栗丛</t>
  </si>
  <si>
    <t>Кущ дикого агрусу на ставку</t>
  </si>
  <si>
    <t>3110.txt</t>
  </si>
  <si>
    <t>Moist Staked Wild Gooseberry Bush</t>
  </si>
  <si>
    <t>湿桩野生鹅掌楸</t>
  </si>
  <si>
    <t>3111.txt</t>
  </si>
  <si>
    <t>Chopped Hardwood Tree - Hungry Work#big,log,wood2 +hungryWork10</t>
  </si>
  <si>
    <t>砍倒的硬木树-饥饿的工作#big,log,wood2 +hungryWork10</t>
  </si>
  <si>
    <t>3112.txt</t>
  </si>
  <si>
    <t>Tarr Monument</t>
  </si>
  <si>
    <t>塔爾紀念碑</t>
  </si>
  <si>
    <t>塔尔纪念碑</t>
  </si>
  <si>
    <t>Пам'ятник Тарру</t>
  </si>
  <si>
    <t>3114.txt</t>
  </si>
  <si>
    <t>Property Fence with Unsigned Notice</t>
  </si>
  <si>
    <t>带有未签署通知的物业围栏</t>
  </si>
  <si>
    <t>3115.txt</t>
  </si>
  <si>
    <t>Property Fence with Partial Notice</t>
  </si>
  <si>
    <t>带有部分通知的物业围栏</t>
  </si>
  <si>
    <t>3116.txt</t>
  </si>
  <si>
    <t>Property Fence with Removal Notice</t>
  </si>
  <si>
    <t>带拆除通知的物业围栏</t>
  </si>
  <si>
    <t>3117.txt</t>
  </si>
  <si>
    <t>Fence Notice Working</t>
  </si>
  <si>
    <t>柵欄公告工作中</t>
  </si>
  <si>
    <t>围栏通知工作</t>
  </si>
  <si>
    <t>Огорожа Повідомлення Працює</t>
  </si>
  <si>
    <t>3118.txt</t>
  </si>
  <si>
    <t>3119.txt</t>
  </si>
  <si>
    <t>3120.txt</t>
  </si>
  <si>
    <t>3121.txt</t>
  </si>
  <si>
    <t>3122.txt</t>
  </si>
  <si>
    <t>3123.txt</t>
  </si>
  <si>
    <t>3124.txt</t>
  </si>
  <si>
    <t>Temporary Fence Removal Receipt</t>
  </si>
  <si>
    <t>临时围栏拆除收据</t>
  </si>
  <si>
    <t>3125.txt</t>
  </si>
  <si>
    <t>Elder Removal Receipt</t>
  </si>
  <si>
    <t>長者的移除字條</t>
  </si>
  <si>
    <t>长者搬迁收据</t>
  </si>
  <si>
    <t>Квитанція про звільнення старійшини</t>
  </si>
  <si>
    <t>3127.txt</t>
  </si>
  <si>
    <t>Elder Removal Receipt# with charcaol offScreenSound</t>
  </si>
  <si>
    <t>带charcaol offScreenSound的长者搬迁收据# with charcaol offScreenSound</t>
  </si>
  <si>
    <t>3128.txt</t>
  </si>
  <si>
    <t>Running Diesel Mining Pick</t>
  </si>
  <si>
    <t>運行中的柴油礦井</t>
  </si>
  <si>
    <t>运行柴油采矿镐</t>
  </si>
  <si>
    <t>Запуск Diesel Mining Pick</t>
  </si>
  <si>
    <t>3129.txt</t>
  </si>
  <si>
    <t>Ready Diesel Mining Pick</t>
  </si>
  <si>
    <t>现成柴油采矿镐</t>
  </si>
  <si>
    <t>3130.txt</t>
  </si>
  <si>
    <t>Diesel Mining Pick without Bit</t>
  </si>
  <si>
    <t>沒有鑽機的柴油礦井</t>
  </si>
  <si>
    <t>不带钻头的柴油采矿镐</t>
  </si>
  <si>
    <t>Дизель Майнінг Пік без біта</t>
  </si>
  <si>
    <t>3131.txt</t>
  </si>
  <si>
    <t>Diesel Minging Pick with Iron</t>
  </si>
  <si>
    <t>带铁的柴油磨头</t>
  </si>
  <si>
    <t>3132.txt</t>
  </si>
  <si>
    <t>Running Diesel Mining Pick#with Iron</t>
  </si>
  <si>
    <t>運行中的柴油礦井#with Iron</t>
  </si>
  <si>
    <t>用铁运行柴油采矿Pick#with Iron</t>
  </si>
  <si>
    <t>Запуск Diesel Mining Pick#with Iron</t>
  </si>
  <si>
    <t>3145.txt</t>
  </si>
  <si>
    <t>Dug Barrel Cactus</t>
  </si>
  <si>
    <t>挖筒仙人掌</t>
  </si>
  <si>
    <t>3181.txt</t>
  </si>
  <si>
    <t>Blank Map with Charcoal# &amp;writable +map</t>
  </si>
  <si>
    <t>空白地圖和炭筆# &amp;writable +map</t>
  </si>
  <si>
    <t>空白地图和炭笔# &amp;writable +map</t>
  </si>
  <si>
    <t>Пуста карта з вугіллям# &amp;writable +map</t>
  </si>
  <si>
    <t>3182.txt</t>
  </si>
  <si>
    <t>Marked Map# writing happening &amp;written +map</t>
  </si>
  <si>
    <t>已標記的地圖# writing happening &amp;written +map</t>
  </si>
  <si>
    <t>已标记的地图# writing happening &amp;written +map</t>
  </si>
  <si>
    <t>Позначено, що відбувається написання карти# writing happening &amp;written +map</t>
  </si>
  <si>
    <t>3183.txt</t>
  </si>
  <si>
    <t>Map with Charcoal Mark# &amp;written +map</t>
  </si>
  <si>
    <t>有標記的地圖# &amp;written +map</t>
  </si>
  <si>
    <t>有标记的地图# &amp;written +map</t>
  </si>
  <si>
    <t>Карта з вугільним знаком# &amp;written +map</t>
  </si>
  <si>
    <t>3184.txt</t>
  </si>
  <si>
    <t>Map with Permanent Mark# &amp;written +map</t>
  </si>
  <si>
    <t>有永久標記的地圖# &amp;written +map</t>
  </si>
  <si>
    <t>有永久标记的地图# &amp;written +map</t>
  </si>
  <si>
    <t>Карта з постійним знаком# &amp;written +map</t>
  </si>
  <si>
    <t>3185.txt</t>
  </si>
  <si>
    <t>Blue Dyed Paper</t>
  </si>
  <si>
    <t>蓝色染色纸</t>
  </si>
  <si>
    <t>3186.txt</t>
  </si>
  <si>
    <t>Marked Map# &amp;written</t>
  </si>
  <si>
    <t>已標記的地圖# &amp;written</t>
  </si>
  <si>
    <t>标记地图# &amp;written</t>
  </si>
  <si>
    <t>Позначено карту # &amp;written</t>
  </si>
  <si>
    <t>3188.txt</t>
  </si>
  <si>
    <t>Stack of Blue Dyed Paper</t>
  </si>
  <si>
    <t>一叠蓝色染色纸</t>
  </si>
  <si>
    <t>3211.txt</t>
  </si>
  <si>
    <t>Ghost Costume</t>
  </si>
  <si>
    <t>鬼怪服裝</t>
  </si>
  <si>
    <t>幽灵服装</t>
  </si>
  <si>
    <t>Костюм привида</t>
  </si>
  <si>
    <t>3219.txt</t>
  </si>
  <si>
    <t>Pumpkin</t>
  </si>
  <si>
    <t>南瓜</t>
  </si>
  <si>
    <t>3220.txt</t>
  </si>
  <si>
    <t>Ripe Pumpkin Plant</t>
  </si>
  <si>
    <t>成熟的南瓜植株</t>
  </si>
  <si>
    <t>成熟南瓜植物</t>
  </si>
  <si>
    <t>Стиглий гарбуз</t>
  </si>
  <si>
    <t>3221.txt</t>
  </si>
  <si>
    <t>Perhaps a Pumpkin</t>
  </si>
  <si>
    <t>可能是南瓜</t>
  </si>
  <si>
    <t>也许是南瓜</t>
  </si>
  <si>
    <t>Можливо, гарбуз</t>
  </si>
  <si>
    <t>3222.txt</t>
  </si>
  <si>
    <t>Cut Pumpkin</t>
  </si>
  <si>
    <t>被切下的南瓜</t>
  </si>
  <si>
    <t>切南瓜</t>
  </si>
  <si>
    <t>Порізати гарбуз</t>
  </si>
  <si>
    <t>3224.txt</t>
  </si>
  <si>
    <t>Jack O' Lantern with Seeds</t>
  </si>
  <si>
    <t>傑克燈和種子</t>
  </si>
  <si>
    <t>杰克带籽灯笼</t>
  </si>
  <si>
    <t>Ліхтар Джека з насінням</t>
  </si>
  <si>
    <t>3225.txt</t>
  </si>
  <si>
    <t>Jack O' Lantern #ground</t>
  </si>
  <si>
    <t>杰克欧灯笼#ground</t>
  </si>
  <si>
    <t>3226.txt</t>
  </si>
  <si>
    <t>Pumpkin Seeds</t>
  </si>
  <si>
    <t>南瓜種子</t>
  </si>
  <si>
    <t>南瓜种子</t>
  </si>
  <si>
    <t>Гарбузове насіння</t>
  </si>
  <si>
    <t>3228.txt</t>
  </si>
  <si>
    <t>Dry Planted Pumpkin Seeds</t>
  </si>
  <si>
    <t>乾燥的南瓜植株</t>
  </si>
  <si>
    <t>干燥的南瓜植株</t>
  </si>
  <si>
    <t>Сухі посаджені гарбузове насіння</t>
  </si>
  <si>
    <t>3229.txt</t>
  </si>
  <si>
    <t>Wet Planted Pumpkin Seeds</t>
  </si>
  <si>
    <t>溼潤的南瓜植株</t>
  </si>
  <si>
    <t>湿润的南瓜植株</t>
  </si>
  <si>
    <t>Гарбузове насіння мокрого посадження</t>
  </si>
  <si>
    <t>3230.txt</t>
  </si>
  <si>
    <t>Pumpkin Sprout</t>
  </si>
  <si>
    <t>南瓜苗</t>
  </si>
  <si>
    <t>Паросток гарбуза</t>
  </si>
  <si>
    <t>3231.txt</t>
  </si>
  <si>
    <t>Growing Pumpkin Plant</t>
  </si>
  <si>
    <t>生長中的南瓜植株</t>
  </si>
  <si>
    <t>生长中的南瓜植株</t>
  </si>
  <si>
    <t>Вирощування гарбуза</t>
  </si>
  <si>
    <t>3232.txt</t>
  </si>
  <si>
    <t>Blooming Pumpkin Plant</t>
  </si>
  <si>
    <t>開花的南瓜植株</t>
  </si>
  <si>
    <t>开花的南瓜植株</t>
  </si>
  <si>
    <t>Квітучий гарбуз</t>
  </si>
  <si>
    <t>3233.txt</t>
  </si>
  <si>
    <t>Perhaps a Squash</t>
  </si>
  <si>
    <t>可能是葫蘆</t>
  </si>
  <si>
    <t>也许是壁球</t>
  </si>
  <si>
    <t>3234.txt</t>
  </si>
  <si>
    <t>Jack O' Lantern with Candle</t>
  </si>
  <si>
    <t>帶蠟燭的傑克南瓜燈</t>
  </si>
  <si>
    <t>带蜡烛的杰克南瓜灯</t>
  </si>
  <si>
    <t>Ліхтар Джека зі свічкою</t>
  </si>
  <si>
    <t>3235.txt</t>
  </si>
  <si>
    <t>Lit Jack O' Lantern</t>
  </si>
  <si>
    <t>燃燒的傑克南瓜燈</t>
  </si>
  <si>
    <t>燃烧的杰克南瓜灯</t>
  </si>
  <si>
    <t>Запалений ліхтар Джека</t>
  </si>
  <si>
    <t>3255.txt</t>
  </si>
  <si>
    <t>Heat Stroke Body</t>
  </si>
  <si>
    <t>中暑身體</t>
  </si>
  <si>
    <t>中暑身体</t>
  </si>
  <si>
    <t>Тепловий удар тіла</t>
  </si>
  <si>
    <t>3256.txt</t>
  </si>
  <si>
    <t>Heat Stroke Head</t>
  </si>
  <si>
    <t>中暑的臉</t>
  </si>
  <si>
    <t>中暑的脸</t>
  </si>
  <si>
    <t>Тепловий удар Голова</t>
  </si>
  <si>
    <t>3266.txt</t>
  </si>
  <si>
    <t>Snow Wall</t>
  </si>
  <si>
    <t>雪墙</t>
  </si>
  <si>
    <t>3267.txt</t>
  </si>
  <si>
    <t>3268.txt</t>
  </si>
  <si>
    <t>3269.txt</t>
  </si>
  <si>
    <t>Snow Door</t>
  </si>
  <si>
    <t>雪地门</t>
  </si>
  <si>
    <t>3270.txt</t>
  </si>
  <si>
    <t>Snow Floor</t>
  </si>
  <si>
    <t>雪地地板</t>
  </si>
  <si>
    <t>3271.txt</t>
  </si>
  <si>
    <t>Snow Rubble</t>
  </si>
  <si>
    <t>雪地碎石</t>
  </si>
  <si>
    <t>3336.txt</t>
  </si>
  <si>
    <t>Blowpipe With Hot Wine Glass</t>
  </si>
  <si>
    <t>帶熱酒杯的吹管</t>
  </si>
  <si>
    <t>带热酒杯的吹管</t>
  </si>
  <si>
    <t>Духова труба з келихом для гарячого вина</t>
  </si>
  <si>
    <t>3337.txt</t>
  </si>
  <si>
    <t>Blowpipe With Cool Glass Bottle</t>
  </si>
  <si>
    <t>帶冷卻玻璃瓶的吹管</t>
  </si>
  <si>
    <t>带冷却玻璃瓶的吹管</t>
  </si>
  <si>
    <t>Духова труба з холодною скляною пляшкою</t>
  </si>
  <si>
    <t>3338.txt</t>
  </si>
  <si>
    <t>Glass Bottle</t>
  </si>
  <si>
    <t>玻璃瓶</t>
  </si>
  <si>
    <t>3339.txt</t>
  </si>
  <si>
    <t>Blowpipe With Hot Glass Bottle</t>
  </si>
  <si>
    <t>帶熱玻璃瓶的吹管</t>
  </si>
  <si>
    <t>带热玻璃瓶的吹管</t>
  </si>
  <si>
    <t>Духова труба з гарячою скляною пляшкою</t>
  </si>
  <si>
    <t>3340.txt</t>
  </si>
  <si>
    <t>Blowpipe With Cool Wine Glass</t>
  </si>
  <si>
    <t>帶冷卻酒杯的吹管</t>
  </si>
  <si>
    <t>带冷却酒杯的吹管</t>
  </si>
  <si>
    <t>Духова труба з келихом для вина</t>
  </si>
  <si>
    <t>3341.txt</t>
  </si>
  <si>
    <t>Empty Glass</t>
  </si>
  <si>
    <t>空玻璃</t>
  </si>
  <si>
    <t>3342.txt</t>
  </si>
  <si>
    <t>Blowpipe With Hot Funnel</t>
  </si>
  <si>
    <t>帶熱漏斗的吹管</t>
  </si>
  <si>
    <t>带热漏斗的吹管</t>
  </si>
  <si>
    <t>Духова труба з гарячою воронкою</t>
  </si>
  <si>
    <t>3343.txt</t>
  </si>
  <si>
    <t>Blowpipe With Cool Funnel</t>
  </si>
  <si>
    <t>帶冷卻漏斗的吹管</t>
  </si>
  <si>
    <t>带冷却漏斗的吹管</t>
  </si>
  <si>
    <t>Духова труба з крутою воронкою</t>
  </si>
  <si>
    <t>3344.txt</t>
  </si>
  <si>
    <t>Glass Funnel</t>
  </si>
  <si>
    <t>玻璃漏斗</t>
  </si>
  <si>
    <t>Скляна воронка</t>
  </si>
  <si>
    <t>3348.txt</t>
  </si>
  <si>
    <t>Blowpipe with Detached Wine Glass</t>
  </si>
  <si>
    <t>與玻璃吹管分離的酒杯</t>
  </si>
  <si>
    <t>与玻璃吹管分离的酒杯</t>
  </si>
  <si>
    <t>Духова труба з відокремленим келихом</t>
  </si>
  <si>
    <t>3349.txt</t>
  </si>
  <si>
    <t>Blowpipe with Detached Bottle</t>
  </si>
  <si>
    <t>與玻璃吹管分離的玻璃瓶</t>
  </si>
  <si>
    <t>与玻璃吹管分离的玻璃瓶</t>
  </si>
  <si>
    <t>Духова труба з відокремленою пляшкою</t>
  </si>
  <si>
    <t>3350.txt</t>
  </si>
  <si>
    <t>Blowpipe with Detached Funnel</t>
  </si>
  <si>
    <t>與玻璃吹管分離的漏斗</t>
  </si>
  <si>
    <t>与玻璃吹管分离的漏斗</t>
  </si>
  <si>
    <t>Духовка з відокремленою воронкою</t>
  </si>
  <si>
    <t>3351.txt</t>
  </si>
  <si>
    <t>Bottle with Funnel# empty</t>
  </si>
  <si>
    <t>漏斗# empty</t>
  </si>
  <si>
    <t>3352.txt</t>
  </si>
  <si>
    <t>Bowl with Raw Rubber Stopper</t>
  </si>
  <si>
    <t>一碗生橡膠瓶塞</t>
  </si>
  <si>
    <t>一碗生橡胶瓶塞</t>
  </si>
  <si>
    <t>Чаша з сирою гумовою пробкою</t>
  </si>
  <si>
    <t>3353.txt</t>
  </si>
  <si>
    <t>Bowl with Vulcanized Rubber Stopper</t>
  </si>
  <si>
    <t>一碗硫化橡膠瓶塞</t>
  </si>
  <si>
    <t>一碗硫化橡胶瓶塞</t>
  </si>
  <si>
    <t>Чаша з вулканізованою гумовою пробкою</t>
  </si>
  <si>
    <t>3354.txt</t>
  </si>
  <si>
    <t>Rubber Stopper</t>
  </si>
  <si>
    <t>橡膠瓶塞</t>
  </si>
  <si>
    <t>橡胶瓶塞</t>
  </si>
  <si>
    <t>Гумова пробка</t>
  </si>
  <si>
    <t>3359.txt</t>
  </si>
  <si>
    <t>Rubber Stopper# just made</t>
  </si>
  <si>
    <t>橡膠瓶塞# just made</t>
  </si>
  <si>
    <t>橡胶瓶塞# just made</t>
  </si>
  <si>
    <t>Гумова пробка # just made</t>
  </si>
  <si>
    <t>3360.txt</t>
  </si>
  <si>
    <t>Rubber Stopper# just pulled</t>
  </si>
  <si>
    <t>橡膠瓶塞# just pulled</t>
  </si>
  <si>
    <t>橡胶瓶塞# just pulled</t>
  </si>
  <si>
    <t>Гумова пробка # just pulled</t>
  </si>
  <si>
    <t>3361.txt</t>
  </si>
  <si>
    <t>Raw Pumpkin Pie</t>
  </si>
  <si>
    <t>生南瓜派</t>
  </si>
  <si>
    <t>3362.txt</t>
  </si>
  <si>
    <t>Plate of Pumpkin Chunks with Seeds#</t>
  </si>
  <si>
    <t>一盘南瓜籽#</t>
  </si>
  <si>
    <t>3363.txt</t>
  </si>
  <si>
    <t>Plate of Pumpkin Chunks#</t>
  </si>
  <si>
    <t>一盘南瓜块#</t>
  </si>
  <si>
    <t>3364.txt</t>
  </si>
  <si>
    <t>Pumpkin On Plate</t>
  </si>
  <si>
    <t>盤子上的南瓜</t>
  </si>
  <si>
    <t>盘子上的南瓜</t>
  </si>
  <si>
    <t>Гарбуз на тарілці</t>
  </si>
  <si>
    <t>3365.txt</t>
  </si>
  <si>
    <t>Crock of Raw Pumpkin</t>
  </si>
  <si>
    <t>一罐生南瓜</t>
  </si>
  <si>
    <t>Кувшин із сирого гарбуза</t>
  </si>
  <si>
    <t>3366.txt</t>
  </si>
  <si>
    <t>Crock of Raw Pumpkin and Sugar</t>
  </si>
  <si>
    <t>一罐生南瓜和糖</t>
  </si>
  <si>
    <t>Кувшин із сирого гарбуза та цукру</t>
  </si>
  <si>
    <t>3367.txt</t>
  </si>
  <si>
    <t>Cooking Sugared Pumpkin</t>
  </si>
  <si>
    <t>烹飪中的糖霜南瓜</t>
  </si>
  <si>
    <t>烹饪中的糖霜南瓜</t>
  </si>
  <si>
    <t>Приготування гарбуза з цукром</t>
  </si>
  <si>
    <t>3368.txt</t>
  </si>
  <si>
    <t>Cooked Sugared Pumpkin</t>
  </si>
  <si>
    <t>烹飪好的糖霜南瓜</t>
  </si>
  <si>
    <t>烹饪好的糖霜南瓜</t>
  </si>
  <si>
    <t>Варений цукровий гарбуз</t>
  </si>
  <si>
    <t>3369.txt</t>
  </si>
  <si>
    <t>Cooked Pumpkin Pie</t>
  </si>
  <si>
    <t>熟南瓜派</t>
  </si>
  <si>
    <t>3370.txt</t>
  </si>
  <si>
    <t>Sliced Pumpkin Pie</t>
  </si>
  <si>
    <t>南瓜片派</t>
  </si>
  <si>
    <t>3371.txt</t>
  </si>
  <si>
    <t>(outdated) Table# +contFoodDish +useOnContained</t>
  </si>
  <si>
    <t># +contFoodDish +useOnContained</t>
  </si>
  <si>
    <t>3390.txt</t>
  </si>
  <si>
    <t>Pumpkin Custard</t>
  </si>
  <si>
    <t>南瓜派餡</t>
  </si>
  <si>
    <t>南瓜派馅</t>
  </si>
  <si>
    <t>Гарбузовий заварний крем</t>
  </si>
  <si>
    <t>3461.txt</t>
  </si>
  <si>
    <t>Undyed Bowler Hat with Red Rose</t>
  </si>
  <si>
    <t>未染色的禮帽，紅玫瑰</t>
  </si>
  <si>
    <t>未染色的礼帽，红玫瑰</t>
  </si>
  <si>
    <t>3462.txt</t>
  </si>
  <si>
    <t>Undyed Bowler Hat with White Rose</t>
  </si>
  <si>
    <t>白玫瑰未染色圓頂硬禮帽</t>
  </si>
  <si>
    <t>白玫瑰未染色圆顶硬礼帽</t>
  </si>
  <si>
    <t>3463.txt</t>
  </si>
  <si>
    <t>Undyed Bowler Hat with Pink Rose</t>
  </si>
  <si>
    <t>粉紅玫瑰未染圓頂硬禮帽</t>
  </si>
  <si>
    <t>粉红玫瑰未染圆顶硬礼帽</t>
  </si>
  <si>
    <t>3464.txt</t>
  </si>
  <si>
    <t>Undyed Bowler Hat with Blue Rose</t>
  </si>
  <si>
    <t>藍玫瑰未染色圓頂硬禮帽</t>
  </si>
  <si>
    <t>蓝玫瑰未染色圆顶硬礼帽</t>
  </si>
  <si>
    <t>3465.txt</t>
  </si>
  <si>
    <t>Undyed Top Hat with Red Rose</t>
  </si>
  <si>
    <t>紅玫瑰未染色禮帽</t>
  </si>
  <si>
    <t>红玫瑰未染色礼帽</t>
  </si>
  <si>
    <t>Нефарбований циліндр із червоною трояндою</t>
  </si>
  <si>
    <t>3466.txt</t>
  </si>
  <si>
    <t>Undyed Top Hat with White Rose</t>
  </si>
  <si>
    <t>白玫瑰未染色禮帽</t>
  </si>
  <si>
    <t>白玫瑰未染色礼帽</t>
  </si>
  <si>
    <t>Нефарбований циліндр з білою трояндою</t>
  </si>
  <si>
    <t>3467.txt</t>
  </si>
  <si>
    <t>Undyed Top Hat with Pink Rose</t>
  </si>
  <si>
    <t>粉色玫瑰未染色禮帽</t>
  </si>
  <si>
    <t>粉色玫瑰未染色礼帽</t>
  </si>
  <si>
    <t>3468.txt</t>
  </si>
  <si>
    <t>Undyed Top Hat with Blue Rose</t>
  </si>
  <si>
    <t>藍玫瑰未染色禮帽</t>
  </si>
  <si>
    <t>蓝玫瑰未染色礼帽</t>
  </si>
  <si>
    <t>Нефарбований циліндр із блакитною трояндою</t>
  </si>
  <si>
    <t>3469.txt</t>
  </si>
  <si>
    <t>Black Bowler Hat with Red Rose</t>
  </si>
  <si>
    <t>黑色禮帽與紅玫瑰</t>
  </si>
  <si>
    <t>黑色礼帽与红玫瑰</t>
  </si>
  <si>
    <t>Чорний казанок з червоною трояндою</t>
  </si>
  <si>
    <t>3470.txt</t>
  </si>
  <si>
    <t>Black Bowler Hat with White Rose</t>
  </si>
  <si>
    <t>黑色玫瑰禮帽</t>
  </si>
  <si>
    <t>黑色玫瑰礼帽</t>
  </si>
  <si>
    <t>3471.txt</t>
  </si>
  <si>
    <t>Black Bowler Hat with Pink Rose</t>
  </si>
  <si>
    <t>黑色禮帽，粉紅色的玫瑰</t>
  </si>
  <si>
    <t>黑色礼帽，粉红色的玫瑰</t>
  </si>
  <si>
    <t>3472.txt</t>
  </si>
  <si>
    <t>Black Bowler Hat with Blue Rose</t>
  </si>
  <si>
    <t>黑色禮帽，藍玫瑰</t>
  </si>
  <si>
    <t>黑色礼帽，蓝玫瑰</t>
  </si>
  <si>
    <t>3473.txt</t>
  </si>
  <si>
    <t>Indigo Bowler Hat with Red Rose</t>
  </si>
  <si>
    <t>靛藍禮帽配紅玫瑰</t>
  </si>
  <si>
    <t>靛蓝礼帽配红玫瑰</t>
  </si>
  <si>
    <t>3474.txt</t>
  </si>
  <si>
    <t>Indigo Bowler Hat with White Rose</t>
  </si>
  <si>
    <t>靛藍色禮帽，配白玫瑰</t>
  </si>
  <si>
    <t>靛蓝色礼帽，配白玫瑰</t>
  </si>
  <si>
    <t>3475.txt</t>
  </si>
  <si>
    <t>Indigo Bowler Hat with Pink Rose</t>
  </si>
  <si>
    <t>靛藍色圓頂硬禮帽，配粉紅色玫瑰</t>
  </si>
  <si>
    <t>靛蓝色圆顶硬礼帽，配粉红色玫瑰</t>
  </si>
  <si>
    <t>3476.txt</t>
  </si>
  <si>
    <t>Indigo Bowler Hat with Blue Rose</t>
  </si>
  <si>
    <t>藍玫瑰靛藍禮帽</t>
  </si>
  <si>
    <t>蓝玫瑰靛蓝礼帽</t>
  </si>
  <si>
    <t>3477.txt</t>
  </si>
  <si>
    <t>Yellow Bowler Hat with Red Rose</t>
  </si>
  <si>
    <t>黃色禮帽與紅玫瑰</t>
  </si>
  <si>
    <t>黄色礼帽与红玫瑰</t>
  </si>
  <si>
    <t>3478.txt</t>
  </si>
  <si>
    <t>Yellow Bowler Hat with White Rose</t>
  </si>
  <si>
    <t>白玫瑰黃色禮帽</t>
  </si>
  <si>
    <t>白玫瑰黄色礼帽</t>
  </si>
  <si>
    <t>Жовтий казанок з білою трояндою</t>
  </si>
  <si>
    <t>3479.txt</t>
  </si>
  <si>
    <t>Yellow Bowler Hat with Pink Rose</t>
  </si>
  <si>
    <t>黃色圓頂硬禮帽與粉紅玫瑰</t>
  </si>
  <si>
    <t>黄色圆顶硬礼帽与粉红玫瑰</t>
  </si>
  <si>
    <t>3480.txt</t>
  </si>
  <si>
    <t>Yellow Bowler Hat with Blue Rose</t>
  </si>
  <si>
    <t>藍玫瑰黃色禮帽</t>
  </si>
  <si>
    <t>蓝玫瑰黄色礼帽</t>
  </si>
  <si>
    <t>3481.txt</t>
  </si>
  <si>
    <t>Green Bowler Hat with Red Rose</t>
  </si>
  <si>
    <t>綠色禮帽與紅玫瑰</t>
  </si>
  <si>
    <t>绿色礼帽与红玫瑰</t>
  </si>
  <si>
    <t>3482.txt</t>
  </si>
  <si>
    <t>Green Bowler Hat with White Rose</t>
  </si>
  <si>
    <t>白玫瑰綠色禮帽</t>
  </si>
  <si>
    <t>白玫瑰绿色礼帽</t>
  </si>
  <si>
    <t>3483.txt</t>
  </si>
  <si>
    <t>Green Bowler Hat with Pink Rose</t>
  </si>
  <si>
    <t>粉紅玫瑰綠色禮帽</t>
  </si>
  <si>
    <t>粉红玫瑰绿色礼帽</t>
  </si>
  <si>
    <t>3484.txt</t>
  </si>
  <si>
    <t>Green Bowler Hat with Blue Rose</t>
  </si>
  <si>
    <t>藍玫瑰綠色禮帽</t>
  </si>
  <si>
    <t>蓝玫瑰绿色礼帽</t>
  </si>
  <si>
    <t>Зелений казанок з блакитною трояндою</t>
  </si>
  <si>
    <t>3485.txt</t>
  </si>
  <si>
    <t>Red Bowler Hat with Red Rose</t>
  </si>
  <si>
    <t>紅玫瑰禮帽</t>
  </si>
  <si>
    <t>红玫瑰礼帽</t>
  </si>
  <si>
    <t>Червоний казанок з червоною трояндою</t>
  </si>
  <si>
    <t>3487.txt</t>
  </si>
  <si>
    <t>Red Bowler Hat with White Rose</t>
  </si>
  <si>
    <t>白玫瑰紅色禮帽</t>
  </si>
  <si>
    <t>白玫瑰红色礼帽</t>
  </si>
  <si>
    <t>Червоний казанок з білою трояндою</t>
  </si>
  <si>
    <t>3488.txt</t>
  </si>
  <si>
    <t>Red Bowler Hat with Pink Rose</t>
  </si>
  <si>
    <t>紅色禮帽，粉紅色的玫瑰</t>
  </si>
  <si>
    <t>红色礼帽，粉红色的玫瑰</t>
  </si>
  <si>
    <t>Червоний казанок з рожевою трояндою</t>
  </si>
  <si>
    <t>3489.txt</t>
  </si>
  <si>
    <t>Red Bowler Hat with Blue Rose</t>
  </si>
  <si>
    <t>紅色禮帽與藍玫瑰</t>
  </si>
  <si>
    <t>红色礼帽与蓝玫瑰</t>
  </si>
  <si>
    <t>Червоний казанок з блакитною трояндою</t>
  </si>
  <si>
    <t>3490.txt</t>
  </si>
  <si>
    <t>Black Top Hat with Red Rose</t>
  </si>
  <si>
    <t>黑色高頂禮帽與紅玫瑰</t>
  </si>
  <si>
    <t>黑色高顶礼帽与红玫瑰</t>
  </si>
  <si>
    <t>Чорний циліндр з червоною трояндою</t>
  </si>
  <si>
    <t>3492.txt</t>
  </si>
  <si>
    <t>Black Top Hat with White Rose</t>
  </si>
  <si>
    <t>黑色高頂禮帽配白玫瑰</t>
  </si>
  <si>
    <t>黑色高顶礼帽配白玫瑰</t>
  </si>
  <si>
    <t>Чорний циліндр з білою трояндою</t>
  </si>
  <si>
    <t>3493.txt</t>
  </si>
  <si>
    <t>Black Top Hat with Pink Rose</t>
  </si>
  <si>
    <t>黑色高頂禮帽配粉紅色玫瑰</t>
  </si>
  <si>
    <t>黑色高顶礼帽配粉红色玫瑰</t>
  </si>
  <si>
    <t>Чорний циліндр з рожевою трояндою</t>
  </si>
  <si>
    <t>3494.txt</t>
  </si>
  <si>
    <t>Black Top Hat with Blue Rose</t>
  </si>
  <si>
    <t>黑色高頂禮帽配藍玫瑰</t>
  </si>
  <si>
    <t>黑色高顶礼帽配蓝玫瑰</t>
  </si>
  <si>
    <t>Чорний циліндр із блакитною трояндою</t>
  </si>
  <si>
    <t>3495.txt</t>
  </si>
  <si>
    <t>Indigo Top Hat with Red Rose</t>
  </si>
  <si>
    <t>靛藍高頂禮帽配紅玫瑰</t>
  </si>
  <si>
    <t>靛蓝高顶礼帽配红玫瑰</t>
  </si>
  <si>
    <t>Циліндр кольору індиго з червоною трояндою</t>
  </si>
  <si>
    <t>3496.txt</t>
  </si>
  <si>
    <t>Indigo Top Hat with White Rose</t>
  </si>
  <si>
    <t>靛藍白玫瑰禮帽</t>
  </si>
  <si>
    <t>靛蓝白玫瑰礼帽</t>
  </si>
  <si>
    <t>Циліндр кольору індиго з білою трояндою</t>
  </si>
  <si>
    <t>3497.txt</t>
  </si>
  <si>
    <t>Indigo Top Hat with Pink Rose</t>
  </si>
  <si>
    <t>靛藍色禮帽配粉紅色玫瑰</t>
  </si>
  <si>
    <t>靛蓝色礼帽配粉红色玫瑰</t>
  </si>
  <si>
    <t>Циліндр кольору індиго з рожевою трояндою</t>
  </si>
  <si>
    <t>3498.txt</t>
  </si>
  <si>
    <t>Indigo Top Hat with Blue Rose</t>
  </si>
  <si>
    <t>Циліндр кольору індиго з блакитною трояндою</t>
  </si>
  <si>
    <t>3499.txt</t>
  </si>
  <si>
    <t>Yellow Top Hat with Red Rose</t>
  </si>
  <si>
    <t>黃頂帽子與紅玫瑰</t>
  </si>
  <si>
    <t>黄顶帽子与红玫瑰</t>
  </si>
  <si>
    <t>Жовтий циліндр з червоною трояндою</t>
  </si>
  <si>
    <t>3500.txt</t>
  </si>
  <si>
    <t>Yellow Top Hat with White Rose</t>
  </si>
  <si>
    <t>Жовтий циліндр з білою трояндою</t>
  </si>
  <si>
    <t>3501.txt</t>
  </si>
  <si>
    <t>Yellow Top Hat with Pink Rose</t>
  </si>
  <si>
    <t>黃色高頂禮帽與粉紅玫瑰</t>
  </si>
  <si>
    <t>黄色高顶礼帽与粉红玫瑰</t>
  </si>
  <si>
    <t>Жовтий циліндр з рожевою трояндою</t>
  </si>
  <si>
    <t>3502.txt</t>
  </si>
  <si>
    <t>Yellow Top Hat with Blue Rose</t>
  </si>
  <si>
    <t>黃色高頂禮帽與藍玫瑰</t>
  </si>
  <si>
    <t>黄色高顶礼帽与蓝玫瑰</t>
  </si>
  <si>
    <t>Жовтий циліндр з блакитною трояндою</t>
  </si>
  <si>
    <t>3503.txt</t>
  </si>
  <si>
    <t>Green Top Hat with Red Rose</t>
  </si>
  <si>
    <t>Зелений циліндр з червоною трояндою</t>
  </si>
  <si>
    <t>3504.txt</t>
  </si>
  <si>
    <t>Green Top Hat with White Rose</t>
  </si>
  <si>
    <t>Зелений циліндр з білою трояндою</t>
  </si>
  <si>
    <t>3505.txt</t>
  </si>
  <si>
    <t>Green Top Hat with Pink Rose</t>
  </si>
  <si>
    <t>粉色玫瑰綠色禮帽</t>
  </si>
  <si>
    <t>粉色玫瑰绿色礼帽</t>
  </si>
  <si>
    <t>Зелений циліндр з рожевою трояндою</t>
  </si>
  <si>
    <t>3506.txt</t>
  </si>
  <si>
    <t>Green Top Hat with Blue Rose</t>
  </si>
  <si>
    <t>Зелений циліндр із блакитною трояндою</t>
  </si>
  <si>
    <t>3507.txt</t>
  </si>
  <si>
    <t>Red Top Hat with Red Rose</t>
  </si>
  <si>
    <t>3508.txt</t>
  </si>
  <si>
    <t>Red Top Hat with White Rose</t>
  </si>
  <si>
    <t>白玫瑰紅頂禮帽</t>
  </si>
  <si>
    <t>白玫瑰红顶礼帽</t>
  </si>
  <si>
    <t>Червоний циліндр з білою трояндою</t>
  </si>
  <si>
    <t>3509.txt</t>
  </si>
  <si>
    <t>Red Top Hat with Pink Rose</t>
  </si>
  <si>
    <t>紅頂帽子與粉紅玫瑰</t>
  </si>
  <si>
    <t>红顶帽子与粉红玫瑰</t>
  </si>
  <si>
    <t>Червоний циліндр з рожевою трояндою</t>
  </si>
  <si>
    <t>3510.txt</t>
  </si>
  <si>
    <t>Red Top Hat with Blue Rose</t>
  </si>
  <si>
    <t>紅頂帽配藍玫瑰</t>
  </si>
  <si>
    <t>红顶帽配蓝玫瑰</t>
  </si>
  <si>
    <t>Червоний циліндр з блакитною трояндою</t>
  </si>
  <si>
    <t>3516.txt</t>
  </si>
  <si>
    <t>@ Roseless Hat Pattern</t>
  </si>
  <si>
    <t>3519.txt</t>
  </si>
  <si>
    <t>@ Blue Rose Hat Pattern</t>
  </si>
  <si>
    <t>@ Візерунок капелюха блакитної троянди</t>
  </si>
  <si>
    <t>3523.txt</t>
  </si>
  <si>
    <t>Black Rose</t>
  </si>
  <si>
    <t>3524.txt</t>
  </si>
  <si>
    <t>Green Rose</t>
  </si>
  <si>
    <t>綠玫瑰</t>
  </si>
  <si>
    <t>绿玫瑰</t>
  </si>
  <si>
    <t>Зелена троянда</t>
  </si>
  <si>
    <t>3525.txt</t>
  </si>
  <si>
    <t>Yellow Rose</t>
  </si>
  <si>
    <t>黃玫瑰</t>
  </si>
  <si>
    <t>黄玫瑰</t>
  </si>
  <si>
    <t>Жовта троянда</t>
  </si>
  <si>
    <t>3526.txt</t>
  </si>
  <si>
    <t>Black Bowler Hat with Black Rose</t>
  </si>
  <si>
    <t>黑玫瑰禮帽</t>
  </si>
  <si>
    <t>黑玫瑰礼帽</t>
  </si>
  <si>
    <t>Чорний казанок з чорною трояндою</t>
  </si>
  <si>
    <t>3527.txt</t>
  </si>
  <si>
    <t>Indigo Bowler Hat with Black Rose</t>
  </si>
  <si>
    <t>黑色玫瑰靛藍色禮帽</t>
  </si>
  <si>
    <t>黑色玫瑰靛蓝色礼帽</t>
  </si>
  <si>
    <t>Капелюх-котелок кольору індиго з чорною трояндою</t>
  </si>
  <si>
    <t>3528.txt</t>
  </si>
  <si>
    <t>Yellow Bowler Hat with Black Rose</t>
  </si>
  <si>
    <t>黑玫瑰黃色禮帽</t>
  </si>
  <si>
    <t>黑玫瑰黄色礼帽</t>
  </si>
  <si>
    <t>Жовтий казанок з чорною трояндою</t>
  </si>
  <si>
    <t>3529.txt</t>
  </si>
  <si>
    <t>Green Bowler Hat with Black Rose</t>
  </si>
  <si>
    <t>3530.txt</t>
  </si>
  <si>
    <t>Red Bowler Hat with Black Rose</t>
  </si>
  <si>
    <t>黑玫瑰紅色禮帽</t>
  </si>
  <si>
    <t>黑玫瑰红色礼帽</t>
  </si>
  <si>
    <t>Червоний казанок з чорною трояндою</t>
  </si>
  <si>
    <t>3531.txt</t>
  </si>
  <si>
    <t>Black Top Hat with Black Rose</t>
  </si>
  <si>
    <t>黑玫瑰黑禮帽</t>
  </si>
  <si>
    <t>黑玫瑰黑礼帽</t>
  </si>
  <si>
    <t>Чорний циліндр з чорною трояндою</t>
  </si>
  <si>
    <t>3532.txt</t>
  </si>
  <si>
    <t>Indigo Top Hat with Black Rose</t>
  </si>
  <si>
    <t>黑色玫瑰靛藍禮帽</t>
  </si>
  <si>
    <t>黑色玫瑰靛蓝礼帽</t>
  </si>
  <si>
    <t>Циліндр кольору індиго з чорною трояндою</t>
  </si>
  <si>
    <t>3533.txt</t>
  </si>
  <si>
    <t>Yellow Top Hat with Black Rose</t>
  </si>
  <si>
    <t>Жовтий циліндр з чорною трояндою</t>
  </si>
  <si>
    <t>3534.txt</t>
  </si>
  <si>
    <t>Green Top Hat with Black Rose</t>
  </si>
  <si>
    <t>Зелений циліндр із чорною трояндою</t>
  </si>
  <si>
    <t>3535.txt</t>
  </si>
  <si>
    <t>Red Top Hat with Black Rose</t>
  </si>
  <si>
    <t>黑玫瑰紅頂禮帽</t>
  </si>
  <si>
    <t>黑玫瑰红顶礼帽</t>
  </si>
  <si>
    <t>Червоний циліндр з чорною трояндою</t>
  </si>
  <si>
    <t>3536.txt</t>
  </si>
  <si>
    <t>Black Bowler Hat with Green Rose</t>
  </si>
  <si>
    <t>黑色禮帽，綠玫瑰</t>
  </si>
  <si>
    <t>黑色礼帽，绿玫瑰</t>
  </si>
  <si>
    <t>Чорний казанок із зеленою трояндою</t>
  </si>
  <si>
    <t>3537.txt</t>
  </si>
  <si>
    <t>Indigo Bowler Hat with Green Rose</t>
  </si>
  <si>
    <t>靛藍圓頂硬禮帽，配綠色玫瑰</t>
  </si>
  <si>
    <t>靛蓝圆顶硬礼帽，配绿色玫瑰</t>
  </si>
  <si>
    <t>Капелюх-котелок кольору індиго із зеленою трояндою</t>
  </si>
  <si>
    <t>3538.txt</t>
  </si>
  <si>
    <t>Yellow Bowler Hat with Green Rose</t>
  </si>
  <si>
    <t>黃色禮帽，綠玫瑰</t>
  </si>
  <si>
    <t>黄色礼帽，绿玫瑰</t>
  </si>
  <si>
    <t>Жовтий казанок із зеленою трояндою</t>
  </si>
  <si>
    <t>3539.txt</t>
  </si>
  <si>
    <t>Green Bowler Hat with Green Rose</t>
  </si>
  <si>
    <t>綠色禮帽，綠色玫瑰</t>
  </si>
  <si>
    <t>绿色礼帽，绿色玫瑰</t>
  </si>
  <si>
    <t>Зелений казанок із зеленою трояндою</t>
  </si>
  <si>
    <t>3540.txt</t>
  </si>
  <si>
    <t>Red Bowler Hat with Green Rose</t>
  </si>
  <si>
    <t>紅色禮帽與綠玫瑰</t>
  </si>
  <si>
    <t>红色礼帽与绿玫瑰</t>
  </si>
  <si>
    <t>Червоний казанок із зеленою трояндою</t>
  </si>
  <si>
    <t>3541.txt</t>
  </si>
  <si>
    <t>Black Top Hat with Green Rose</t>
  </si>
  <si>
    <t>黑色禮帽配綠玫瑰</t>
  </si>
  <si>
    <t>黑色礼帽配绿玫瑰</t>
  </si>
  <si>
    <t>Чорний циліндр із зеленою трояндою</t>
  </si>
  <si>
    <t>3542.txt</t>
  </si>
  <si>
    <t>Indigo Top Hat with Green Rose</t>
  </si>
  <si>
    <t>綠玫瑰靛藍禮帽</t>
  </si>
  <si>
    <t>绿玫瑰靛蓝礼帽</t>
  </si>
  <si>
    <t>Циліндр кольору індиго із зеленою трояндою</t>
  </si>
  <si>
    <t>3543.txt</t>
  </si>
  <si>
    <t>Yellow Top Hat with Green Rose</t>
  </si>
  <si>
    <t>黃色高頂禮帽與綠玫瑰</t>
  </si>
  <si>
    <t>黄色高顶礼帽与绿玫瑰</t>
  </si>
  <si>
    <t>Жовтий циліндр із зеленою трояндою</t>
  </si>
  <si>
    <t>3544.txt</t>
  </si>
  <si>
    <t>Green Top Hat with Green Rose</t>
  </si>
  <si>
    <t>綠玫瑰綠色禮帽</t>
  </si>
  <si>
    <t>绿玫瑰绿色礼帽</t>
  </si>
  <si>
    <t>Зелений циліндр із зеленою трояндою</t>
  </si>
  <si>
    <t>3545.txt</t>
  </si>
  <si>
    <t>Red Top Hat with Green Rose</t>
  </si>
  <si>
    <t>紅頂帽子與綠玫瑰</t>
  </si>
  <si>
    <t>红顶帽子与绿玫瑰</t>
  </si>
  <si>
    <t>Червоний циліндр із зеленою трояндою</t>
  </si>
  <si>
    <t>3546.txt</t>
  </si>
  <si>
    <t>Black Bowler Hat with Yellow Rose</t>
  </si>
  <si>
    <t>Чорний казанок з жовтою трояндою</t>
  </si>
  <si>
    <t>3547.txt</t>
  </si>
  <si>
    <t>Indigo Bowler Hat with Yellow Rose</t>
  </si>
  <si>
    <t>靛藍圓頂硬禮帽配黃玫瑰</t>
  </si>
  <si>
    <t>靛蓝圆顶硬礼帽配黄玫瑰</t>
  </si>
  <si>
    <t>Капелюх-котелок кольору індиго з жовтою трояндою</t>
  </si>
  <si>
    <t>3548.txt</t>
  </si>
  <si>
    <t>Yellow Bowler Hat with Yellow Rose</t>
  </si>
  <si>
    <t>黃玫瑰禮帽</t>
  </si>
  <si>
    <t>黄玫瑰礼帽</t>
  </si>
  <si>
    <t>Жовтий казанок з жовтою трояндою</t>
  </si>
  <si>
    <t>3549.txt</t>
  </si>
  <si>
    <t>Green Bowler Hat with Yellow Rose</t>
  </si>
  <si>
    <t>黃玫瑰綠色禮帽</t>
  </si>
  <si>
    <t>黄玫瑰绿色礼帽</t>
  </si>
  <si>
    <t>Зелений казанок з жовтою трояндою</t>
  </si>
  <si>
    <t>3550.txt</t>
  </si>
  <si>
    <t>Red Bowler Hat with Yellow Rose</t>
  </si>
  <si>
    <t>與黃玫瑰紅色禮帽</t>
  </si>
  <si>
    <t>与黄玫瑰红色礼帽</t>
  </si>
  <si>
    <t>Червоний казанок з жовтою трояндою</t>
  </si>
  <si>
    <t>3551.txt</t>
  </si>
  <si>
    <t>Black Top Hat with Yellow Rose</t>
  </si>
  <si>
    <t>黑色高頂禮帽配黃玫瑰</t>
  </si>
  <si>
    <t>黑色高顶礼帽配黄玫瑰</t>
  </si>
  <si>
    <t>Чорний циліндр з жовтою трояндою</t>
  </si>
  <si>
    <t>3552.txt</t>
  </si>
  <si>
    <t>Indigo Top Hat with Yellow Rose</t>
  </si>
  <si>
    <t>黃玫瑰靛藍禮帽</t>
  </si>
  <si>
    <t>黄玫瑰靛蓝礼帽</t>
  </si>
  <si>
    <t>Циліндр кольору індиго з жовтою трояндою</t>
  </si>
  <si>
    <t>3553.txt</t>
  </si>
  <si>
    <t>Yellow Top Hat with Yellow Rose</t>
  </si>
  <si>
    <t>黃頂黃玫瑰大禮帽</t>
  </si>
  <si>
    <t>黄顶黄玫瑰大礼帽</t>
  </si>
  <si>
    <t>Жовтий циліндр із жовтою трояндою</t>
  </si>
  <si>
    <t>3554.txt</t>
  </si>
  <si>
    <t>Green Top Hat with Yellow Rose</t>
  </si>
  <si>
    <t>Зелений циліндр з жовтою трояндою</t>
  </si>
  <si>
    <t>3555.txt</t>
  </si>
  <si>
    <t>Red Top Hat with Yellow Rose</t>
  </si>
  <si>
    <t>紅頂禮帽與黃玫瑰</t>
  </si>
  <si>
    <t>红顶礼帽与黄玫瑰</t>
  </si>
  <si>
    <t>Червоний циліндр з жовтою трояндою</t>
  </si>
  <si>
    <t>3556.txt</t>
  </si>
  <si>
    <t>@ Black Rose Hat Pattern</t>
  </si>
  <si>
    <t>@ Візерунок капелюха чорної троянди</t>
  </si>
  <si>
    <t>3557.txt</t>
  </si>
  <si>
    <t>@ Green Rose Hat Pattern</t>
  </si>
  <si>
    <t>@ Візерунок капелюха зеленої троянди</t>
  </si>
  <si>
    <t>3558.txt</t>
  </si>
  <si>
    <t>@ Yellow Rose Hat Pattern</t>
  </si>
  <si>
    <t>@ Візерунок капелюха жовтої троянди</t>
  </si>
  <si>
    <t>3559.txt</t>
  </si>
  <si>
    <t>Undyed Bowler Hat with Black Rose</t>
  </si>
  <si>
    <t>黑玫瑰未染色圓頂硬禮帽</t>
  </si>
  <si>
    <t>黑玫瑰未染色圆顶硬礼帽</t>
  </si>
  <si>
    <t>Нефарбований котелок з чорною трояндою</t>
  </si>
  <si>
    <t>3560.txt</t>
  </si>
  <si>
    <t>Undyed Top Hat with Black Rose</t>
  </si>
  <si>
    <t>黑玫瑰未染色禮帽</t>
  </si>
  <si>
    <t>黑玫瑰未染色礼帽</t>
  </si>
  <si>
    <t>Нефарбований циліндр із чорною трояндою</t>
  </si>
  <si>
    <t>3561.txt</t>
  </si>
  <si>
    <t>Undyed Top Hat with Green Rose</t>
  </si>
  <si>
    <t>綠色玫瑰未染色禮帽</t>
  </si>
  <si>
    <t>绿色玫瑰未染色礼帽</t>
  </si>
  <si>
    <t>Нефарбований циліндр із зеленою трояндою</t>
  </si>
  <si>
    <t>3562.txt</t>
  </si>
  <si>
    <t>Undyed Bowler Hat with Green Rose</t>
  </si>
  <si>
    <t>染綠圓頂禮帽</t>
  </si>
  <si>
    <t>染绿圆顶礼帽</t>
  </si>
  <si>
    <t>Нефарбований казанок із зеленою трояндою</t>
  </si>
  <si>
    <t>3563.txt</t>
  </si>
  <si>
    <t>Undyed Bowler Hat with Yellow Rose</t>
  </si>
  <si>
    <t>黃玫瑰未染色圓頂硬禮帽</t>
  </si>
  <si>
    <t>黄玫瑰未染色圆顶硬礼帽</t>
  </si>
  <si>
    <t>Нефарбований казанок з жовтою трояндою</t>
  </si>
  <si>
    <t>3564.txt</t>
  </si>
  <si>
    <t>Undyed Top Hat with Yellow Rose</t>
  </si>
  <si>
    <t>黃玫瑰未染色禮帽</t>
  </si>
  <si>
    <t>黄玫瑰未染色礼帽</t>
  </si>
  <si>
    <t>Нефарбований циліндр із жовтою трояндою</t>
  </si>
  <si>
    <t>3592.txt</t>
  </si>
  <si>
    <t>Vinegar Bottle</t>
  </si>
  <si>
    <t>醋瓶</t>
  </si>
  <si>
    <t>3593.txt</t>
  </si>
  <si>
    <t>Whole Milk Bottle</t>
  </si>
  <si>
    <t>全脂牛奶瓶</t>
  </si>
  <si>
    <t>3594.txt</t>
  </si>
  <si>
    <t>Palm Oil Bottle</t>
  </si>
  <si>
    <t>棕榈油瓶</t>
  </si>
  <si>
    <t>3596.txt</t>
  </si>
  <si>
    <t>Skim Milk Bottle</t>
  </si>
  <si>
    <t>脱脂牛奶瓶</t>
  </si>
  <si>
    <t>3597.txt</t>
  </si>
  <si>
    <t>Black Dye Bottle</t>
  </si>
  <si>
    <t>黑色染料瓶</t>
  </si>
  <si>
    <t>3598.txt</t>
  </si>
  <si>
    <t>Ketchup Bottle</t>
  </si>
  <si>
    <t>番茄酱瓶</t>
  </si>
  <si>
    <t>3601.txt</t>
  </si>
  <si>
    <t>Cream Bottle</t>
  </si>
  <si>
    <t>奶油瓶</t>
  </si>
  <si>
    <t>3602.txt</t>
  </si>
  <si>
    <t>Yellow Pigment Bottle</t>
  </si>
  <si>
    <t>黄色颜料瓶</t>
  </si>
  <si>
    <t>3603.txt</t>
  </si>
  <si>
    <t>Vermilion Pigment Bottle</t>
  </si>
  <si>
    <t>朱红色颜料瓶</t>
  </si>
  <si>
    <t>3604.txt</t>
  </si>
  <si>
    <t>Ultramarine Pigment Bottle</t>
  </si>
  <si>
    <t>海蓝颜料瓶</t>
  </si>
  <si>
    <t>3606.txt</t>
  </si>
  <si>
    <t>Sulfuric Acid Bottle</t>
  </si>
  <si>
    <t>硫酸瓶</t>
  </si>
  <si>
    <t>3607.txt</t>
  </si>
  <si>
    <t>Nitric Acid Bottle</t>
  </si>
  <si>
    <t>硝酸瓶</t>
  </si>
  <si>
    <t>3610.txt</t>
  </si>
  <si>
    <t>Vinegar Bottle with Funnel</t>
  </si>
  <si>
    <t>漏斗醋瓶</t>
  </si>
  <si>
    <t>3613.txt</t>
  </si>
  <si>
    <t>Sealed Vinegar Bottle</t>
  </si>
  <si>
    <t>密封的一瓶醋</t>
  </si>
  <si>
    <t>密封醋瓶</t>
  </si>
  <si>
    <t>Герметична пляшка оцту</t>
  </si>
  <si>
    <t>3615.txt</t>
  </si>
  <si>
    <t>Vinegar Bottle with Funnel# inserted</t>
  </si>
  <si>
    <t>插入漏斗# inserted</t>
  </si>
  <si>
    <t>3616.txt</t>
  </si>
  <si>
    <t>Glass Funnel# just removed</t>
  </si>
  <si>
    <t>玻璃漏斗# just removed</t>
  </si>
  <si>
    <t>Скляна воронка # just removed</t>
  </si>
  <si>
    <t>3617.txt</t>
  </si>
  <si>
    <t>Glass Bottle# just emptied</t>
  </si>
  <si>
    <t>玻璃瓶# just emptied</t>
  </si>
  <si>
    <t>3618.txt</t>
  </si>
  <si>
    <t>Vinegar Bottle# just poured</t>
  </si>
  <si>
    <t>一瓶醋# just poured</t>
  </si>
  <si>
    <t>刚倒的醋瓶# just poured</t>
  </si>
  <si>
    <t>Пляшка оцту # щойно налита</t>
  </si>
  <si>
    <t>3619.txt</t>
  </si>
  <si>
    <t>Whole Milk Bottle with Funnel</t>
  </si>
  <si>
    <t>带漏斗的全脂牛奶瓶</t>
  </si>
  <si>
    <t>3620.txt</t>
  </si>
  <si>
    <t>Palm Oil Bottle with Funnel</t>
  </si>
  <si>
    <t>带漏斗的棕榈油瓶</t>
  </si>
  <si>
    <t>3622.txt</t>
  </si>
  <si>
    <t>Skim Milk Bottle with Funnel</t>
  </si>
  <si>
    <t>带漏斗的脱脂牛奶瓶</t>
  </si>
  <si>
    <t>3624.txt</t>
  </si>
  <si>
    <t>Black Dye Bottle with Funnel</t>
  </si>
  <si>
    <t>带漏斗的黑色染料瓶</t>
  </si>
  <si>
    <t>3625.txt</t>
  </si>
  <si>
    <t>Ketchup Bottle with Funnel</t>
  </si>
  <si>
    <t>带漏斗的水壶</t>
  </si>
  <si>
    <t>3628.txt</t>
  </si>
  <si>
    <t>Cream Bottle with Funnel</t>
  </si>
  <si>
    <t>带漏斗的奶油瓶</t>
  </si>
  <si>
    <t>3629.txt</t>
  </si>
  <si>
    <t>Yellow Pigment Bottle with Funnel</t>
  </si>
  <si>
    <t>漏斗黄色颜料瓶</t>
  </si>
  <si>
    <t>3630.txt</t>
  </si>
  <si>
    <t>Vermilion Pigment Bottle with Funnel</t>
  </si>
  <si>
    <t>朱红色漏斗颜料瓶</t>
  </si>
  <si>
    <t>3631.txt</t>
  </si>
  <si>
    <t>Ultramarine Pigment Bottle with Funnel</t>
  </si>
  <si>
    <t>带漏斗的超海洋颜料瓶</t>
  </si>
  <si>
    <t>3633.txt</t>
  </si>
  <si>
    <t>Sulfuric Acid Bottle with Funnel</t>
  </si>
  <si>
    <t>带漏斗的硫酸瓶</t>
  </si>
  <si>
    <t>3634.txt</t>
  </si>
  <si>
    <t>Nitric Acid Bottle with Funnel</t>
  </si>
  <si>
    <t>硝酸漏斗瓶</t>
  </si>
  <si>
    <t>3635.txt</t>
  </si>
  <si>
    <t>Whole Milk Bottle with Funnel# inserted</t>
  </si>
  <si>
    <t>3636.txt</t>
  </si>
  <si>
    <t>Palm Oil Bottle with Funnel# inserted</t>
  </si>
  <si>
    <t>3638.txt</t>
  </si>
  <si>
    <t>Skim Milk Bottle with Funnel# inserted</t>
  </si>
  <si>
    <t>3639.txt</t>
  </si>
  <si>
    <t>Black Dye Bottle with Funnel# inserted</t>
  </si>
  <si>
    <t>3640.txt</t>
  </si>
  <si>
    <t>Ketchup Bottle with Funnel# inserted</t>
  </si>
  <si>
    <t>3643.txt</t>
  </si>
  <si>
    <t>Cream Bottle with Funnel# inserted</t>
  </si>
  <si>
    <t>3644.txt</t>
  </si>
  <si>
    <t>Yellow Pigment Bottle with Funnel# inserted</t>
  </si>
  <si>
    <t>3645.txt</t>
  </si>
  <si>
    <t>Vermilion Pigment Bottle with Funnel# inserted</t>
  </si>
  <si>
    <t>朱红色颜料瓶，插入漏斗# inserted</t>
  </si>
  <si>
    <t>3646.txt</t>
  </si>
  <si>
    <t>Ultramarine Pigment Bottle with Funnel# inserted</t>
  </si>
  <si>
    <t>3648.txt</t>
  </si>
  <si>
    <t>Sulfuric Acid Bottle with Funnel# inserted</t>
  </si>
  <si>
    <t>3649.txt</t>
  </si>
  <si>
    <t>Nitric Acid Bottle with Funnel# inserted</t>
  </si>
  <si>
    <t>3650.txt</t>
  </si>
  <si>
    <t>Whole Milk Bottle# just poured</t>
  </si>
  <si>
    <t>一瓶全脂牛奶# just poured</t>
  </si>
  <si>
    <t>Пляшка цільного молока # just poured</t>
  </si>
  <si>
    <t>3651.txt</t>
  </si>
  <si>
    <t>Palm Oil Bottle# just poured</t>
  </si>
  <si>
    <t>一瓶棕櫚油# just poured</t>
  </si>
  <si>
    <t>一瓶棕榈油# just poured</t>
  </si>
  <si>
    <t>Пляшка пальмової олії # just poured</t>
  </si>
  <si>
    <t>3653.txt</t>
  </si>
  <si>
    <t>Skim Milk Bottle# just poured</t>
  </si>
  <si>
    <t>一瓶脫脂牛奶# just poured</t>
  </si>
  <si>
    <t>一瓶脱脂牛奶# just poured</t>
  </si>
  <si>
    <t>Пляшка зі знежиреним молоком # just poured</t>
  </si>
  <si>
    <t>3654.txt</t>
  </si>
  <si>
    <t>Black Dye Bottle# just poured</t>
  </si>
  <si>
    <t>一瓶黑色染料# just poured</t>
  </si>
  <si>
    <t>Пляшка чорного барвника# just poured</t>
  </si>
  <si>
    <t>3655.txt</t>
  </si>
  <si>
    <t>Ketchup Bottle# just poured</t>
  </si>
  <si>
    <t>一瓶番茄醬# just poured</t>
  </si>
  <si>
    <t>一瓶番茄酱# just poured</t>
  </si>
  <si>
    <t>Пляшка кетчупу # just poured</t>
  </si>
  <si>
    <t>3658.txt</t>
  </si>
  <si>
    <t>Cream Bottle# just poured</t>
  </si>
  <si>
    <t>一瓶奶油# just poured</t>
  </si>
  <si>
    <t>Пляшку вершків # just poured</t>
  </si>
  <si>
    <t>3659.txt</t>
  </si>
  <si>
    <t>Yellow Pigment Bottle# just poured</t>
  </si>
  <si>
    <t>一瓶黃色染料# just poured</t>
  </si>
  <si>
    <t>一瓶黄色染料# just poured</t>
  </si>
  <si>
    <t>Пляшка жовтого пігменту # just poured</t>
  </si>
  <si>
    <t>3660.txt</t>
  </si>
  <si>
    <t>Vermilion Pigment Bottle# just poured</t>
  </si>
  <si>
    <t>一瓶玫瑰紅染料# just poured</t>
  </si>
  <si>
    <t>一瓶玫瑰红染料# just poured</t>
  </si>
  <si>
    <t>Пляшка з пігментом Vermilion# just poured</t>
  </si>
  <si>
    <t>3661.txt</t>
  </si>
  <si>
    <t>Ultramarine Pigment Bottle# just poured</t>
  </si>
  <si>
    <t>一瓶藍色染料# just poured</t>
  </si>
  <si>
    <t>一瓶蓝色染料# just poured</t>
  </si>
  <si>
    <t>Пляшка з ультрамариновим пігментом# just poured</t>
  </si>
  <si>
    <t>3663.txt</t>
  </si>
  <si>
    <t>Sulfuric Acid Bottle# just poured</t>
  </si>
  <si>
    <t>一瓶硫酸# just poured</t>
  </si>
  <si>
    <t>Пляшка сірчаної кислоти # just poured</t>
  </si>
  <si>
    <t>3664.txt</t>
  </si>
  <si>
    <t>Nitric Acid Bottle# just poured</t>
  </si>
  <si>
    <t>一瓶硝酸# just poured</t>
  </si>
  <si>
    <t>Пляшка азотної кислоти # just poured</t>
  </si>
  <si>
    <t>3665.txt</t>
  </si>
  <si>
    <t>Sealed Whole Milk Bottle</t>
  </si>
  <si>
    <t>密封的一瓶全脂牛奶</t>
  </si>
  <si>
    <t>Герметична пляшка незбираного молока</t>
  </si>
  <si>
    <t>3666.txt</t>
  </si>
  <si>
    <t>Sealed Palm Oil Bottle</t>
  </si>
  <si>
    <t>密封的一瓶棕櫚油</t>
  </si>
  <si>
    <t>密封的一瓶棕榈油</t>
  </si>
  <si>
    <t>Герметична пляшка пальмової олії</t>
  </si>
  <si>
    <t>3668.txt</t>
  </si>
  <si>
    <t>Sealed Skim Milk Bottle</t>
  </si>
  <si>
    <t>密封的一瓶脫脂牛奶</t>
  </si>
  <si>
    <t>密封的一瓶脱脂牛奶</t>
  </si>
  <si>
    <t>Герметична пляшка знежиреного молока</t>
  </si>
  <si>
    <t>3669.txt</t>
  </si>
  <si>
    <t>Sealed Black Dye Bottle</t>
  </si>
  <si>
    <t>密封的一瓶黑色染料</t>
  </si>
  <si>
    <t>Герметична пляшка чорного барвника</t>
  </si>
  <si>
    <t>3670.txt</t>
  </si>
  <si>
    <t>Sealed Ketchup Bottle</t>
  </si>
  <si>
    <t>密封的一瓶番茄醬</t>
  </si>
  <si>
    <t>密封的一瓶番茄酱</t>
  </si>
  <si>
    <t>Герметична пляшка кетчупу</t>
  </si>
  <si>
    <t>3673.txt</t>
  </si>
  <si>
    <t>Sealed Cream Bottle</t>
  </si>
  <si>
    <t>密封的一瓶奶油</t>
  </si>
  <si>
    <t>Герметична пляшка крему</t>
  </si>
  <si>
    <t>3674.txt</t>
  </si>
  <si>
    <t>Sealed Yellow Pigment Bottle</t>
  </si>
  <si>
    <t>密封的一瓶黃色染料</t>
  </si>
  <si>
    <t>密封的一瓶黄色染料</t>
  </si>
  <si>
    <t>Запечатана пляшка жовтого пігменту</t>
  </si>
  <si>
    <t>3675.txt</t>
  </si>
  <si>
    <t>Sealed Vermilion Pigment Bottle</t>
  </si>
  <si>
    <t>密封的一瓶玫瑰紅染料</t>
  </si>
  <si>
    <t>密封的一瓶玫瑰红染料</t>
  </si>
  <si>
    <t>Герметична пляшка пігменту Vermilion</t>
  </si>
  <si>
    <t>3676.txt</t>
  </si>
  <si>
    <t>Sealed Ultramarine Pigment Bottle</t>
  </si>
  <si>
    <t>密封的一瓶藍色染料</t>
  </si>
  <si>
    <t>密封的一瓶蓝色染料</t>
  </si>
  <si>
    <t>Герметична пляшка ультрамаринового пігменту</t>
  </si>
  <si>
    <t>3678.txt</t>
  </si>
  <si>
    <t>Sealed Sulfuric Acid Bottle</t>
  </si>
  <si>
    <t>密封的一瓶硫酸</t>
  </si>
  <si>
    <t>Герметична пляшка з сірчаною кислотою</t>
  </si>
  <si>
    <t>3679.txt</t>
  </si>
  <si>
    <t>Sealed Nitric Acid Bottle</t>
  </si>
  <si>
    <t>密封的一瓶硝酸</t>
  </si>
  <si>
    <t>Герметична пляшка азотної кислоти</t>
  </si>
  <si>
    <t>3680.txt</t>
  </si>
  <si>
    <t>@ Pattern Bottle</t>
  </si>
  <si>
    <t>@ Пляшка з візерунком</t>
  </si>
  <si>
    <t>3681.txt</t>
  </si>
  <si>
    <t>@ Pattern Bottle with Funnel</t>
  </si>
  <si>
    <t>@ Шаблон пляшки з воронкою</t>
  </si>
  <si>
    <t>3682.txt</t>
  </si>
  <si>
    <t>@ Pattern Bottle with Funnel just inserted</t>
  </si>
  <si>
    <t>@ Щойно вставлена пляшка з лійкою</t>
  </si>
  <si>
    <t>3683.txt</t>
  </si>
  <si>
    <t>@ Pattern Sealed Bottle</t>
  </si>
  <si>
    <t>@ Запечатана пляшка з візерунком</t>
  </si>
  <si>
    <t>3684.txt</t>
  </si>
  <si>
    <t>@ Pattern Bottle just poured</t>
  </si>
  <si>
    <t>@ Щойно налита пляшка</t>
  </si>
  <si>
    <t>3685.txt</t>
  </si>
  <si>
    <t>@ Pattern bowl of Bottle Stuff</t>
  </si>
  <si>
    <t>@ Візерунок чаші пляшок</t>
  </si>
  <si>
    <t>3686.txt</t>
  </si>
  <si>
    <t>Glass Bottle# just emptied of powder</t>
  </si>
  <si>
    <t>玻璃瓶# just emptied of powder</t>
  </si>
  <si>
    <t>3687.txt</t>
  </si>
  <si>
    <t>@ Pattern bottle just emptied</t>
  </si>
  <si>
    <t>@ Пляшку з візерунком щойно спорожнили</t>
  </si>
  <si>
    <t>3688.txt</t>
  </si>
  <si>
    <t>Glass Bottle# just emptied of paste</t>
  </si>
  <si>
    <t>玻璃瓶# just emptied of paste</t>
  </si>
  <si>
    <t>3689.txt</t>
  </si>
  <si>
    <t>Bowl of Vermilion Pigment# justMade</t>
  </si>
  <si>
    <t>一碗玫瑰紅染料# justMade</t>
  </si>
  <si>
    <t>碗朱红色颜料# justMade</t>
  </si>
  <si>
    <t>Чаша з червоним пігментом # тільки що виготовлена</t>
  </si>
  <si>
    <t>3690.txt</t>
  </si>
  <si>
    <t>Bowl of Indian Yellow Pigment# justMade</t>
  </si>
  <si>
    <t>一碗黃色染料# justMade</t>
  </si>
  <si>
    <t>印度黄色颜料碗# justMade</t>
  </si>
  <si>
    <t>Чаша з індійським жовтим пігментом# justMade</t>
  </si>
  <si>
    <t>3691.txt</t>
  </si>
  <si>
    <t>Bowl of Ultramarine Pigment# justMade</t>
  </si>
  <si>
    <t>一碗藍色染料# justMade</t>
  </si>
  <si>
    <t>碗Ultramarine颜料# justMade</t>
  </si>
  <si>
    <t>Чаша з ультрамариновим пігментом # justMade</t>
  </si>
  <si>
    <t>3692.txt</t>
  </si>
  <si>
    <t>Bowl of Nitric Acid# jsutMade</t>
  </si>
  <si>
    <t>硝酸碗# jsutMade</t>
  </si>
  <si>
    <t>3693.txt</t>
  </si>
  <si>
    <t>Silver Nitrate Bottle</t>
  </si>
  <si>
    <t>硝酸银瓶</t>
  </si>
  <si>
    <t>3695.txt</t>
  </si>
  <si>
    <t>Silver Nitrate Bottle# just poured</t>
  </si>
  <si>
    <t>一瓶硝酸銀# just poured</t>
  </si>
  <si>
    <t>硝酸银瓶# just poured</t>
  </si>
  <si>
    <t>Пляшка з нітратом срібла # just poured</t>
  </si>
  <si>
    <t>3696.txt</t>
  </si>
  <si>
    <t>Silver Nitrate Bottle with Funnel# inserted</t>
  </si>
  <si>
    <t>3697.txt</t>
  </si>
  <si>
    <t>Silver Nitrate Bottle with Funnel</t>
  </si>
  <si>
    <t>硝酸银漏斗瓶</t>
  </si>
  <si>
    <t>3698.txt</t>
  </si>
  <si>
    <t>Sealed Silver Nitrate Bottle</t>
  </si>
  <si>
    <t>密封的一瓶硝酸銀</t>
  </si>
  <si>
    <t>密封硝酸银瓶</t>
  </si>
  <si>
    <t>Герметична пляшка нітрату срібла</t>
  </si>
  <si>
    <t>3700.txt</t>
  </si>
  <si>
    <t>Bowl with Raw Rubber Stoppers</t>
  </si>
  <si>
    <t>带生橡胶塞的碗</t>
  </si>
  <si>
    <t>Чаша з сирими гумовими пробками</t>
  </si>
  <si>
    <t>3710.txt</t>
  </si>
  <si>
    <t>Sealed Glass Bottle</t>
  </si>
  <si>
    <t>密封玻璃瓶</t>
  </si>
  <si>
    <t>3716.txt</t>
  </si>
  <si>
    <t>Saltpeter Bottle</t>
  </si>
  <si>
    <t>盐瓶</t>
  </si>
  <si>
    <t>3717.txt</t>
  </si>
  <si>
    <t>Saltpeter Bottle# just poured</t>
  </si>
  <si>
    <t>一瓶硝酸鉀# just poured</t>
  </si>
  <si>
    <t>刚刚倒好的盐水瓶# just poured</t>
  </si>
  <si>
    <t>Пляшка селітри # just poured</t>
  </si>
  <si>
    <t>3718.txt</t>
  </si>
  <si>
    <t>Saltpeter Bottle with Funnel# inserted</t>
  </si>
  <si>
    <t>3719.txt</t>
  </si>
  <si>
    <t>Saltpeter Bottle with Funnel</t>
  </si>
  <si>
    <t>带漏斗的硝石瓶</t>
  </si>
  <si>
    <t>3720.txt</t>
  </si>
  <si>
    <t>Sealed Saltpeter Bottle</t>
  </si>
  <si>
    <t>密封的硝石瓶</t>
  </si>
  <si>
    <t>3737.txt</t>
  </si>
  <si>
    <t>Soda Ash Bottle</t>
  </si>
  <si>
    <t>苏打灰瓶</t>
  </si>
  <si>
    <t>3738.txt</t>
  </si>
  <si>
    <t>Soda Ash Bottle# just poured</t>
  </si>
  <si>
    <t>一瓶純鹼# just poured</t>
  </si>
  <si>
    <t>刚刚倒的苏打灰瓶# just poured</t>
  </si>
  <si>
    <t>Пляшка кальцинованої соди # just poured</t>
  </si>
  <si>
    <t>3739.txt</t>
  </si>
  <si>
    <t>Soda Ash Bottle with Funnel# inserted</t>
  </si>
  <si>
    <t>3740.txt</t>
  </si>
  <si>
    <t>Soda Ash Bottle with Funnel</t>
  </si>
  <si>
    <t>带漏斗的苏打灰瓶</t>
  </si>
  <si>
    <t>3741.txt</t>
  </si>
  <si>
    <t>Sealed Soda Ash Bottle</t>
  </si>
  <si>
    <t>密封的一瓶純鹼</t>
  </si>
  <si>
    <t>密封苏打灰瓶</t>
  </si>
  <si>
    <t>Герметична пляшка кальцинованої соди</t>
  </si>
  <si>
    <t>3759.txt</t>
  </si>
  <si>
    <t>Track #NW</t>
  </si>
  <si>
    <t>轨道#NW</t>
  </si>
  <si>
    <t>3760.txt</t>
  </si>
  <si>
    <t>Track #NE</t>
  </si>
  <si>
    <t>轨道#NE</t>
  </si>
  <si>
    <t>3761.txt</t>
  </si>
  <si>
    <t>Track #SW</t>
  </si>
  <si>
    <t>轨道#SW</t>
  </si>
  <si>
    <t>3762.txt</t>
  </si>
  <si>
    <t>Track #SE</t>
  </si>
  <si>
    <t>轨道#SE</t>
  </si>
  <si>
    <t>3771.txt</t>
  </si>
  <si>
    <t>@ Westward Moving Cart Entered</t>
  </si>
  <si>
    <t>3772.txt</t>
  </si>
  <si>
    <t>@ Westward Entering Tracks</t>
  </si>
  <si>
    <t>3773.txt</t>
  </si>
  <si>
    <t>@ Northward Leaving Tracks</t>
  </si>
  <si>
    <t>3774.txt</t>
  </si>
  <si>
    <t>@ Northward Entering Tracks</t>
  </si>
  <si>
    <t>3775.txt</t>
  </si>
  <si>
    <t>@ Northward Moving Cart</t>
  </si>
  <si>
    <t>3776.txt</t>
  </si>
  <si>
    <t>@ Northward Moving Cart Leaving</t>
  </si>
  <si>
    <t>3777.txt</t>
  </si>
  <si>
    <t>@ Northward Moving Cart Entered</t>
  </si>
  <si>
    <t>3778.txt</t>
  </si>
  <si>
    <t>@ Southward Leaving Tracks</t>
  </si>
  <si>
    <t>3779.txt</t>
  </si>
  <si>
    <t>@ Southward Entering Tracks</t>
  </si>
  <si>
    <t>3780.txt</t>
  </si>
  <si>
    <t>@ Southward Moving Cart</t>
  </si>
  <si>
    <t>3781.txt</t>
  </si>
  <si>
    <t>@ Southward Moving Cart Leaving</t>
  </si>
  <si>
    <t>3782.txt</t>
  </si>
  <si>
    <t>@ Southward Moving Cart Entered</t>
  </si>
  <si>
    <t>3783.txt</t>
  </si>
  <si>
    <t>Track #NE #cartN</t>
  </si>
  <si>
    <t>轨道#NE #cartN</t>
  </si>
  <si>
    <t>3784.txt</t>
  </si>
  <si>
    <t>Track Cart# moving North left north east</t>
  </si>
  <si>
    <t>轨道车# moving North left north east</t>
  </si>
  <si>
    <t>3785.txt</t>
  </si>
  <si>
    <t>Track Cart#moving East left north east</t>
  </si>
  <si>
    <t>轨道车#moving East left north east</t>
  </si>
  <si>
    <t>3786.txt</t>
  </si>
  <si>
    <t>Track #NE #cartE</t>
  </si>
  <si>
    <t>轨道#NE #cartE</t>
  </si>
  <si>
    <t>3787.txt</t>
  </si>
  <si>
    <t>Track #NW #cartN</t>
  </si>
  <si>
    <t>轨道#NW #cartN</t>
  </si>
  <si>
    <t>3788.txt</t>
  </si>
  <si>
    <t>Track Cart# moving North left north west</t>
  </si>
  <si>
    <t>轨道车# moving North left north west</t>
  </si>
  <si>
    <t>3789.txt</t>
  </si>
  <si>
    <t>Track Cart#moving West left left north west</t>
  </si>
  <si>
    <t>轨道车#moving West left left north west</t>
  </si>
  <si>
    <t>3790.txt</t>
  </si>
  <si>
    <t>Track #NW #cartW</t>
  </si>
  <si>
    <t>轨道#NW #cartW</t>
  </si>
  <si>
    <t>3792.txt</t>
  </si>
  <si>
    <t>Track #SE #cartS</t>
  </si>
  <si>
    <t>轨道#SE #cartS</t>
  </si>
  <si>
    <t>3793.txt</t>
  </si>
  <si>
    <t>Track Cart# moving South left south east</t>
  </si>
  <si>
    <t>轨道车# moving South left south east</t>
  </si>
  <si>
    <t>3794.txt</t>
  </si>
  <si>
    <t>Track Cart#moving East left south east</t>
  </si>
  <si>
    <t>轨道车#moving East left south east</t>
  </si>
  <si>
    <t>3795.txt</t>
  </si>
  <si>
    <t>Track #SE #cartE</t>
  </si>
  <si>
    <t>轨道#SE #cartE</t>
  </si>
  <si>
    <t>3796.txt</t>
  </si>
  <si>
    <t>Track #SW #cartS</t>
  </si>
  <si>
    <t>轨道#SW #cartS</t>
  </si>
  <si>
    <t>3797.txt</t>
  </si>
  <si>
    <t>Track Cart# moving South left south west</t>
  </si>
  <si>
    <t>轨道车# moving South left south west</t>
  </si>
  <si>
    <t>3798.txt</t>
  </si>
  <si>
    <t>Track Cart#moving West left south west</t>
  </si>
  <si>
    <t>轨道车#moving West left south west</t>
  </si>
  <si>
    <t>3799.txt</t>
  </si>
  <si>
    <t>Track #SW #cartW</t>
  </si>
  <si>
    <t>轨道#SW #cartW</t>
  </si>
  <si>
    <t>3800.txt</t>
  </si>
  <si>
    <t>East West Track# just unbent</t>
  </si>
  <si>
    <t>东西向轨道# just unbent</t>
  </si>
  <si>
    <t>3801.txt</t>
  </si>
  <si>
    <t>North South Track with Springy Door# +autoDefaultTrans +blocksMoving</t>
  </si>
  <si>
    <t>南北轨道带弹簧门# +autoDefaultTrans +blocksMoving</t>
  </si>
  <si>
    <t>3802.txt</t>
  </si>
  <si>
    <t>North South Track with Open Springy Door# +autoDefaultTrans</t>
  </si>
  <si>
    <t>南北轨道，带开放式弹簧门# +autoDefaultTrans</t>
  </si>
  <si>
    <t>3803.txt</t>
  </si>
  <si>
    <t>Removed Springy Wooden Track Door</t>
  </si>
  <si>
    <t>拆除弹性木制轨道门</t>
  </si>
  <si>
    <t>3804.txt</t>
  </si>
  <si>
    <t>Track Cart# moving North left door</t>
  </si>
  <si>
    <t>轨道车# moving North left door</t>
  </si>
  <si>
    <t>3805.txt</t>
  </si>
  <si>
    <t>Track Cart# moving South left door</t>
  </si>
  <si>
    <t>轨道车# moving South left door</t>
  </si>
  <si>
    <t>3806.txt</t>
  </si>
  <si>
    <t>Track Door with Cart# moving South</t>
  </si>
  <si>
    <t>轨道门，车# moving South</t>
  </si>
  <si>
    <t>3807.txt</t>
  </si>
  <si>
    <t>Track Door with Cart# moving North</t>
  </si>
  <si>
    <t>轨道门，车# moving North</t>
  </si>
  <si>
    <t>3808.txt</t>
  </si>
  <si>
    <t>Track Door with Cart# moving South silent</t>
  </si>
  <si>
    <t>轨道门与车# moving South silent</t>
  </si>
  <si>
    <t>3809.txt</t>
  </si>
  <si>
    <t>Track Door with Cart# moving North silent</t>
  </si>
  <si>
    <t>轨道门，车# moving North silent</t>
  </si>
  <si>
    <t>3810.txt</t>
  </si>
  <si>
    <t>Partial Dung Bucket</t>
  </si>
  <si>
    <t>部分垃圾桶</t>
  </si>
  <si>
    <t>3814.txt</t>
  </si>
  <si>
    <t>Stack of Empty Buckets</t>
  </si>
  <si>
    <t>一堆空水桶</t>
  </si>
  <si>
    <t>3815.txt</t>
  </si>
  <si>
    <t>Terrified Mouth# offScreenSound_T</t>
  </si>
  <si>
    <t>可怕的嘴# offScreenSound_T</t>
  </si>
  <si>
    <t>3816.txt</t>
  </si>
  <si>
    <t>Gushing Knife Wound</t>
  </si>
  <si>
    <t>刺破的刀伤</t>
  </si>
  <si>
    <t>3817.txt</t>
  </si>
  <si>
    <t>Gushing Empty Arrow Wound</t>
  </si>
  <si>
    <t>突空箭伤</t>
  </si>
  <si>
    <t>3818.txt</t>
  </si>
  <si>
    <t>Track Cart Kit# remade</t>
  </si>
  <si>
    <t>轨道车套件# remade</t>
  </si>
  <si>
    <t>3819.txt</t>
  </si>
  <si>
    <t>Partially Dug South East Track</t>
  </si>
  <si>
    <t>部分挖掘东南轨道</t>
  </si>
  <si>
    <t>3820.txt</t>
  </si>
  <si>
    <t>Partially Dug South West Track</t>
  </si>
  <si>
    <t>部分挖掘西南轨道</t>
  </si>
  <si>
    <t>3821.txt</t>
  </si>
  <si>
    <t>Partially Dug North East Track</t>
  </si>
  <si>
    <t>部分挖掘东北轨道</t>
  </si>
  <si>
    <t>3822.txt</t>
  </si>
  <si>
    <t>Partially Dug North West Track</t>
  </si>
  <si>
    <t>部分挖掘西北轨道</t>
  </si>
  <si>
    <t>3823.txt</t>
  </si>
  <si>
    <t>Partially Dug East West Track</t>
  </si>
  <si>
    <t>部分挖掘东西轨道</t>
  </si>
  <si>
    <t>3824.txt</t>
  </si>
  <si>
    <t>Partially Dug North South Track</t>
  </si>
  <si>
    <t>部分挖掘南北轨道</t>
  </si>
  <si>
    <t>3825.txt</t>
  </si>
  <si>
    <t>Partially Dug Cross Track</t>
  </si>
  <si>
    <t>部分挖孔交叉轨道</t>
  </si>
  <si>
    <t>3826.txt</t>
  </si>
  <si>
    <t>Partially Dug West Track End</t>
  </si>
  <si>
    <t>部分挖掘的西线端</t>
  </si>
  <si>
    <t>3827.txt</t>
  </si>
  <si>
    <t>Partially Dug South Track End</t>
  </si>
  <si>
    <t>南轨道端部分挖掘</t>
  </si>
  <si>
    <t>3828.txt</t>
  </si>
  <si>
    <t>Partially Dug North Track End</t>
  </si>
  <si>
    <t>部分挖掘北轨道端</t>
  </si>
  <si>
    <t>3829.txt</t>
  </si>
  <si>
    <t>Partially Dug East Track End</t>
  </si>
  <si>
    <t>部分挖掘东轨道末端</t>
  </si>
  <si>
    <t>3830.txt</t>
  </si>
  <si>
    <t>@ Partially Dug track</t>
  </si>
  <si>
    <t>3831.txt</t>
  </si>
  <si>
    <t>@ Non-Dug track</t>
  </si>
  <si>
    <t>3832.txt</t>
  </si>
  <si>
    <t>Vibrating Steel Adze</t>
  </si>
  <si>
    <t>振动钢Adze</t>
  </si>
  <si>
    <t>3833.txt</t>
  </si>
  <si>
    <t>Bendable East West Track</t>
  </si>
  <si>
    <t>可弯曲东西轨道</t>
  </si>
  <si>
    <t>3834.txt</t>
  </si>
  <si>
    <t>Bendable South East Track</t>
  </si>
  <si>
    <t>可弯曲东南轨道</t>
  </si>
  <si>
    <t>3835.txt</t>
  </si>
  <si>
    <t>Bendable South West Track</t>
  </si>
  <si>
    <t>可弯曲西南轨道</t>
  </si>
  <si>
    <t>3836.txt</t>
  </si>
  <si>
    <t>Bendable North East Track</t>
  </si>
  <si>
    <t>可弯曲东北轨道</t>
  </si>
  <si>
    <t>3837.txt</t>
  </si>
  <si>
    <t>Bendable North West Track</t>
  </si>
  <si>
    <t>可弯曲的西北轨道</t>
  </si>
  <si>
    <t>3838.txt</t>
  </si>
  <si>
    <t>@ Bendable Track</t>
  </si>
  <si>
    <t>3839.txt</t>
  </si>
  <si>
    <t>@ Non-Bendable Track</t>
  </si>
  <si>
    <t>3840.txt</t>
  </si>
  <si>
    <t>Shears with Red Rose</t>
  </si>
  <si>
    <t>红玫瑰剪</t>
  </si>
  <si>
    <t>3841.txt</t>
  </si>
  <si>
    <t>Shears with White Rose</t>
  </si>
  <si>
    <t>白玫瑰剪</t>
  </si>
  <si>
    <t>3842.txt</t>
  </si>
  <si>
    <t>Shears with Pink Rose</t>
  </si>
  <si>
    <t>粉色玫瑰剪</t>
  </si>
  <si>
    <t>3843.txt</t>
  </si>
  <si>
    <t>Shears with Blue Rose</t>
  </si>
  <si>
    <t>蓝玫瑰剪</t>
  </si>
  <si>
    <t>3844.txt</t>
  </si>
  <si>
    <t>Shears with Black Rose</t>
  </si>
  <si>
    <t>黑玫瑰剪</t>
  </si>
  <si>
    <t>3845.txt</t>
  </si>
  <si>
    <t>Shears with Green Rose</t>
  </si>
  <si>
    <t>绿玫瑰剪</t>
  </si>
  <si>
    <t>3846.txt</t>
  </si>
  <si>
    <t>Shears with Yellow Rose</t>
  </si>
  <si>
    <t>黄玫瑰剪</t>
  </si>
  <si>
    <t>3847.txt</t>
  </si>
  <si>
    <t>Green Rose# just dropped</t>
  </si>
  <si>
    <t>绿玫瑰# just dropped</t>
  </si>
  <si>
    <t>3848.txt</t>
  </si>
  <si>
    <t>Yellow Rose# just dropped</t>
  </si>
  <si>
    <t>黄玫瑰# just dropped</t>
  </si>
  <si>
    <t>3849.txt</t>
  </si>
  <si>
    <t>Black Rose# just dropped</t>
  </si>
  <si>
    <t>黑玫瑰# just dropped</t>
  </si>
  <si>
    <t>3850.txt</t>
  </si>
  <si>
    <t>Blue Rose# just dropped</t>
  </si>
  <si>
    <t>蓝玫瑰# just dropped</t>
  </si>
  <si>
    <t>3851.txt</t>
  </si>
  <si>
    <t>Black Plaster Wall# +causeAutoOrient</t>
  </si>
  <si>
    <t>黑色灰泥墙# +causeAutoOrient</t>
  </si>
  <si>
    <t>3852.txt</t>
  </si>
  <si>
    <t>3853.txt</t>
  </si>
  <si>
    <t>3854.txt</t>
  </si>
  <si>
    <t>Black Plaster Wall# +causeAutoOrient shelfRemoved</t>
  </si>
  <si>
    <t>黑色灰泥墙# +causeAutoOrient shelfRemoved</t>
  </si>
  <si>
    <t>3855.txt</t>
  </si>
  <si>
    <t>Black Wall Shelf with Slot Notches# +causeAutoOrient +noBackAccess</t>
  </si>
  <si>
    <t>带槽口的黑墙搁架# +causeAutoOrient +noBackAccess</t>
  </si>
  <si>
    <t>3856.txt</t>
  </si>
  <si>
    <t>Black Wall Shelf# +causeAutoOrient +noBackAccess</t>
  </si>
  <si>
    <t>黑墙货架# +causeAutoOrient +noBackAccess</t>
  </si>
  <si>
    <t>3857.txt</t>
  </si>
  <si>
    <t>Black Wall Slot Shelf# +causeAutoOrient +noBackAccess</t>
  </si>
  <si>
    <t>黑墙插槽机框# +causeAutoOrient +noBackAccess</t>
  </si>
  <si>
    <t>3858.txt</t>
  </si>
  <si>
    <t>Black Wall with Box and Thread# +causeAutoOrient</t>
  </si>
  <si>
    <t>带盒子和螺纹的黑墙# +causeAutoOrient</t>
  </si>
  <si>
    <t>3859.txt</t>
  </si>
  <si>
    <t>Black Wall with Box# +causeAutoOrient</t>
  </si>
  <si>
    <t>黑墙，带方框# +causeAutoOrient</t>
  </si>
  <si>
    <t>3860.txt</t>
  </si>
  <si>
    <t>Black Wall with Thread# +causeAutoOrient</t>
  </si>
  <si>
    <t>带螺纹# +causeAutoOrient</t>
  </si>
  <si>
    <t>3861.txt</t>
  </si>
  <si>
    <t>Full Dung Bucket</t>
  </si>
  <si>
    <t>满桶</t>
  </si>
  <si>
    <t>3862.txt</t>
  </si>
  <si>
    <t>Dung Box</t>
  </si>
  <si>
    <t>3863.txt</t>
  </si>
  <si>
    <t>Bucket of Green Paint</t>
  </si>
  <si>
    <t>一桶绿色油漆</t>
  </si>
  <si>
    <t>3864.txt</t>
  </si>
  <si>
    <t>Green Plaster Wall# +causeAutoOrient</t>
  </si>
  <si>
    <t>绿色石膏墙# +causeAutoOrient</t>
  </si>
  <si>
    <t>3865.txt</t>
  </si>
  <si>
    <t>3866.txt</t>
  </si>
  <si>
    <t>3867.txt</t>
  </si>
  <si>
    <t>Green Plaster Wall# +causeAutoOrient shelfRemoved</t>
  </si>
  <si>
    <t>绿色灰泥墙# +causeAutoOrient shelfRemoved</t>
  </si>
  <si>
    <t>3868.txt</t>
  </si>
  <si>
    <t>Green Wall Shelf with Slot Notches# +causeAutoOrient +noBackAccess</t>
  </si>
  <si>
    <t>带槽口的绿色壁架# +causeAutoOrient +noBackAccess</t>
  </si>
  <si>
    <t>3869.txt</t>
  </si>
  <si>
    <t>Green Wall Shelf# +causeAutoOrient +noBackAccess</t>
  </si>
  <si>
    <t>绿色墙架# +causeAutoOrient +noBackAccess</t>
  </si>
  <si>
    <t>3870.txt</t>
  </si>
  <si>
    <t>Green Wall Slot Shelf# +causeAutoOrient +noBackAccess</t>
  </si>
  <si>
    <t>绿色墙壁插槽架# +causeAutoOrient +noBackAccess</t>
  </si>
  <si>
    <t>3871.txt</t>
  </si>
  <si>
    <t>Green Wall with Box and Thread# +causeAutoOrient</t>
  </si>
  <si>
    <t>带盒子和螺纹的绿色墙# +causeAutoOrient</t>
  </si>
  <si>
    <t>3872.txt</t>
  </si>
  <si>
    <t>Green Wall with Box# +causeAutoOrient</t>
  </si>
  <si>
    <t>绿色墙，带# +causeAutoOrient</t>
  </si>
  <si>
    <t>3873.txt</t>
  </si>
  <si>
    <t>Green Wall with Thread# +causeAutoOrient</t>
  </si>
  <si>
    <t>带# +causeAutoOrient</t>
  </si>
  <si>
    <t>3874.txt</t>
  </si>
  <si>
    <t>3875.txt</t>
  </si>
  <si>
    <t>Pile of Letter Stock</t>
  </si>
  <si>
    <t>一堆信纸</t>
  </si>
  <si>
    <t>3876.txt</t>
  </si>
  <si>
    <t>Pile of Letter Stock# justMade</t>
  </si>
  <si>
    <t>一堆字母库存# justMade</t>
  </si>
  <si>
    <t>3877.txt</t>
  </si>
  <si>
    <t>Bow Drill Bow with Removed Shaft</t>
  </si>
  <si>
    <t>弓钻弓，轴已拆下</t>
  </si>
  <si>
    <t>3878.txt</t>
  </si>
  <si>
    <t>Small Curved Shaft with Rope</t>
  </si>
  <si>
    <t>带绳索的小型弯曲轴</t>
  </si>
  <si>
    <t>3879.txt</t>
  </si>
  <si>
    <t>Yew Shaft with Rope</t>
  </si>
  <si>
    <t>带绳索的紫杉杆</t>
  </si>
  <si>
    <t>3880.txt</t>
  </si>
  <si>
    <t>Short Shaft with Rope</t>
  </si>
  <si>
    <t>带绳索的短轴</t>
  </si>
  <si>
    <t>3883.txt</t>
  </si>
  <si>
    <t>Stakes with Rope</t>
  </si>
  <si>
    <t>绳索桩</t>
  </si>
  <si>
    <t>3884.txt</t>
  </si>
  <si>
    <t>Two Hunks of Adobe</t>
  </si>
  <si>
    <t>Adobe的两个版本</t>
  </si>
  <si>
    <t>3885.txt</t>
  </si>
  <si>
    <t>Homesick Mouth</t>
  </si>
  <si>
    <t>想家的嘴</t>
  </si>
  <si>
    <t>3886.txt</t>
  </si>
  <si>
    <t>Desert Expert Way Stone# +biomeSet3 gridPlacement20,20 +expertFind</t>
  </si>
  <si>
    <t>沙漠专家之路石头# +biomeSet3 gridPlacement20,20 +expertFind</t>
  </si>
  <si>
    <t>3887.txt</t>
  </si>
  <si>
    <t>Jungle Expert Way Stone# +biomeSet3 gridPlacement20,20 +expertFind</t>
  </si>
  <si>
    <t>丛林专家之路石头# +biomeSet3 gridPlacement20,20 +expertFind</t>
  </si>
  <si>
    <t>3888.txt</t>
  </si>
  <si>
    <t>Arctic Expert Way Stone# +biomeSet3 gridPlacement20,20,p3,p0 +expertFind</t>
  </si>
  <si>
    <t>3890.txt</t>
  </si>
  <si>
    <t>Stack of Copper Ingots</t>
  </si>
  <si>
    <t>铜锭堆叠</t>
  </si>
  <si>
    <t>3891.txt</t>
  </si>
  <si>
    <t>Small Lump of Clay</t>
  </si>
  <si>
    <t>小块粘土</t>
  </si>
  <si>
    <t>3892.txt</t>
  </si>
  <si>
    <t>Wet Clay Nozzle# just made</t>
  </si>
  <si>
    <t>湿粘土喷嘴# just made</t>
  </si>
  <si>
    <t>3894.txt</t>
  </si>
  <si>
    <t>Lab Table# +contLabDish +contAnyTable +useOnContained</t>
  </si>
  <si>
    <t>实验室表# +contLabDish +contAnyTable +useOnContained</t>
  </si>
  <si>
    <t>3895.txt</t>
  </si>
  <si>
    <t>Sand Pile</t>
  </si>
  <si>
    <t>砂桩</t>
  </si>
  <si>
    <t>3896.txt</t>
  </si>
  <si>
    <t>Stack of Malachite</t>
  </si>
  <si>
    <t>堆叠的孔雀石</t>
  </si>
  <si>
    <t>3897.txt</t>
  </si>
  <si>
    <t>Pile of Calamine</t>
  </si>
  <si>
    <t>Calamine堆</t>
  </si>
  <si>
    <t>3898.txt</t>
  </si>
  <si>
    <t>Stack of Zinc Ingots</t>
  </si>
  <si>
    <t>锌锭堆叠</t>
  </si>
  <si>
    <t>3899.txt</t>
  </si>
  <si>
    <t>Pile of Tomatoes</t>
  </si>
  <si>
    <t>一堆西红柿</t>
  </si>
  <si>
    <t>3900.txt</t>
  </si>
  <si>
    <t>Pile of Onions</t>
  </si>
  <si>
    <t>一堆洋葱</t>
  </si>
  <si>
    <t>3901.txt</t>
  </si>
  <si>
    <t>Pile of Shucked Corn</t>
  </si>
  <si>
    <t>成堆的玉米</t>
  </si>
  <si>
    <t>3902.txt</t>
  </si>
  <si>
    <t>Pile of Dried Corn</t>
  </si>
  <si>
    <t>一堆干玉米</t>
  </si>
  <si>
    <t>3903.txt</t>
  </si>
  <si>
    <t>Pile of Corn Ears</t>
  </si>
  <si>
    <t>一堆玉米穗</t>
  </si>
  <si>
    <t>3904.txt</t>
  </si>
  <si>
    <t>Bowl of Goose Eggs</t>
  </si>
  <si>
    <t>鹅蛋碗</t>
  </si>
  <si>
    <t>3905.txt</t>
  </si>
  <si>
    <t>Pile of Clay</t>
  </si>
  <si>
    <t>粘土堆</t>
  </si>
  <si>
    <t>3906.txt</t>
  </si>
  <si>
    <t>Pile of Adobe</t>
  </si>
  <si>
    <t>成堆的Adobe</t>
  </si>
  <si>
    <t>3907.txt</t>
  </si>
  <si>
    <t>Pile of Raw Potatoes</t>
  </si>
  <si>
    <t>一堆生土豆</t>
  </si>
  <si>
    <t>3908.txt</t>
  </si>
  <si>
    <t>Pile of Baked Potatoes</t>
  </si>
  <si>
    <t>一堆烤土豆</t>
  </si>
  <si>
    <t>3909.txt</t>
  </si>
  <si>
    <t>Pile of Hot Peppers</t>
  </si>
  <si>
    <t>一堆辣椒</t>
  </si>
  <si>
    <t>3910.txt</t>
  </si>
  <si>
    <t>Pile of Arrows</t>
  </si>
  <si>
    <t>一堆箭头</t>
  </si>
  <si>
    <t>3911.txt</t>
  </si>
  <si>
    <t>Pile of Goose Feathers</t>
  </si>
  <si>
    <t>鹅毛堆</t>
  </si>
  <si>
    <t>3912.txt</t>
  </si>
  <si>
    <t>Pile of Turkey Feathers</t>
  </si>
  <si>
    <t>一堆土耳其羽毛</t>
  </si>
  <si>
    <t>3913.txt</t>
  </si>
  <si>
    <t>Pile of Snares</t>
  </si>
  <si>
    <t>一堆蛇</t>
  </si>
  <si>
    <t>3914.txt</t>
  </si>
  <si>
    <t>Pile of Worms</t>
  </si>
  <si>
    <t>一堆蠕虫</t>
  </si>
  <si>
    <t>3915.txt</t>
  </si>
  <si>
    <t>Pile of Sharp Stones</t>
  </si>
  <si>
    <t>一堆锋利的石头</t>
  </si>
  <si>
    <t>3916.txt</t>
  </si>
  <si>
    <t>Pile of Arrowheads</t>
  </si>
  <si>
    <t>3917.txt</t>
  </si>
  <si>
    <t>Pile of Fleece</t>
  </si>
  <si>
    <t>一堆羊毛</t>
  </si>
  <si>
    <t>3918.txt</t>
  </si>
  <si>
    <t>Pile of Mouflon Hides</t>
  </si>
  <si>
    <t>成堆的Mouflon兽皮</t>
  </si>
  <si>
    <t>3919.txt</t>
  </si>
  <si>
    <t>Pile of Sheep Skins</t>
  </si>
  <si>
    <t>一堆羊皮</t>
  </si>
  <si>
    <t>3920.txt</t>
  </si>
  <si>
    <t>Pile of Wolf Skins</t>
  </si>
  <si>
    <t>一堆狼皮</t>
  </si>
  <si>
    <t>3921.txt</t>
  </si>
  <si>
    <t>Pile of Bear Skins</t>
  </si>
  <si>
    <t>一堆熊皮</t>
  </si>
  <si>
    <t>3922.txt</t>
  </si>
  <si>
    <t>Pile of Seal Skins</t>
  </si>
  <si>
    <t>一堆密封皮</t>
  </si>
  <si>
    <t>3923.txt</t>
  </si>
  <si>
    <t>Pile of Snake Skins</t>
  </si>
  <si>
    <t>一堆蛇皮</t>
  </si>
  <si>
    <t>3924.txt</t>
  </si>
  <si>
    <t>Bowl of Worms</t>
  </si>
  <si>
    <t>一碗蠕虫</t>
  </si>
  <si>
    <t>3925.txt</t>
  </si>
  <si>
    <t>Stack of Wooden Disks</t>
  </si>
  <si>
    <t>木盘堆叠</t>
  </si>
  <si>
    <t>3926.txt</t>
  </si>
  <si>
    <t>Domestic Sheep on Rope</t>
  </si>
  <si>
    <t>绳索上的家养绵羊</t>
  </si>
  <si>
    <t>3927.txt</t>
  </si>
  <si>
    <t>Domestic Sheep# just unroped</t>
  </si>
  <si>
    <t>家绵羊# just unroped</t>
  </si>
  <si>
    <t>3928.txt</t>
  </si>
  <si>
    <t>Domestic Pig on Rope</t>
  </si>
  <si>
    <t>绳索上的家猪</t>
  </si>
  <si>
    <t>3929.txt</t>
  </si>
  <si>
    <t>Domestic Pig# just unroped</t>
  </si>
  <si>
    <t>家猪# just unroped</t>
  </si>
  <si>
    <t>3930.txt</t>
  </si>
  <si>
    <t>Bagasse</t>
  </si>
  <si>
    <t>蔗渣</t>
  </si>
  <si>
    <t>3931.txt</t>
  </si>
  <si>
    <t>Bowl of Bagasse# just scooped</t>
  </si>
  <si>
    <t>刚刚舀了一碗Bagasse# just scooped</t>
  </si>
  <si>
    <t>3932.txt</t>
  </si>
  <si>
    <t>Stack of Electrum Ingots</t>
  </si>
  <si>
    <t>电锭堆叠</t>
  </si>
  <si>
    <t>3933.txt</t>
  </si>
  <si>
    <t>Fed Shorn Sheep on Rope</t>
  </si>
  <si>
    <t>用绳子喂羊</t>
  </si>
  <si>
    <t>3934.txt</t>
  </si>
  <si>
    <t>Shorn Sheep on Rope</t>
  </si>
  <si>
    <t>拴在绳子上的牧羊人</t>
  </si>
  <si>
    <t>3935.txt</t>
  </si>
  <si>
    <t>Fed Shorn Domestic Sheep# just unroped</t>
  </si>
  <si>
    <t>Fed Shorn家养绵羊# just unroped</t>
  </si>
  <si>
    <t>3936.txt</t>
  </si>
  <si>
    <t>Shorn Domestic Sheep# just unroped</t>
  </si>
  <si>
    <t>Shorn家养绵羊# just unroped</t>
  </si>
  <si>
    <t>3937.txt</t>
  </si>
  <si>
    <t>Crucible with Scrap Copper</t>
  </si>
  <si>
    <t>废铜坩埚</t>
  </si>
  <si>
    <t>3938.txt</t>
  </si>
  <si>
    <t>@ New Scrap Copper</t>
  </si>
  <si>
    <t>3939.txt</t>
  </si>
  <si>
    <t>Scrap Iron</t>
  </si>
  <si>
    <t>废铁</t>
  </si>
  <si>
    <t>3940.txt</t>
  </si>
  <si>
    <t>Tongs with Scrap Iron</t>
  </si>
  <si>
    <t>带废铁的钳子</t>
  </si>
  <si>
    <t>3941.txt</t>
  </si>
  <si>
    <t>Stack of Scrap Iron</t>
  </si>
  <si>
    <t>一堆废铁</t>
  </si>
  <si>
    <t>3942.txt</t>
  </si>
  <si>
    <t>Crude Car with Plane Kit</t>
  </si>
  <si>
    <t>带飞机套件的粗制滥造汽车</t>
  </si>
  <si>
    <t>3943.txt</t>
  </si>
  <si>
    <t>Crude Car with Removed Engine</t>
  </si>
  <si>
    <t>拆下发动机的粗制滥造汽车</t>
  </si>
  <si>
    <t>3944.txt</t>
  </si>
  <si>
    <t>Stripped Iron Vein</t>
  </si>
  <si>
    <t>条纹铁脉</t>
  </si>
  <si>
    <t>3945.txt</t>
  </si>
  <si>
    <t>Refuse Mouth</t>
  </si>
  <si>
    <t>垃圾口</t>
  </si>
  <si>
    <t>3946.txt</t>
  </si>
  <si>
    <t>Watered Wild Gooseberry Bush</t>
  </si>
  <si>
    <t>浇过水的野生鹅掌楸</t>
  </si>
  <si>
    <t>3948.txt</t>
  </si>
  <si>
    <t>Arrow Quiver</t>
  </si>
  <si>
    <t>箭袋</t>
  </si>
  <si>
    <t>3952.txt</t>
  </si>
  <si>
    <t>Arrow# just removed</t>
  </si>
  <si>
    <t>刚刚删除的箭头# just removed</t>
  </si>
  <si>
    <t>3953.txt</t>
  </si>
  <si>
    <t>Stripped Muddy Iron Vein</t>
  </si>
  <si>
    <t>条纹泥铁脉</t>
  </si>
  <si>
    <t>3954.txt</t>
  </si>
  <si>
    <t>Iron Vein# justDried</t>
  </si>
  <si>
    <t>铁脉# justDried</t>
  </si>
  <si>
    <t>3956.txt</t>
  </si>
  <si>
    <t>Shallow Pit with Ore - Hungry Work# +hungryWork10</t>
  </si>
  <si>
    <t>浅坑含矿石-饥饿作业# +hungryWork10</t>
  </si>
  <si>
    <t>3957.txt</t>
  </si>
  <si>
    <t>Shallow Iron Pit</t>
  </si>
  <si>
    <t>浅铁坑</t>
  </si>
  <si>
    <t>3958.txt</t>
  </si>
  <si>
    <t>Deep Pit with Ore - Hungry Work# +hungryWork10</t>
  </si>
  <si>
    <t>带矿石的深坑-饥饿作业# +hungryWork10</t>
  </si>
  <si>
    <t>3959.txt</t>
  </si>
  <si>
    <t>Mine with Ore - Hungry Work# +hungryWork10</t>
  </si>
  <si>
    <t>矿山与矿石-饥饿工作# +hungryWork10</t>
  </si>
  <si>
    <t>3960.txt</t>
  </si>
  <si>
    <t>Collapsed Mine with Ore - Hungry Work# +hungryWork10</t>
  </si>
  <si>
    <t>带矿石的坍塌矿井-饥饿作业# +hungryWork10</t>
  </si>
  <si>
    <t>3961.txt</t>
  </si>
  <si>
    <t>Iron Vein</t>
  </si>
  <si>
    <t>铁脉</t>
  </si>
  <si>
    <t>3962.txt</t>
  </si>
  <si>
    <t>Loose Muddy Iron Vein# +primaryHomeland</t>
  </si>
  <si>
    <t>松散泥铁矿脉# +primaryHomeland</t>
  </si>
  <si>
    <t>3963.txt</t>
  </si>
  <si>
    <t>Ready Well Site# +famUse100 +tapoutTrigger,40,40,160,0</t>
  </si>
  <si>
    <t>3964.txt</t>
  </si>
  <si>
    <t>Unpowered Pump Head# diesel removed</t>
  </si>
  <si>
    <t>拆除了# diesel removed</t>
  </si>
  <si>
    <t>3965.txt</t>
  </si>
  <si>
    <t>Sunken Iron Vein</t>
  </si>
  <si>
    <t>下沉铁脉</t>
  </si>
  <si>
    <t>3966.txt</t>
  </si>
  <si>
    <t>Empty Scrap Box</t>
  </si>
  <si>
    <t>空废料箱</t>
  </si>
  <si>
    <t>3967.txt</t>
  </si>
  <si>
    <t>Scrap Engine</t>
  </si>
  <si>
    <t>报废引擎</t>
  </si>
  <si>
    <t>3968.txt</t>
  </si>
  <si>
    <t>Box of Scrap Steel</t>
  </si>
  <si>
    <t>废钢箱</t>
  </si>
  <si>
    <t>3969.txt</t>
  </si>
  <si>
    <t>Wooden Box# erased</t>
  </si>
  <si>
    <t>木盒# erased</t>
  </si>
  <si>
    <t>3970.txt</t>
  </si>
  <si>
    <t>Box of Scrap Steel# just smashed</t>
  </si>
  <si>
    <t>刚刚砸碎的一箱废钢# just smashed</t>
  </si>
  <si>
    <t>3971.txt</t>
  </si>
  <si>
    <t>Pile of Electrum Ore</t>
  </si>
  <si>
    <t>Electrom矿石堆</t>
  </si>
  <si>
    <t>3972.txt</t>
  </si>
  <si>
    <t>Pile of Niter</t>
  </si>
  <si>
    <t>Niter堆</t>
  </si>
  <si>
    <t>3973.txt</t>
  </si>
  <si>
    <t>Pile of Alum</t>
  </si>
  <si>
    <t>一堆明矾</t>
  </si>
  <si>
    <t>3974.txt</t>
  </si>
  <si>
    <t>Pile of Cinnabar</t>
  </si>
  <si>
    <t>一堆朱砂</t>
  </si>
  <si>
    <t>3975.txt</t>
  </si>
  <si>
    <t>Pile of Lapis Lazuli</t>
  </si>
  <si>
    <t>青金石堆</t>
  </si>
  <si>
    <t>3976.txt</t>
  </si>
  <si>
    <t xml:space="preserve">Pile of Mangoes </t>
  </si>
  <si>
    <t>芒果堆</t>
  </si>
  <si>
    <t>3977.txt</t>
  </si>
  <si>
    <t>Pile of Bananas</t>
  </si>
  <si>
    <t>一堆香蕉</t>
  </si>
  <si>
    <t>3978.txt</t>
  </si>
  <si>
    <t>Pile of Wild Carrots</t>
  </si>
  <si>
    <t>一堆野生胡萝卜</t>
  </si>
  <si>
    <t>3979.txt</t>
  </si>
  <si>
    <t>Pile of Burdock Roots</t>
  </si>
  <si>
    <t>牛蒡根桩</t>
  </si>
  <si>
    <t>3980.txt</t>
  </si>
  <si>
    <t>Pile of Wild Onions</t>
  </si>
  <si>
    <t>一堆野洋葱</t>
  </si>
  <si>
    <t>3981.txt</t>
  </si>
  <si>
    <t>Stack of Pumpkin</t>
  </si>
  <si>
    <t>一堆南瓜</t>
  </si>
  <si>
    <t>3982.txt</t>
  </si>
  <si>
    <t>Stack of Hubbard Squash</t>
  </si>
  <si>
    <t>一堆哈伯德壁球</t>
  </si>
  <si>
    <t>3983.txt</t>
  </si>
  <si>
    <t>Pile of Red Cabbage</t>
  </si>
  <si>
    <t>一堆红甘蓝</t>
  </si>
  <si>
    <t>3984.txt</t>
  </si>
  <si>
    <t>Stack of Clay Crocks</t>
  </si>
  <si>
    <t>一堆粘土鳄鱼</t>
  </si>
  <si>
    <t>3985.txt</t>
  </si>
  <si>
    <t>Fetching German Shepherd</t>
  </si>
  <si>
    <t>抓德国牧羊犬</t>
  </si>
  <si>
    <t>3987.txt</t>
  </si>
  <si>
    <t>Dog Treat# just used</t>
  </si>
  <si>
    <t>刚用过的狗狗零食# just used</t>
  </si>
  <si>
    <t>3988.txt</t>
  </si>
  <si>
    <t>Fetching German Shepherd# done</t>
  </si>
  <si>
    <t>获取德国牧羊犬# done</t>
  </si>
  <si>
    <t>3989.txt</t>
  </si>
  <si>
    <t>Fetching German Shepherd# A</t>
  </si>
  <si>
    <t>抓德国牧羊犬# A</t>
  </si>
  <si>
    <t>3990.txt</t>
  </si>
  <si>
    <t>Fetching German Shepherd# B</t>
  </si>
  <si>
    <t>抓德国牧羊犬# B</t>
  </si>
  <si>
    <t>3991.txt</t>
  </si>
  <si>
    <t>Dog Stick</t>
  </si>
  <si>
    <t>狗棒</t>
  </si>
  <si>
    <t>3992.txt</t>
  </si>
  <si>
    <t>Fetching Collie</t>
  </si>
  <si>
    <t>取牧羊犬</t>
  </si>
  <si>
    <t>3993.txt</t>
  </si>
  <si>
    <t>Fetching Collie# A</t>
  </si>
  <si>
    <t>正在获取牧羊犬# A</t>
  </si>
  <si>
    <t>3994.txt</t>
  </si>
  <si>
    <t>Fetching Collie# B</t>
  </si>
  <si>
    <t>正在获取牧羊犬# B</t>
  </si>
  <si>
    <t>3995.txt</t>
  </si>
  <si>
    <t>Fetching Collie# Done</t>
  </si>
  <si>
    <t>取牧羊犬# Done</t>
  </si>
  <si>
    <t>3996.txt</t>
  </si>
  <si>
    <t>Fetching Pit Bull</t>
  </si>
  <si>
    <t>取比特牛</t>
  </si>
  <si>
    <t>3997.txt</t>
  </si>
  <si>
    <t>Fetching Pit Bull# A</t>
  </si>
  <si>
    <t>获取比特牛# A</t>
  </si>
  <si>
    <t>3998.txt</t>
  </si>
  <si>
    <t>Fetching Pit Bull# B</t>
  </si>
  <si>
    <t>提取坑公牛# B</t>
  </si>
  <si>
    <t>3999.txt</t>
  </si>
  <si>
    <t>Fetching Pit Bull# Done</t>
  </si>
  <si>
    <t>提取比特牛# Done</t>
  </si>
  <si>
    <t>4000.txt</t>
  </si>
  <si>
    <t>Fetching Beagle</t>
  </si>
  <si>
    <t>正在获取Beagle</t>
  </si>
  <si>
    <t>4001.txt</t>
  </si>
  <si>
    <t>Fetching Beagle# A</t>
  </si>
  <si>
    <t>正在获取Beagle# A</t>
  </si>
  <si>
    <t>4002.txt</t>
  </si>
  <si>
    <t>Fetching Beagle# B</t>
  </si>
  <si>
    <t>正在获取Beagle# B</t>
  </si>
  <si>
    <t>4003.txt</t>
  </si>
  <si>
    <t>Fetching Beagle# Done</t>
  </si>
  <si>
    <t>获取Beagle# Done</t>
  </si>
  <si>
    <t>4004.txt</t>
  </si>
  <si>
    <t>Fetching Airedale</t>
  </si>
  <si>
    <t>正在获取Airedale</t>
  </si>
  <si>
    <t>4005.txt</t>
  </si>
  <si>
    <t>Fetching Airedale# A</t>
  </si>
  <si>
    <t>正在获取Airedale# A</t>
  </si>
  <si>
    <t>4006.txt</t>
  </si>
  <si>
    <t>Fetching Airedale# B</t>
  </si>
  <si>
    <t>正在获取Airedale# B</t>
  </si>
  <si>
    <t>4007.txt</t>
  </si>
  <si>
    <t>Fetching Airedale# Done</t>
  </si>
  <si>
    <t>提取Airedale# Done</t>
  </si>
  <si>
    <t>4008.txt</t>
  </si>
  <si>
    <t>Fetching Poodle</t>
  </si>
  <si>
    <t>正在取贵宾犬</t>
  </si>
  <si>
    <t>4009.txt</t>
  </si>
  <si>
    <t>Fetching Poodle# A</t>
  </si>
  <si>
    <t>正在取贵宾犬# A</t>
  </si>
  <si>
    <t>4010.txt</t>
  </si>
  <si>
    <t>Fetching Poodle# B</t>
  </si>
  <si>
    <t>取回贵宾犬# B</t>
  </si>
  <si>
    <t>4011.txt</t>
  </si>
  <si>
    <t>Fetching Poodle# Done</t>
  </si>
  <si>
    <t>取贵宾犬# Done</t>
  </si>
  <si>
    <t>4012.txt</t>
  </si>
  <si>
    <t>Fetching Schnauser</t>
  </si>
  <si>
    <t>正在获取Sch恶心</t>
  </si>
  <si>
    <t>4013.txt</t>
  </si>
  <si>
    <t>Fetching Schnauser# A</t>
  </si>
  <si>
    <t>正在获取Sch令人er# A</t>
  </si>
  <si>
    <t>4014.txt</t>
  </si>
  <si>
    <t>Fetching Schnauser# B</t>
  </si>
  <si>
    <t>正在获取Sch恶心器# B</t>
  </si>
  <si>
    <t>4015.txt</t>
  </si>
  <si>
    <t>Fetching Schnauser# Done</t>
  </si>
  <si>
    <t>获取Sch恶心# Done</t>
  </si>
  <si>
    <t>4016.txt</t>
  </si>
  <si>
    <t>Fetching Dachshund</t>
  </si>
  <si>
    <t>取腊肠</t>
  </si>
  <si>
    <t>4017.txt</t>
  </si>
  <si>
    <t>Fetching Dachshund# A</t>
  </si>
  <si>
    <t>取腊肠# A</t>
  </si>
  <si>
    <t>4018.txt</t>
  </si>
  <si>
    <t>Fetching Dachshund# B</t>
  </si>
  <si>
    <t>取腊肠# B</t>
  </si>
  <si>
    <t>4019.txt</t>
  </si>
  <si>
    <t>Fetching Dachshund# Done</t>
  </si>
  <si>
    <t>取腊肠# Done</t>
  </si>
  <si>
    <t>4020.txt</t>
  </si>
  <si>
    <t>Fetching Chihuahua</t>
  </si>
  <si>
    <t>取吉娃娃</t>
  </si>
  <si>
    <t>4021.txt</t>
  </si>
  <si>
    <t>Fetching Chihuahua# A</t>
  </si>
  <si>
    <t>正在获取吉娃娃# A</t>
  </si>
  <si>
    <t>4022.txt</t>
  </si>
  <si>
    <t>Fetching Chihuahua# B</t>
  </si>
  <si>
    <t>正在获取吉娃娃# B</t>
  </si>
  <si>
    <t>4023.txt</t>
  </si>
  <si>
    <t>Fetching Chihuahua# Done</t>
  </si>
  <si>
    <t>取吉娃娃# Done</t>
  </si>
  <si>
    <t>4024.txt</t>
  </si>
  <si>
    <t>Scrap Iron# just dropped</t>
  </si>
  <si>
    <t>废铁# just dropped</t>
  </si>
  <si>
    <t>4025.txt</t>
  </si>
  <si>
    <t>Shaky Property Fence Box# +cornerG</t>
  </si>
  <si>
    <t>Shaky Property围栏箱# +cornerG</t>
  </si>
  <si>
    <t>4026.txt</t>
  </si>
  <si>
    <t>Shaky Property Fence Box# +horizontalG</t>
  </si>
  <si>
    <t>Shaky Property围栏箱# +horizontalG</t>
  </si>
  <si>
    <t>4027.txt</t>
  </si>
  <si>
    <t>Shaky Property Fence Box# +verticalG</t>
  </si>
  <si>
    <t>Shaky Property围栏箱# +verticalG</t>
  </si>
  <si>
    <t>4028.txt</t>
  </si>
  <si>
    <t>Stakes working</t>
  </si>
  <si>
    <t>桩工作</t>
  </si>
  <si>
    <t>4029.txt</t>
  </si>
  <si>
    <t>Pile of Cactus Fruit</t>
  </si>
  <si>
    <t>仙人掌果堆</t>
  </si>
  <si>
    <t>4030.txt</t>
  </si>
  <si>
    <t>Pile of Psilocybe Mushrooms</t>
  </si>
  <si>
    <t>一堆Psilocybe蘑菇</t>
  </si>
  <si>
    <t>4031.txt</t>
  </si>
  <si>
    <t>Stack of Steel Piston Blanks</t>
  </si>
  <si>
    <t>钢制活塞坯料堆叠</t>
  </si>
  <si>
    <t>4032.txt</t>
  </si>
  <si>
    <t>Stack of Hot Piston Blanks</t>
  </si>
  <si>
    <t>热活塞坯料堆</t>
  </si>
  <si>
    <t>4034.txt</t>
  </si>
  <si>
    <t>Stack of Steel Piston Blanks# just cooled</t>
  </si>
  <si>
    <t>刚刚冷却的钢制活塞坯料堆# just cooled</t>
  </si>
  <si>
    <t>4035.txt</t>
  </si>
  <si>
    <t>Flour Bottle# +contFoodDish</t>
  </si>
  <si>
    <t>面粉瓶# +contFoodDish</t>
  </si>
  <si>
    <t>4036.txt</t>
  </si>
  <si>
    <t>Flour Bottle# just poured</t>
  </si>
  <si>
    <t>面粉瓶# just poured</t>
  </si>
  <si>
    <t>4037.txt</t>
  </si>
  <si>
    <t>Flour Bottle with Funnel# inserted +contFoodDish</t>
  </si>
  <si>
    <t>插入漏斗# inserted +contFoodDish</t>
  </si>
  <si>
    <t>4038.txt</t>
  </si>
  <si>
    <t>Flour Bottle with Funnel# +contFoodDish</t>
  </si>
  <si>
    <t>带漏斗的面粉瓶# +contFoodDish</t>
  </si>
  <si>
    <t>4039.txt</t>
  </si>
  <si>
    <t>Sealed Flour Bottle</t>
  </si>
  <si>
    <t>密封面粉瓶</t>
  </si>
  <si>
    <t>4040.txt</t>
  </si>
  <si>
    <t>Multipurpose Newcomen with Full Boiler</t>
  </si>
  <si>
    <t>全锅炉多用途纽科门</t>
  </si>
  <si>
    <t>4041.txt</t>
  </si>
  <si>
    <t>Multipurpose Newcomen with Charcoal</t>
  </si>
  <si>
    <t>木炭多用途纽科门</t>
  </si>
  <si>
    <t>4042.txt</t>
  </si>
  <si>
    <t>Newcomen Bore with Charcoal# justAdded</t>
  </si>
  <si>
    <t>刚添加# justAdded</t>
  </si>
  <si>
    <t>4043.txt</t>
  </si>
  <si>
    <t>Newcomen Drill with Charcoal# justAdded</t>
  </si>
  <si>
    <t>4044.txt</t>
  </si>
  <si>
    <t>Newcomen Hammer with Charcoal# justAdded</t>
  </si>
  <si>
    <t>新科门木炭锤# justAdded</t>
  </si>
  <si>
    <t>4045.txt</t>
  </si>
  <si>
    <t>Newcomen Lathe with Charcoal# justAdded</t>
  </si>
  <si>
    <t>刚刚添加# justAdded</t>
  </si>
  <si>
    <t>4046.txt</t>
  </si>
  <si>
    <t>Newcomen Roller with Charcoal# justAdded</t>
  </si>
  <si>
    <t>4047.txt</t>
  </si>
  <si>
    <t>Newcomen Bore with Full Boiler# justAdded</t>
  </si>
  <si>
    <t>刚刚添加的Newcomen全锅炉膛号# justAdded</t>
  </si>
  <si>
    <t>4048.txt</t>
  </si>
  <si>
    <t>Newcomen Drill with Full Boiler# justAdded</t>
  </si>
  <si>
    <t>4049.txt</t>
  </si>
  <si>
    <t>Newcomen Hammer with Full Boiler# justAdded</t>
  </si>
  <si>
    <t>刚刚添加了Newcomen Hammer和全锅炉# justAdded</t>
  </si>
  <si>
    <t>4050.txt</t>
  </si>
  <si>
    <t>Newcomen Lathe with Full Boiler# justAdded</t>
  </si>
  <si>
    <t>刚刚添加了Newcomen全锅炉车床# justAdded</t>
  </si>
  <si>
    <t>4051.txt</t>
  </si>
  <si>
    <t>Newcomen Roller with Full Boiler# justAdded</t>
  </si>
  <si>
    <t>刚刚添加了Newcomen滚筒和全锅炉# justAdded</t>
  </si>
  <si>
    <t>4053.txt</t>
  </si>
  <si>
    <t>Stone with Endblock Marking</t>
  </si>
  <si>
    <t>带有端块标记的石头</t>
  </si>
  <si>
    <t>4054.txt</t>
  </si>
  <si>
    <t>Glasswort Ashes# dumped</t>
  </si>
  <si>
    <t>玻璃草灰烬# dumped</t>
  </si>
  <si>
    <t>4055.txt</t>
  </si>
  <si>
    <t>Copper Rod with Ingot</t>
  </si>
  <si>
    <t>带铸锭的铜棒</t>
  </si>
  <si>
    <t>4056.txt</t>
  </si>
  <si>
    <t>Bowl of Mutton</t>
  </si>
  <si>
    <t>一碗羊肉</t>
  </si>
  <si>
    <t>4057.txt</t>
  </si>
  <si>
    <t>Bowl of Minced Mutton</t>
  </si>
  <si>
    <t>碗羊肉碎</t>
  </si>
  <si>
    <t>4058.txt</t>
  </si>
  <si>
    <t>Lock $10</t>
  </si>
  <si>
    <t>锁定$10</t>
  </si>
  <si>
    <t>4059.txt</t>
  </si>
  <si>
    <t>Steel Pipe# removed</t>
  </si>
  <si>
    <t># removed</t>
  </si>
  <si>
    <t>4060.txt</t>
  </si>
  <si>
    <t>Weak Skewer Pile</t>
  </si>
  <si>
    <t>弱斜桩</t>
  </si>
  <si>
    <t>4062.txt</t>
  </si>
  <si>
    <t>Pile of Straight Branchs</t>
  </si>
  <si>
    <t>一堆直枝</t>
  </si>
  <si>
    <t>4063.txt</t>
  </si>
  <si>
    <t>Pile of Yew Branches</t>
  </si>
  <si>
    <t>紫杉树枝堆</t>
  </si>
  <si>
    <t>4064.txt</t>
  </si>
  <si>
    <t>Pile of Yew Shafts</t>
  </si>
  <si>
    <t>紫杉桩</t>
  </si>
  <si>
    <t>4065.txt</t>
  </si>
  <si>
    <t>Pile of Short Shafts</t>
  </si>
  <si>
    <t>短轴桩</t>
  </si>
  <si>
    <t>4066.txt</t>
  </si>
  <si>
    <t>Pile of Stakes</t>
  </si>
  <si>
    <t>桩</t>
  </si>
  <si>
    <t>4067.txt</t>
  </si>
  <si>
    <t>Pile of Dug Stumps</t>
  </si>
  <si>
    <t>Dug Stumps桩</t>
  </si>
  <si>
    <t>4068.txt</t>
  </si>
  <si>
    <t>Pile of Pine Needles</t>
  </si>
  <si>
    <t>松针堆</t>
  </si>
  <si>
    <t>4069.txt</t>
  </si>
  <si>
    <t>4070.txt</t>
  </si>
  <si>
    <t>Pile of Threshed Wheat</t>
  </si>
  <si>
    <t>麦穗堆</t>
  </si>
  <si>
    <t>4071.txt</t>
  </si>
  <si>
    <t>Pile of Shrimp</t>
  </si>
  <si>
    <t>一堆虾</t>
  </si>
  <si>
    <t>4072.txt</t>
  </si>
  <si>
    <t>Pile of Arctic Char</t>
  </si>
  <si>
    <t>北极木炭堆</t>
  </si>
  <si>
    <t>4073.txt</t>
  </si>
  <si>
    <t>Stack of Stone Blocks</t>
  </si>
  <si>
    <t>石块堆叠</t>
  </si>
  <si>
    <t>4074.txt</t>
  </si>
  <si>
    <t>Pile of Cut Stones</t>
  </si>
  <si>
    <t>琢石堆</t>
  </si>
  <si>
    <t>4075.txt</t>
  </si>
  <si>
    <t>Stack of Glass Bottles</t>
  </si>
  <si>
    <t>玻璃瓶堆叠</t>
  </si>
  <si>
    <t>4076.txt</t>
  </si>
  <si>
    <t>Stack of Sealed Glass Bottles</t>
  </si>
  <si>
    <t>一堆密封玻璃瓶</t>
  </si>
  <si>
    <t>4077.txt</t>
  </si>
  <si>
    <t>Stack of Steel Pipes</t>
  </si>
  <si>
    <t>钢管堆叠</t>
  </si>
  <si>
    <t>4078.txt</t>
  </si>
  <si>
    <t>Stack of Steel Rods</t>
  </si>
  <si>
    <t>钢筋堆放</t>
  </si>
  <si>
    <t>4079.txt</t>
  </si>
  <si>
    <t>Pile of Live Shrimp</t>
  </si>
  <si>
    <t>一堆活虾</t>
  </si>
  <si>
    <t>4081.txt</t>
  </si>
  <si>
    <t>Whole Milk Pouch# +drink +yum1463</t>
  </si>
  <si>
    <t>全脂牛奶袋# +drink +yum1463</t>
  </si>
  <si>
    <t>4082.txt</t>
  </si>
  <si>
    <t>Skim Milk Pouch# +drink +yum1481</t>
  </si>
  <si>
    <t>脱脂牛奶袋# +drink +yum1481</t>
  </si>
  <si>
    <t>4083.txt</t>
  </si>
  <si>
    <t>Turkey Broth Pouch# +drink +yum2198</t>
  </si>
  <si>
    <t>土耳其浓汤包# +drink +yum2198</t>
  </si>
  <si>
    <t>4084.txt</t>
  </si>
  <si>
    <t>Spoon of Ketchup</t>
  </si>
  <si>
    <t>一勺番茄酱</t>
  </si>
  <si>
    <t>4085.txt</t>
  </si>
  <si>
    <t>Well Site# justRegressed +tapoutTrigger,40,40,160,160</t>
  </si>
  <si>
    <t>井场# justRegressed +tapoutTrigger,40,40,160,160</t>
  </si>
  <si>
    <t>4086.txt</t>
  </si>
  <si>
    <t>Table with Wheat Dough</t>
  </si>
  <si>
    <t>小麦面团餐桌</t>
  </si>
  <si>
    <t>4087.txt</t>
  </si>
  <si>
    <t>Wheat Tortilla Table# justMade</t>
  </si>
  <si>
    <t>小麦卷餐桌# justMade</t>
  </si>
  <si>
    <t>4089.txt</t>
  </si>
  <si>
    <t>Wheat Tortilla Table</t>
  </si>
  <si>
    <t>小麦卷餐桌</t>
  </si>
  <si>
    <t>4090.txt</t>
  </si>
  <si>
    <t>Table with Masa Dough</t>
  </si>
  <si>
    <t>Masa面团餐桌</t>
  </si>
  <si>
    <t>4091.txt</t>
  </si>
  <si>
    <t>Corn Tortilla Table# justMade</t>
  </si>
  <si>
    <t>玉米卷餐桌# justMade</t>
  </si>
  <si>
    <t>4092.txt</t>
  </si>
  <si>
    <t>Corn Tortilla Table</t>
  </si>
  <si>
    <t>玉米卷餐桌</t>
  </si>
  <si>
    <t>4093.txt</t>
  </si>
  <si>
    <t>Empty Water Pouch Pile</t>
  </si>
  <si>
    <t>空水袋堆</t>
  </si>
  <si>
    <t>4094.txt</t>
  </si>
  <si>
    <t>Full Water Pouch Pile</t>
  </si>
  <si>
    <t>满水袋装桩</t>
  </si>
  <si>
    <t>4095.txt</t>
  </si>
  <si>
    <t>Full Salt Water Pouch Pile</t>
  </si>
  <si>
    <t>全盐水袋桩</t>
  </si>
  <si>
    <t>4096.txt</t>
  </si>
  <si>
    <t>Scrap Steel Pile</t>
  </si>
  <si>
    <t>废钢桩</t>
  </si>
  <si>
    <t>4097.txt</t>
  </si>
  <si>
    <t>Dirty Wool Pad Pile</t>
  </si>
  <si>
    <t>脏羊毛垫绒</t>
  </si>
  <si>
    <t>4098.txt</t>
  </si>
  <si>
    <t>Cut Glasswort Pile</t>
  </si>
  <si>
    <t>切割玻璃草桩</t>
  </si>
  <si>
    <t>4099.txt</t>
  </si>
  <si>
    <t>Dry Glasswort Pile</t>
  </si>
  <si>
    <t>干玻璃草堆</t>
  </si>
  <si>
    <t>4100.txt</t>
  </si>
  <si>
    <t>Dry Glasswort Pile# just dried</t>
  </si>
  <si>
    <t>干玻璃草堆# just dried</t>
  </si>
  <si>
    <t>4101.txt</t>
  </si>
  <si>
    <t>Empty Tank Stack</t>
  </si>
  <si>
    <t>空储罐烟囱</t>
  </si>
  <si>
    <t>4102.txt</t>
  </si>
  <si>
    <t>Huge Charcoal Pile</t>
  </si>
  <si>
    <t>巨大的木炭堆</t>
  </si>
  <si>
    <t>4103.txt</t>
  </si>
  <si>
    <t>Palm Kernel Pile</t>
  </si>
  <si>
    <t>棕榈仁堆</t>
  </si>
  <si>
    <t>4104.txt</t>
  </si>
  <si>
    <t>Crushed Palm Kernel Pile</t>
  </si>
  <si>
    <t>碎棕榈仁桩</t>
  </si>
  <si>
    <t>4106.txt</t>
  </si>
  <si>
    <t>Dumped Corn Kernels</t>
  </si>
  <si>
    <t>倾倒的玉米粒</t>
  </si>
  <si>
    <t>4107.txt</t>
  </si>
  <si>
    <t>Corn Kernel Pile</t>
  </si>
  <si>
    <t>玉米粒堆</t>
  </si>
  <si>
    <t>4108.txt</t>
  </si>
  <si>
    <t>Bucket of Wheat</t>
  </si>
  <si>
    <t>一桶小麦</t>
  </si>
  <si>
    <t>4109.txt</t>
  </si>
  <si>
    <t>Bucket of Wheat# dregs</t>
  </si>
  <si>
    <t>一桶麦渣# dregs</t>
  </si>
  <si>
    <t>4110.txt</t>
  </si>
  <si>
    <t>Bucket of Corn</t>
  </si>
  <si>
    <t>一桶玉米</t>
  </si>
  <si>
    <t>4111.txt</t>
  </si>
  <si>
    <t>Bucket of Corn# dregs</t>
  </si>
  <si>
    <t>一桶玉米渣# dregs</t>
  </si>
  <si>
    <t>4112.txt</t>
  </si>
  <si>
    <t>Bucket of Palm Kernels</t>
  </si>
  <si>
    <t>棕榈核桶</t>
  </si>
  <si>
    <t>4113.txt</t>
  </si>
  <si>
    <t>Bucket of Palm Kernels# dregs</t>
  </si>
  <si>
    <t>棕榈核# dregs</t>
  </si>
  <si>
    <t>4114.txt</t>
  </si>
  <si>
    <t>Bucket of Crushed Palm Kernels</t>
  </si>
  <si>
    <t>一桶碎棕榈核</t>
  </si>
  <si>
    <t>4115.txt</t>
  </si>
  <si>
    <t>Bucket of Crushed Palm Kernels# dregs</t>
  </si>
  <si>
    <t>一桶碎棕榈仁# dregs</t>
  </si>
  <si>
    <t>4116.txt</t>
  </si>
  <si>
    <t>@ Kernel Bucket</t>
  </si>
  <si>
    <t>4117.txt</t>
  </si>
  <si>
    <t>@ Kernel Bucket Dregs</t>
  </si>
  <si>
    <t>4118.txt</t>
  </si>
  <si>
    <t>@ Kernel Bowl</t>
  </si>
  <si>
    <t>4119.txt</t>
  </si>
  <si>
    <t>@ Kernel Pile</t>
  </si>
  <si>
    <t>4120.txt</t>
  </si>
  <si>
    <t>@ Kernel Pile Solo</t>
  </si>
  <si>
    <t>4121.txt</t>
  </si>
  <si>
    <t>@ Kernel Pile Solo just Dumped</t>
  </si>
  <si>
    <t>4122.txt</t>
  </si>
  <si>
    <t>Threshed Wheat# just Dumped</t>
  </si>
  <si>
    <t>刚刚倾倒的脱粒小麦# just Dumped</t>
  </si>
  <si>
    <t>4123.txt</t>
  </si>
  <si>
    <t>Dumped Corn Kernels# just Dumped</t>
  </si>
  <si>
    <t>倾倒的玉米粒# just Dumped</t>
  </si>
  <si>
    <t>4124.txt</t>
  </si>
  <si>
    <t>Dumped Crushed Palm Kernels# just Dumped</t>
  </si>
  <si>
    <t>倾倒的碎棕榈核# just Dumped</t>
  </si>
  <si>
    <t>4125.txt</t>
  </si>
  <si>
    <t>Dumped Palm Kernels# just dumped</t>
  </si>
  <si>
    <t>倾倒的棕榈核# just dumped</t>
  </si>
  <si>
    <t>4126.txt</t>
  </si>
  <si>
    <t>Spoon of Salsa</t>
  </si>
  <si>
    <t>勺萨尔萨</t>
  </si>
  <si>
    <t>4127.txt</t>
  </si>
  <si>
    <t>Dry Pond with Egg</t>
  </si>
  <si>
    <t>蛋干塘</t>
  </si>
  <si>
    <t>4128.txt</t>
  </si>
  <si>
    <t>Stack of Hot Steel Rods</t>
  </si>
  <si>
    <t>热钢条堆叠</t>
  </si>
  <si>
    <t>4131.txt</t>
  </si>
  <si>
    <t>Scrap Piston Head# +becomeUse6</t>
  </si>
  <si>
    <t>报废活塞头# +becomeUse6</t>
  </si>
  <si>
    <t>4132.txt</t>
  </si>
  <si>
    <t>Scrap Cylinder Head# +becomeUse5</t>
  </si>
  <si>
    <t>报废气缸盖# +becomeUse5</t>
  </si>
  <si>
    <t>4133.txt</t>
  </si>
  <si>
    <t>Scrap Cylinder Head# +becomeUse3</t>
  </si>
  <si>
    <t>报废气缸盖# +becomeUse3</t>
  </si>
  <si>
    <t>4134.txt</t>
  </si>
  <si>
    <t>Scrap Cylinder Head# +becomeUse2</t>
  </si>
  <si>
    <t>报废气缸盖# +becomeUse2</t>
  </si>
  <si>
    <t>4135.txt</t>
  </si>
  <si>
    <t>Scrap Nozzle# +becomeUse2</t>
  </si>
  <si>
    <t>废料喷嘴# +becomeUse2</t>
  </si>
  <si>
    <t>4136.txt</t>
  </si>
  <si>
    <t>Scrap Pump Valve# +becomeUse2</t>
  </si>
  <si>
    <t>废料泵阀# +becomeUse2</t>
  </si>
  <si>
    <t>4137.txt</t>
  </si>
  <si>
    <t>Scrap Piston Block# +becomeUse12</t>
  </si>
  <si>
    <t>报废活塞块# +becomeUse12</t>
  </si>
  <si>
    <t>4138.txt</t>
  </si>
  <si>
    <t>Scrap Crank Assembly# +becomeUse13</t>
  </si>
  <si>
    <t>报废曲柄组件# +becomeUse13</t>
  </si>
  <si>
    <t>4139.txt</t>
  </si>
  <si>
    <t>Scrap Drive Assembly# +becomeUse16</t>
  </si>
  <si>
    <t>报废驱动器组件# +becomeUse16</t>
  </si>
  <si>
    <t>4140.txt</t>
  </si>
  <si>
    <t>Box of Scrap Steel with Belt# just smashed</t>
  </si>
  <si>
    <t>一箱带# just smashed</t>
  </si>
  <si>
    <t>4141.txt</t>
  </si>
  <si>
    <t>Boards with Rope</t>
  </si>
  <si>
    <t>带绳索的木板</t>
  </si>
  <si>
    <t>4142.txt</t>
  </si>
  <si>
    <t>Big Stack of Boards with Rope</t>
  </si>
  <si>
    <t>一大堆带绳子的木板</t>
  </si>
  <si>
    <t>4143.txt</t>
  </si>
  <si>
    <t>Fence Gate# justMade +wall +causeAutoOrientH +blocksMoving +autoDefaultTrans +tapoutTrigger,1,1,2,1</t>
  </si>
  <si>
    <t>栅栏门# justMade +wall +causeAutoOrientH +blocksMoving +autoDefaultTrans +tapoutTrigger,1,1,2,1</t>
  </si>
  <si>
    <t>4144.txt</t>
  </si>
  <si>
    <t>Dug Potatoes</t>
  </si>
  <si>
    <t>4145.txt</t>
  </si>
  <si>
    <t>Iron Filings# justDumped</t>
  </si>
  <si>
    <t>铁屑# justDumped</t>
  </si>
  <si>
    <t>4146.txt</t>
  </si>
  <si>
    <t>Arctic Char# unskewered</t>
  </si>
  <si>
    <t>4147.txt</t>
  </si>
  <si>
    <t>Backpack with Bow</t>
  </si>
  <si>
    <t>蝴蝶结背包</t>
  </si>
  <si>
    <t>4148.txt</t>
  </si>
  <si>
    <t>Flat Rock# dough removed</t>
  </si>
  <si>
    <t>扁平岩石# dough removed</t>
  </si>
  <si>
    <t>4149.txt</t>
  </si>
  <si>
    <t>Empty Arrow Quiver with Bow</t>
  </si>
  <si>
    <t>弓空箭曲</t>
  </si>
  <si>
    <t>4151.txt</t>
  </si>
  <si>
    <t>Arrow Quiver with Bow</t>
  </si>
  <si>
    <t>带弓箭杖</t>
  </si>
  <si>
    <t>4152.txt</t>
  </si>
  <si>
    <t>@ Owner Gate Remover</t>
  </si>
  <si>
    <t>4153.txt</t>
  </si>
  <si>
    <t>Fence# +wall droppedShaft +causeAutoOrientH</t>
  </si>
  <si>
    <t>围栏# +wall droppedShaft +causeAutoOrientH</t>
  </si>
  <si>
    <t>4154.txt</t>
  </si>
  <si>
    <t>Hitching Post# +wall +causeAutoOrientH</t>
  </si>
  <si>
    <t>挂接柱# +wall +causeAutoOrientH</t>
  </si>
  <si>
    <t>4156.txt</t>
  </si>
  <si>
    <t>Hitching Post# +wall justMade +causeAutoOrientH</t>
  </si>
  <si>
    <t>挂接柱# +wall justMade +causeAutoOrientH</t>
  </si>
  <si>
    <t>4157.txt</t>
  </si>
  <si>
    <t>Fence# +wall +causeAutoOrient justTrimmed</t>
  </si>
  <si>
    <t>围栏# +wall +causeAutoOrient justTrimmed</t>
  </si>
  <si>
    <t>4158.txt</t>
  </si>
  <si>
    <t>Tire Pile</t>
  </si>
  <si>
    <t>轮胎桩</t>
  </si>
  <si>
    <t>4159.txt</t>
  </si>
  <si>
    <t>East West Track with Cart#movingEast reversed</t>
  </si>
  <si>
    <t>东西向轨道，车#movingEast reversed</t>
  </si>
  <si>
    <t>4160.txt</t>
  </si>
  <si>
    <t>East West Track with Cart#movingWest reversed</t>
  </si>
  <si>
    <t>东西向轨道，车#movingWest reversed</t>
  </si>
  <si>
    <t>4161.txt</t>
  </si>
  <si>
    <t>North South Track with Cart# moving North reversed</t>
  </si>
  <si>
    <t>北-南轨道，# moving North reversed</t>
  </si>
  <si>
    <t>4162.txt</t>
  </si>
  <si>
    <t>Cross Track with Cart# moving North reversed</t>
  </si>
  <si>
    <t>交叉轨道，车# moving North reversed</t>
  </si>
  <si>
    <t>4163.txt</t>
  </si>
  <si>
    <t>Track Door with Cart# moving North silent reversed</t>
  </si>
  <si>
    <t>轨道门，车# moving North silent reversed</t>
  </si>
  <si>
    <t>4164.txt</t>
  </si>
  <si>
    <t>North South Track with Cart# moving South reversed</t>
  </si>
  <si>
    <t>南北轨道，# moving South reversed</t>
  </si>
  <si>
    <t>4165.txt</t>
  </si>
  <si>
    <t>Cross Track with Cart# moving South reversed</t>
  </si>
  <si>
    <t>交叉轨道，车# moving South reversed</t>
  </si>
  <si>
    <t>4166.txt</t>
  </si>
  <si>
    <t>Track Door with Cart# moving South silent reversed</t>
  </si>
  <si>
    <t>轨道门，车# moving South silent reversed</t>
  </si>
  <si>
    <t>4167.txt</t>
  </si>
  <si>
    <t>South West Track with Cart# moving South reversed</t>
  </si>
  <si>
    <t>西南轨道，# moving South reversed</t>
  </si>
  <si>
    <t>4168.txt</t>
  </si>
  <si>
    <t>South West Track with Cart# moving West reversed</t>
  </si>
  <si>
    <t>西南轨道，# moving West reversed</t>
  </si>
  <si>
    <t>4169.txt</t>
  </si>
  <si>
    <t>North West Track with Cart# moving North reversed</t>
  </si>
  <si>
    <t>西北轨道，# moving North reversed</t>
  </si>
  <si>
    <t>4170.txt</t>
  </si>
  <si>
    <t>North West Track with Cart# moving West reversed</t>
  </si>
  <si>
    <t>西北轨道，# moving West reversed</t>
  </si>
  <si>
    <t>4171.txt</t>
  </si>
  <si>
    <t>North East Track with Cart# moving East reversed</t>
  </si>
  <si>
    <t>东北轨道，车# moving East reversed</t>
  </si>
  <si>
    <t>4172.txt</t>
  </si>
  <si>
    <t>North East Track with Cart# moving North reversed</t>
  </si>
  <si>
    <t>东北轨道，# moving North reversed</t>
  </si>
  <si>
    <t>4173.txt</t>
  </si>
  <si>
    <t>South East Track with Cart# moving East reversed</t>
  </si>
  <si>
    <t>东南轨道，车# moving East reversed</t>
  </si>
  <si>
    <t>4174.txt</t>
  </si>
  <si>
    <t>South East Track with Cart# moving South reversed</t>
  </si>
  <si>
    <t>东南轨道，# moving South reversed</t>
  </si>
  <si>
    <t>4175.txt</t>
  </si>
  <si>
    <t>@ Reversible Cart On Track</t>
  </si>
  <si>
    <t>4176.txt</t>
  </si>
  <si>
    <t>@ Reversed Cart On Track</t>
  </si>
  <si>
    <t>4177.txt</t>
  </si>
  <si>
    <t>@ Reversed Continue Cart On Track</t>
  </si>
  <si>
    <t>4178.txt</t>
  </si>
  <si>
    <t>Track Door with Cart# moving South reversed</t>
  </si>
  <si>
    <t>轨道门，# moving South reversed</t>
  </si>
  <si>
    <t>4179.txt</t>
  </si>
  <si>
    <t>Track Door with Cart# moving North reversed</t>
  </si>
  <si>
    <t>轨道门，车# moving North reversed</t>
  </si>
  <si>
    <t>4180.txt</t>
  </si>
  <si>
    <t>Cross Track with Cart#movingEast reversed</t>
  </si>
  <si>
    <t>4181.txt</t>
  </si>
  <si>
    <t>Cross Track with Cart#movingWest reversed</t>
  </si>
  <si>
    <t>4182.txt</t>
  </si>
  <si>
    <t>@ Carrot Pile Pattern</t>
  </si>
  <si>
    <t>4183.txt</t>
  </si>
  <si>
    <t>@ Carrot Pile Last Pattern</t>
  </si>
  <si>
    <t>4184.txt</t>
  </si>
  <si>
    <t>Starving Mouth# +offScreenSound_H</t>
  </si>
  <si>
    <t>饥饿的嘴# +offScreenSound_H</t>
  </si>
  <si>
    <t>4185.txt</t>
  </si>
  <si>
    <t>Pile of Straw</t>
  </si>
  <si>
    <t>稻草堆</t>
  </si>
  <si>
    <t>4186.txt</t>
  </si>
  <si>
    <t>Pile of Rubber Stoppers</t>
  </si>
  <si>
    <t>橡胶塞堆</t>
  </si>
  <si>
    <t>4187.txt</t>
  </si>
  <si>
    <t>Pile of Bone Needles</t>
  </si>
  <si>
    <t>骨针堆</t>
  </si>
  <si>
    <t>4188.txt</t>
  </si>
  <si>
    <t>Stack of Copper Rods</t>
  </si>
  <si>
    <t>铜棒堆叠</t>
  </si>
  <si>
    <t>4189.txt</t>
  </si>
  <si>
    <t>@ Any fence that renews corner</t>
  </si>
  <si>
    <t>4190.txt</t>
  </si>
  <si>
    <t>Hot Steel Blade Blank</t>
  </si>
  <si>
    <t>热钢叶片毛坯</t>
  </si>
  <si>
    <t>4191.txt</t>
  </si>
  <si>
    <t>Hot Steel Blade in Wooden Tongs# pickedUp</t>
  </si>
  <si>
    <t>木钳中的热钢刀# pickedUp</t>
  </si>
  <si>
    <t>4192.txt</t>
  </si>
  <si>
    <t>Hot Steel Blade Blank#flat rock setDown</t>
  </si>
  <si>
    <t>热钢刀坯#flat rock setDown</t>
  </si>
  <si>
    <t>4193.txt</t>
  </si>
  <si>
    <t>Copper Foil Pile</t>
  </si>
  <si>
    <t>铜箔桩</t>
  </si>
  <si>
    <t>4194.txt</t>
  </si>
  <si>
    <t>Domestic Goose with Egg</t>
  </si>
  <si>
    <t>4199.txt</t>
  </si>
  <si>
    <t>Box of Scrap Steel with Belt and Iron# just smashed</t>
  </si>
  <si>
    <t>刚刚打碎的一箱带皮带和铁的废钢# just smashed</t>
  </si>
  <si>
    <t>4200.txt</t>
  </si>
  <si>
    <t>Box of Scrap Steel with Belt</t>
  </si>
  <si>
    <t>带皮带的废钢箱</t>
  </si>
  <si>
    <t>4201.txt</t>
  </si>
  <si>
    <t>Adobe Rubble - Hungry Work# 3 +hungryWork10</t>
  </si>
  <si>
    <t>Adobe Rubble-饥饿工作# 3 +hungryWork10</t>
  </si>
  <si>
    <t>4202.txt</t>
  </si>
  <si>
    <t>Three Hunks of Adobe</t>
  </si>
  <si>
    <t>Adobe的三个版本</t>
  </si>
  <si>
    <t>4203.txt</t>
  </si>
  <si>
    <t>Southwestward Gradient Dry Spring</t>
  </si>
  <si>
    <t>西南梯度干泉</t>
  </si>
  <si>
    <t>4204.txt</t>
  </si>
  <si>
    <t>Northwestward Gradient Dry Spring</t>
  </si>
  <si>
    <t>西北梯度干泉</t>
  </si>
  <si>
    <t>4205.txt</t>
  </si>
  <si>
    <t>Southeastward Gradient Dry Spring</t>
  </si>
  <si>
    <t>东南梯度干泉</t>
  </si>
  <si>
    <t>4206.txt</t>
  </si>
  <si>
    <t>Northeastward Gradient Dry Spring</t>
  </si>
  <si>
    <t>东北梯度干泉</t>
  </si>
  <si>
    <t>4207.txt</t>
  </si>
  <si>
    <t>Southwestward Gradient Dry Tarry Spot</t>
  </si>
  <si>
    <t>西南梯度干焦油点</t>
  </si>
  <si>
    <t>4208.txt</t>
  </si>
  <si>
    <t>Northwestward Gradient Dry Tarry Spot</t>
  </si>
  <si>
    <t>西北梯度干焦油点</t>
  </si>
  <si>
    <t>4209.txt</t>
  </si>
  <si>
    <t>Southeastward Gradient Dry Tarry Spot</t>
  </si>
  <si>
    <t>东南梯度干焦油点</t>
  </si>
  <si>
    <t>4210.txt</t>
  </si>
  <si>
    <t>Northeastward Gradient Dry Tarry Spot</t>
  </si>
  <si>
    <t>东北梯度干焦油点</t>
  </si>
  <si>
    <t>4211.txt</t>
  </si>
  <si>
    <t>Feed Mash Bucket</t>
  </si>
  <si>
    <t>饲料泥桶</t>
  </si>
  <si>
    <t>4213.txt</t>
  </si>
  <si>
    <t>Fed Domestic Sheep</t>
  </si>
  <si>
    <t>饲养的家绵羊</t>
  </si>
  <si>
    <t>4214.txt</t>
  </si>
  <si>
    <t>Fed Domestic Sheep on Rope</t>
  </si>
  <si>
    <t>用绳子喂家羊</t>
  </si>
  <si>
    <t>4215.txt</t>
  </si>
  <si>
    <t>Fed Domestic Sheep# just unroped</t>
  </si>
  <si>
    <t>喂过的家养绵羊# just unroped</t>
  </si>
  <si>
    <t>4216.txt</t>
  </si>
  <si>
    <t>Fed Domestic Sheep# justFed</t>
  </si>
  <si>
    <t>饲养的家绵羊# justFed</t>
  </si>
  <si>
    <t>4217.txt</t>
  </si>
  <si>
    <t>Fed Domestic Pig</t>
  </si>
  <si>
    <t>饲养的家猪</t>
  </si>
  <si>
    <t>4218.txt</t>
  </si>
  <si>
    <t>Fed Domestic Pig# just Fed</t>
  </si>
  <si>
    <t>喂了家猪# just Fed</t>
  </si>
  <si>
    <t>4219.txt</t>
  </si>
  <si>
    <t>Fed Domestic Pig# just unroped</t>
  </si>
  <si>
    <t>喂饱的家猪# just unroped</t>
  </si>
  <si>
    <t>4220.txt</t>
  </si>
  <si>
    <t>Fed Domestic Pig on Rope</t>
  </si>
  <si>
    <t>用绳子喂家猪</t>
  </si>
  <si>
    <t>4221.txt</t>
  </si>
  <si>
    <t>Wild Cucumber Plant</t>
  </si>
  <si>
    <t>野生黄瓜植物</t>
  </si>
  <si>
    <t>4222.txt</t>
  </si>
  <si>
    <t>Empty Wild Cucumber Plant</t>
  </si>
  <si>
    <t>空的野生黄瓜植株</t>
  </si>
  <si>
    <t>4223.txt</t>
  </si>
  <si>
    <t>Wild Cucumber</t>
  </si>
  <si>
    <t>野生黄瓜</t>
  </si>
  <si>
    <t>4224.txt</t>
  </si>
  <si>
    <t>Cucumber Seeds</t>
  </si>
  <si>
    <t>黄瓜种子</t>
  </si>
  <si>
    <t>4225.txt</t>
  </si>
  <si>
    <t>Dry Planted Cucumber Seeds</t>
  </si>
  <si>
    <t>干栽黄瓜种子</t>
  </si>
  <si>
    <t>4226.txt</t>
  </si>
  <si>
    <t>Wet Planted Cucumber Seeds</t>
  </si>
  <si>
    <t>湿栽黄瓜种子</t>
  </si>
  <si>
    <t>4234.txt</t>
  </si>
  <si>
    <t>Bowl of Cucumber Seeds</t>
  </si>
  <si>
    <t>一碗黃瓜種子</t>
  </si>
  <si>
    <t>碗黄瓜籽</t>
  </si>
  <si>
    <t>Чаша з насінням огірків</t>
  </si>
  <si>
    <t>4242.txt</t>
  </si>
  <si>
    <t>Dill Seed Head</t>
  </si>
  <si>
    <t>蒔蘿種子</t>
  </si>
  <si>
    <t>Dill种子头</t>
  </si>
  <si>
    <t>Голова насіння кропу</t>
  </si>
  <si>
    <t>4243.txt</t>
  </si>
  <si>
    <t>Bowl of Dill Seeds</t>
  </si>
  <si>
    <t>一碗蒔蘿種子</t>
  </si>
  <si>
    <t>一碗Dill Seeds</t>
  </si>
  <si>
    <t>Чаша з насінням кропу</t>
  </si>
  <si>
    <t>4316.txt</t>
  </si>
  <si>
    <t>Full Bowl of Ground Pepper</t>
  </si>
  <si>
    <t>滿滿一碗胡椒粉</t>
  </si>
  <si>
    <t>满碗胡椒粉</t>
  </si>
  <si>
    <t>Повна миска меленого перцю</t>
  </si>
  <si>
    <t>4317.txt</t>
  </si>
  <si>
    <t>Full Bowl of Ground Pepper# just ground</t>
  </si>
  <si>
    <t>滿滿一碗胡椒粉# just ground</t>
  </si>
  <si>
    <t>整碗磨碎的辣椒# just ground</t>
  </si>
  <si>
    <t>Повна миска меленого перцю # just ground</t>
  </si>
  <si>
    <t>4318.txt</t>
  </si>
  <si>
    <t>Sealed Ground Pepper Bottle</t>
  </si>
  <si>
    <t>密封胡椒瓶</t>
  </si>
  <si>
    <t>密封研磨胡椒瓶</t>
  </si>
  <si>
    <t>Герметична пляшка з меленим перцем</t>
  </si>
  <si>
    <t>4320.txt</t>
  </si>
  <si>
    <t>Ground Pepper Bottle with Funnel</t>
  </si>
  <si>
    <t>胡椒粉漏斗瓶</t>
  </si>
  <si>
    <t>4321.txt</t>
  </si>
  <si>
    <t>Ground Pepper Bottle with Funnel# inserted</t>
  </si>
  <si>
    <t>磨碎的胡椒瓶，插入漏斗# inserted</t>
  </si>
  <si>
    <t>4322.txt</t>
  </si>
  <si>
    <t>Ground Pepper Bottle</t>
  </si>
  <si>
    <t>胡椒粉瓶</t>
  </si>
  <si>
    <t>4323.txt</t>
  </si>
  <si>
    <t>Ground Pepper Bottle# just poured</t>
  </si>
  <si>
    <t>胡椒粉瓶# just poured</t>
  </si>
  <si>
    <t>磨碎的胡椒瓶# just poured</t>
  </si>
  <si>
    <t xml:space="preserve">Пляшка з меленим перцем  </t>
  </si>
  <si>
    <t>4336.txt</t>
  </si>
  <si>
    <t>Full Bowl of Dry Rub</t>
  </si>
  <si>
    <t>滿碗乾擦</t>
  </si>
  <si>
    <t>满碗干擦</t>
  </si>
  <si>
    <t>Повна миска сухого натирання</t>
  </si>
  <si>
    <t>4337.txt</t>
  </si>
  <si>
    <t>Bowl of Dry Rub</t>
  </si>
  <si>
    <t>一碗乾擦</t>
  </si>
  <si>
    <t>干擦碗</t>
  </si>
  <si>
    <t>Чаша сухого руба</t>
  </si>
  <si>
    <t>4339.txt</t>
  </si>
  <si>
    <t>Sealed Dry Rub Bottle</t>
  </si>
  <si>
    <t>密封乾擦瓶</t>
  </si>
  <si>
    <t>密封干擦瓶</t>
  </si>
  <si>
    <t>Герметична пляшка для сухого розтирання</t>
  </si>
  <si>
    <t>4340.txt</t>
  </si>
  <si>
    <t>Dry Rub Bottle with Funnel</t>
  </si>
  <si>
    <t>带漏斗的干擦瓶</t>
  </si>
  <si>
    <t>4341.txt</t>
  </si>
  <si>
    <t>Dry Rub Bottle with Funnel# inserted</t>
  </si>
  <si>
    <t>4342.txt</t>
  </si>
  <si>
    <t>Dry Rub Bottle</t>
  </si>
  <si>
    <t>干擦瓶</t>
  </si>
  <si>
    <t>4343.txt</t>
  </si>
  <si>
    <t>Dry Rub Bottle# just poured</t>
  </si>
  <si>
    <t>乾擦瓶# just poured</t>
  </si>
  <si>
    <t>刚倒的干擦瓶# just poured</t>
  </si>
  <si>
    <t>4350.txt</t>
  </si>
  <si>
    <t>Single Gold Coin</t>
  </si>
  <si>
    <t>单个金币</t>
  </si>
  <si>
    <t>4351.txt</t>
  </si>
  <si>
    <t>Gold Coins (2)</t>
  </si>
  <si>
    <t>金币（2）</t>
  </si>
  <si>
    <t>4352.txt</t>
  </si>
  <si>
    <t>Gold Coins (3)</t>
  </si>
  <si>
    <t>金币（3）</t>
  </si>
  <si>
    <t>4353.txt</t>
  </si>
  <si>
    <t>Bowl of Gold Coins</t>
  </si>
  <si>
    <t>一碗金币</t>
  </si>
  <si>
    <t>4365.txt</t>
  </si>
  <si>
    <t>Pile of Coins (6)</t>
  </si>
  <si>
    <t>硬币堆（6）</t>
  </si>
  <si>
    <t>4366.txt</t>
  </si>
  <si>
    <t>Pile of Coins (9)</t>
  </si>
  <si>
    <t>硬币堆（9）</t>
  </si>
  <si>
    <t>4367.txt</t>
  </si>
  <si>
    <t>Pile of Coins (12)</t>
  </si>
  <si>
    <t>硬币堆（12）</t>
  </si>
  <si>
    <t>4368.txt</t>
  </si>
  <si>
    <t>Pile of Coins (15)</t>
  </si>
  <si>
    <t>硬币堆（15）</t>
  </si>
  <si>
    <t>4389.txt</t>
  </si>
  <si>
    <t>Pile of Wheat Sheaves</t>
  </si>
  <si>
    <t>一堆小麥捆</t>
  </si>
  <si>
    <t>一堆小麦穗</t>
  </si>
  <si>
    <t>Купа пшеничних снопів</t>
  </si>
  <si>
    <t>4406.txt</t>
  </si>
  <si>
    <t>Stump #drilled</t>
  </si>
  <si>
    <t>树桩#drilled</t>
  </si>
  <si>
    <t>4414.txt</t>
  </si>
  <si>
    <t>Cairn</t>
  </si>
  <si>
    <t>凯恩</t>
  </si>
  <si>
    <t>4415.txt</t>
  </si>
  <si>
    <t>Shrine #A</t>
  </si>
  <si>
    <t>神社#A</t>
  </si>
  <si>
    <t>4416.txt</t>
  </si>
  <si>
    <t>Shrine #A one carrot</t>
  </si>
  <si>
    <t>神社#A one carrot</t>
  </si>
  <si>
    <t>4417.txt</t>
  </si>
  <si>
    <t>Shrine #A two carrots</t>
  </si>
  <si>
    <t>神社#A two carrots</t>
  </si>
  <si>
    <t>4418.txt</t>
  </si>
  <si>
    <t>Shrine #A three carrots</t>
  </si>
  <si>
    <t>神社#A three carrots</t>
  </si>
  <si>
    <t>4419.txt</t>
  </si>
  <si>
    <t>Blessed Shrine #A</t>
  </si>
  <si>
    <t>圣祠#A</t>
  </si>
  <si>
    <t>4420.txt</t>
  </si>
  <si>
    <t>Blessed Shrine #A six coins</t>
  </si>
  <si>
    <t>圣祠#A six coins</t>
  </si>
  <si>
    <t>4421.txt</t>
  </si>
  <si>
    <t>Blessed Shrine #A with bridle</t>
  </si>
  <si>
    <t>带缰绳的圣母院#A with bridle</t>
  </si>
  <si>
    <t>4422.txt</t>
  </si>
  <si>
    <t>Neglected Shrine #A1</t>
  </si>
  <si>
    <t>被忽视的神社#A1</t>
  </si>
  <si>
    <t>4423.txt</t>
  </si>
  <si>
    <t>Fallen Shrine #A</t>
  </si>
  <si>
    <t>堕落神殿#A</t>
  </si>
  <si>
    <t>4424.txt</t>
  </si>
  <si>
    <t>Cursed Shrine</t>
  </si>
  <si>
    <t>诅咒神殿</t>
  </si>
  <si>
    <t>4425.txt</t>
  </si>
  <si>
    <t>Blessed Shrine #A one pie</t>
  </si>
  <si>
    <t>圣母玛利亚#A one pie</t>
  </si>
  <si>
    <t>4426.txt</t>
  </si>
  <si>
    <t>Blessed Shrine #A two pies</t>
  </si>
  <si>
    <t>圣祠#A two pies</t>
  </si>
  <si>
    <t>4427.txt</t>
  </si>
  <si>
    <t>Blessed Shrine #A three pies</t>
  </si>
  <si>
    <t>圣祠#A three pies</t>
  </si>
  <si>
    <t>4428.txt</t>
  </si>
  <si>
    <t>Blessed Shrine #A with cocoon</t>
  </si>
  <si>
    <t>有茧的A神社#A with cocoon</t>
  </si>
  <si>
    <t>4429.txt</t>
  </si>
  <si>
    <t>Neglected Shrine #A2</t>
  </si>
  <si>
    <t>被忽视的神社#A2</t>
  </si>
  <si>
    <t>4430.txt</t>
  </si>
  <si>
    <t>Celebrated Shrine #A</t>
  </si>
  <si>
    <t>著名神社#A</t>
  </si>
  <si>
    <t>4431.txt</t>
  </si>
  <si>
    <t>Dromedary</t>
  </si>
  <si>
    <t>单峰骆驼</t>
  </si>
  <si>
    <t>4432.txt</t>
  </si>
  <si>
    <t>Celebrated Shrine #A with camel</t>
  </si>
  <si>
    <t>与骆驼一起庆祝的神社#A with camel</t>
  </si>
  <si>
    <t>4435.txt</t>
  </si>
  <si>
    <t>(outdated) Silk Cocoons</t>
  </si>
  <si>
    <t>（过时的）一堆蚕茧</t>
  </si>
  <si>
    <t>4436.txt</t>
  </si>
  <si>
    <t>Bolt of Silk Cloth</t>
  </si>
  <si>
    <t>丝布螺栓</t>
  </si>
  <si>
    <t>4437.txt</t>
  </si>
  <si>
    <t>Gravel</t>
  </si>
  <si>
    <t>沙砾</t>
  </si>
  <si>
    <t>Гравій</t>
  </si>
  <si>
    <t>4438.txt</t>
  </si>
  <si>
    <t>Tent Wall# +useOnContained</t>
  </si>
  <si>
    <t>帐篷墙# +useOnContained</t>
  </si>
  <si>
    <t>4439.txt</t>
  </si>
  <si>
    <t>Tent Wall Corner</t>
  </si>
  <si>
    <t>帐篷墙角</t>
  </si>
  <si>
    <t>4440.txt</t>
  </si>
  <si>
    <t>Tent Wall #vertical</t>
  </si>
  <si>
    <t>帐篷墙#vertical</t>
  </si>
  <si>
    <t>4442.txt</t>
  </si>
  <si>
    <t>Tent Door #closed</t>
  </si>
  <si>
    <t>帐篷门#closed</t>
  </si>
  <si>
    <t>4443.txt</t>
  </si>
  <si>
    <t>Tent Door #open</t>
  </si>
  <si>
    <t>帐篷门#open</t>
  </si>
  <si>
    <t>4445.txt</t>
  </si>
  <si>
    <t>Caravan Yoke</t>
  </si>
  <si>
    <t>大篷车轭</t>
  </si>
  <si>
    <t>4446.txt</t>
  </si>
  <si>
    <t>Cargo Crate</t>
  </si>
  <si>
    <t>货物板条箱</t>
  </si>
  <si>
    <t>4447.txt</t>
  </si>
  <si>
    <t>Cocooned Shaft</t>
  </si>
  <si>
    <t>茧轴</t>
  </si>
  <si>
    <t>4448.txt</t>
  </si>
  <si>
    <t>(outdated) Bridle</t>
  </si>
  <si>
    <t>（过时的）缰绳</t>
  </si>
  <si>
    <t>4449.txt</t>
  </si>
  <si>
    <t>Celebrated Shrine #A two crowns</t>
  </si>
  <si>
    <t>著名神社#A two crowns</t>
  </si>
  <si>
    <t>4450.txt</t>
  </si>
  <si>
    <t>Celebrated Shrine #A three crowns</t>
  </si>
  <si>
    <t>圣祠#A three crowns</t>
  </si>
  <si>
    <t>4451.txt</t>
  </si>
  <si>
    <t>White Silk Roll Tied</t>
  </si>
  <si>
    <t>白丝卷扎</t>
  </si>
  <si>
    <t>4452.txt</t>
  </si>
  <si>
    <t>(outdated) Silk Farm</t>
  </si>
  <si>
    <t>（过时的）蚕茧农场</t>
  </si>
  <si>
    <t>4453.txt</t>
  </si>
  <si>
    <t>(outdated) Mature Silk Farm</t>
  </si>
  <si>
    <t>(过时的）成熟的蚕茧农场</t>
  </si>
  <si>
    <t>4454.txt</t>
  </si>
  <si>
    <t>Maple Sapling</t>
  </si>
  <si>
    <t>枫叶</t>
  </si>
  <si>
    <t>4455.txt</t>
  </si>
  <si>
    <t>Juniper Sapling</t>
  </si>
  <si>
    <t>4456.txt</t>
  </si>
  <si>
    <t>Pine Sapling</t>
  </si>
  <si>
    <t>松树苗</t>
  </si>
  <si>
    <t>4457.txt</t>
  </si>
  <si>
    <t>Yew Sapling</t>
  </si>
  <si>
    <t>紫杉</t>
  </si>
  <si>
    <t>4458.txt</t>
  </si>
  <si>
    <t>Caravan Dromedary #leading</t>
  </si>
  <si>
    <t>大篷车Dromedary#leading</t>
  </si>
  <si>
    <t>4459.txt</t>
  </si>
  <si>
    <t>Caravan Dromedary #stopped</t>
  </si>
  <si>
    <t>房车Dromedary#stopped</t>
  </si>
  <si>
    <t>4460.txt</t>
  </si>
  <si>
    <t>Caravan Dromedary #riding</t>
  </si>
  <si>
    <t>大篷车Dromedary#riding</t>
  </si>
  <si>
    <t>4461.txt</t>
  </si>
  <si>
    <t>Dromedary #leading</t>
  </si>
  <si>
    <t>Dromedary#leading</t>
  </si>
  <si>
    <t>4462.txt</t>
  </si>
  <si>
    <t>Hitched Dromedary</t>
  </si>
  <si>
    <t>挂接Dromedary</t>
  </si>
  <si>
    <t>4463.txt</t>
  </si>
  <si>
    <t>Hitched Caravan Dromedary #riding</t>
  </si>
  <si>
    <t>搭便车的大篷车Dromedary#riding</t>
  </si>
  <si>
    <t>4464.txt</t>
  </si>
  <si>
    <t>(outdated) Silk Robes</t>
  </si>
  <si>
    <t>丝制长袍</t>
  </si>
  <si>
    <t>4468.txt</t>
  </si>
  <si>
    <t>Bolts of Silk Cloth #2</t>
  </si>
  <si>
    <t>丝布螺栓#2</t>
  </si>
  <si>
    <t>4469.txt</t>
  </si>
  <si>
    <t>Bolts of Silk Cloth #3</t>
  </si>
  <si>
    <t>丝布螺栓#3</t>
  </si>
  <si>
    <t>4470.txt</t>
  </si>
  <si>
    <t>(outdated) Empty Creamery</t>
  </si>
  <si>
    <t>（过时的）空的奶油碗</t>
  </si>
  <si>
    <t>4471.txt</t>
  </si>
  <si>
    <t>(outdated) Milky Creamery</t>
  </si>
  <si>
    <t>（过时的）有奶的奶油碗</t>
  </si>
  <si>
    <t>4472.txt</t>
  </si>
  <si>
    <t>(outdated) Cultured Creamery</t>
  </si>
  <si>
    <t>（过时的）凝结中的奶油碗</t>
  </si>
  <si>
    <t>4473.txt</t>
  </si>
  <si>
    <t>(outdated) Unripe Creamery</t>
  </si>
  <si>
    <t>（过时的）未到时间的奶油碗</t>
  </si>
  <si>
    <t>4474.txt</t>
  </si>
  <si>
    <t>(outdated) Ripe Creamery</t>
  </si>
  <si>
    <t>（过时的）到时间的奶油碗</t>
  </si>
  <si>
    <t>4475.txt</t>
  </si>
  <si>
    <t>Bowl of Rennet</t>
  </si>
  <si>
    <t>一碗凝乳酶</t>
  </si>
  <si>
    <t>4476.txt</t>
  </si>
  <si>
    <t>Raw Flatbread</t>
  </si>
  <si>
    <t>生扁平面包</t>
  </si>
  <si>
    <t>4477.txt</t>
  </si>
  <si>
    <t>Baked Flatbread</t>
  </si>
  <si>
    <t>烤扁平面包</t>
  </si>
  <si>
    <t>4478.txt</t>
  </si>
  <si>
    <t>Baked Flatbread Stack</t>
  </si>
  <si>
    <t>一堆烤扁平面包</t>
  </si>
  <si>
    <t>4479.txt</t>
  </si>
  <si>
    <t>Cheese Sandwich</t>
  </si>
  <si>
    <t>奶酪三明治</t>
  </si>
  <si>
    <t>4480.txt</t>
  </si>
  <si>
    <t>Cheesy Mutton Sandwich</t>
  </si>
  <si>
    <t>芝士羊肉三明治</t>
  </si>
  <si>
    <t>4481.txt</t>
  </si>
  <si>
    <t>(outdated) Ripe Cheese Wheel</t>
  </si>
  <si>
    <t>（过时的）到时间的车轮奶酪</t>
  </si>
  <si>
    <t>4482.txt</t>
  </si>
  <si>
    <t>(outdated) Ripe Cheese Wheel #1</t>
  </si>
  <si>
    <t>（过时的）到时间的车轮奶酪#1</t>
  </si>
  <si>
    <t>4483.txt</t>
  </si>
  <si>
    <t>(outdated) Ripe Cheese Wheel #2</t>
  </si>
  <si>
    <t>（过时的）到时间的车轮奶酪#2</t>
  </si>
  <si>
    <t>4484.txt</t>
  </si>
  <si>
    <t>(outdated) Ripe Cheese Wheel #3</t>
  </si>
  <si>
    <t>（过时的）到时间的车轮奶酪#3</t>
  </si>
  <si>
    <t>4485.txt</t>
  </si>
  <si>
    <t>(outdated) Sliced Cheese Wedges</t>
  </si>
  <si>
    <t>（过时的）一些切成三角形的奶酪</t>
  </si>
  <si>
    <t>4486.txt</t>
  </si>
  <si>
    <t>(outdated) Ripe Cheese Wheel #1A</t>
  </si>
  <si>
    <t>（过时的）到时间的车轮奶酪#1A</t>
  </si>
  <si>
    <t>4487.txt</t>
  </si>
  <si>
    <t>(outdated) Ripe Cheese Wheel #2A</t>
  </si>
  <si>
    <t>（过时的）到时间的车轮奶酪#2A</t>
  </si>
  <si>
    <t>4488.txt</t>
  </si>
  <si>
    <t>(outdated) Ripe Cheese Wheel #3A</t>
  </si>
  <si>
    <t>（过时的）到时间的车轮奶酪#3A</t>
  </si>
  <si>
    <t>4489.txt</t>
  </si>
  <si>
    <t>Hitched Caravan Dromedary #stopped</t>
  </si>
  <si>
    <t>拉着货的骆驼#stopped</t>
  </si>
  <si>
    <t>4490.txt</t>
  </si>
  <si>
    <t>Cheesy Mutton Sandwich - 2</t>
  </si>
  <si>
    <t>芝士羊肉三明治-2</t>
  </si>
  <si>
    <t>4491.txt</t>
  </si>
  <si>
    <t>Cheesy Mutton Sandwich - 3</t>
  </si>
  <si>
    <t>芝士羊肉三明治-3</t>
  </si>
  <si>
    <t>4492.txt</t>
  </si>
  <si>
    <t>Cheesy Mutton Sandwich - 4</t>
  </si>
  <si>
    <t>芝士羊肉三明治-4</t>
  </si>
  <si>
    <t>4493.txt</t>
  </si>
  <si>
    <t>Cheesy Mutton Sandwich - 5</t>
  </si>
  <si>
    <t>芝士羊肉三明治-5</t>
  </si>
  <si>
    <t>4494.txt</t>
  </si>
  <si>
    <t>Cheese Sandwich - 2</t>
  </si>
  <si>
    <t>奶酪三明治-2</t>
  </si>
  <si>
    <t>4495.txt</t>
  </si>
  <si>
    <t>Cheese Wedge</t>
  </si>
  <si>
    <t>奶酪楔</t>
  </si>
  <si>
    <t>4496.txt</t>
  </si>
  <si>
    <t>Wet Clay Bowl of Clay</t>
  </si>
  <si>
    <t>湿粘土碗</t>
  </si>
  <si>
    <t>4497.txt</t>
  </si>
  <si>
    <t>Milk Bucket</t>
  </si>
  <si>
    <t>牛奶桶</t>
  </si>
  <si>
    <t>4498.txt</t>
  </si>
  <si>
    <t>(outdated) Unripe Cheese Wheel</t>
  </si>
  <si>
    <t>（过时的）未到时间的车轮奶酪</t>
  </si>
  <si>
    <t>4499.txt</t>
  </si>
  <si>
    <t>Dromedary #fed</t>
  </si>
  <si>
    <t>D骆驼#fed</t>
  </si>
  <si>
    <t>4500.txt</t>
  </si>
  <si>
    <t>Dough on Flat Rock</t>
  </si>
  <si>
    <t>平石面团</t>
  </si>
  <si>
    <t>4501.txt</t>
  </si>
  <si>
    <t>Raw Flatbread on Flat Rock</t>
  </si>
  <si>
    <t>平石生扁平面包</t>
  </si>
  <si>
    <t>4502.txt</t>
  </si>
  <si>
    <t>(outdated) Concrete Floor# groundOnly</t>
  </si>
  <si>
    <t>（过时的）混凝土地板# groundOnly</t>
  </si>
  <si>
    <t>4503.txt</t>
  </si>
  <si>
    <t>Secure Fence</t>
  </si>
  <si>
    <t>安全围栏</t>
  </si>
  <si>
    <t>4504.txt</t>
  </si>
  <si>
    <t>4510.txt</t>
  </si>
  <si>
    <t>Trellis #netting</t>
  </si>
  <si>
    <t>架子#netting</t>
  </si>
  <si>
    <t>4511.txt</t>
  </si>
  <si>
    <t>Trellis</t>
  </si>
  <si>
    <t>4512.txt</t>
  </si>
  <si>
    <t>Sign Panel</t>
  </si>
  <si>
    <t>标志面板</t>
  </si>
  <si>
    <t>4514.txt</t>
  </si>
  <si>
    <t>Wet Planted Hops</t>
  </si>
  <si>
    <t>湿植啤酒花</t>
  </si>
  <si>
    <t>4515.txt</t>
  </si>
  <si>
    <t>Dry Planted Hops</t>
  </si>
  <si>
    <t>旱地啤酒花</t>
  </si>
  <si>
    <t>4516.txt</t>
  </si>
  <si>
    <t>Empty Trellis Plot#fertile</t>
  </si>
  <si>
    <t>空格子地块#fertile</t>
  </si>
  <si>
    <t>4517.txt</t>
  </si>
  <si>
    <t>Hops#1</t>
  </si>
  <si>
    <t>啤酒花#1</t>
  </si>
  <si>
    <t>4518.txt</t>
  </si>
  <si>
    <t>Hops#2</t>
  </si>
  <si>
    <t>啤酒花#2</t>
  </si>
  <si>
    <t>4522.txt</t>
  </si>
  <si>
    <t>Hops#3</t>
  </si>
  <si>
    <t>啤酒花#3</t>
  </si>
  <si>
    <t>4523.txt</t>
  </si>
  <si>
    <t>Fruiting Hops#4</t>
  </si>
  <si>
    <t>4号果穗#4</t>
  </si>
  <si>
    <t>4527.txt</t>
  </si>
  <si>
    <t>Firing Distillery</t>
  </si>
  <si>
    <t>烧制酒厂</t>
  </si>
  <si>
    <t>4530.txt</t>
  </si>
  <si>
    <t>Distillery with Mash #firewood1</t>
  </si>
  <si>
    <t>带泥的酒厂#firewood1</t>
  </si>
  <si>
    <t>4531.txt</t>
  </si>
  <si>
    <t>Distillery with Mash #firewood2</t>
  </si>
  <si>
    <t>带泥的酒厂#firewood2</t>
  </si>
  <si>
    <t>4532.txt</t>
  </si>
  <si>
    <t>Distillery with Mash</t>
  </si>
  <si>
    <t>带泥的酿酒厂</t>
  </si>
  <si>
    <t>4533.txt</t>
  </si>
  <si>
    <t>Distillery #empty</t>
  </si>
  <si>
    <t>酒厂#empty</t>
  </si>
  <si>
    <t>4534.txt</t>
  </si>
  <si>
    <t>Distillery #full</t>
  </si>
  <si>
    <t>酒厂#full</t>
  </si>
  <si>
    <t>4535.txt</t>
  </si>
  <si>
    <t>Primitive Table</t>
  </si>
  <si>
    <t>基元表</t>
  </si>
  <si>
    <t>4537.txt</t>
  </si>
  <si>
    <t>(outdated) Bowl of Sand</t>
  </si>
  <si>
    <t>（过时的）一碗沙子</t>
  </si>
  <si>
    <t>4538.txt</t>
  </si>
  <si>
    <t>Glass Jar</t>
  </si>
  <si>
    <t>玻璃罐</t>
  </si>
  <si>
    <t>4539.txt</t>
  </si>
  <si>
    <t>Copper Plate</t>
  </si>
  <si>
    <t>铜板</t>
  </si>
  <si>
    <t>4541.txt</t>
  </si>
  <si>
    <t>Hot Copper Ingot</t>
  </si>
  <si>
    <t>热铜锭</t>
  </si>
  <si>
    <t>4542.txt</t>
  </si>
  <si>
    <t>Native Copper Ore</t>
  </si>
  <si>
    <t>原生铜矿</t>
  </si>
  <si>
    <t>4543.txt</t>
  </si>
  <si>
    <t>Copper Plates #2</t>
  </si>
  <si>
    <t>铜板#2</t>
  </si>
  <si>
    <t>4544.txt</t>
  </si>
  <si>
    <t>Copper Plates #3</t>
  </si>
  <si>
    <t>铜板#3</t>
  </si>
  <si>
    <t>4545.txt</t>
  </si>
  <si>
    <t>Copper Plates #4</t>
  </si>
  <si>
    <t>4号铜板#4</t>
  </si>
  <si>
    <t>4546.txt</t>
  </si>
  <si>
    <t>Mason Jar</t>
  </si>
  <si>
    <t>4548.txt</t>
  </si>
  <si>
    <t>Jar Mold</t>
  </si>
  <si>
    <t>罐子模具</t>
  </si>
  <si>
    <t>4557.txt</t>
  </si>
  <si>
    <t>Mason Jar of Beer# +noFeeding +emotEat_6_10 +alcohol5</t>
  </si>
  <si>
    <t>梅森啤酒罐# +noFeeding +emotEat_6_10 +alcohol5</t>
  </si>
  <si>
    <t>4558.txt</t>
  </si>
  <si>
    <t>Half Jar of Beer# +noFeeding +emotEat_6_10 +alcohol5</t>
  </si>
  <si>
    <t>半罐啤酒# +noFeeding +emotEat_6_10 +alcohol5</t>
  </si>
  <si>
    <t>4561.txt</t>
  </si>
  <si>
    <t>Bowl of Hops</t>
  </si>
  <si>
    <t>啤酒花碗</t>
  </si>
  <si>
    <t>4563.txt</t>
  </si>
  <si>
    <t>Hops Fruit</t>
  </si>
  <si>
    <t>啤酒花果</t>
  </si>
  <si>
    <t>4564.txt</t>
  </si>
  <si>
    <t>Fruiting Hops#3</t>
  </si>
  <si>
    <t>正在结果实的啤酒花#3</t>
  </si>
  <si>
    <t>4565.txt</t>
  </si>
  <si>
    <t>Fruiting Hops#2</t>
  </si>
  <si>
    <t>正在结果实的啤酒花#2</t>
  </si>
  <si>
    <t>4566.txt</t>
  </si>
  <si>
    <t>Fruiting Hops#1</t>
  </si>
  <si>
    <t>结果啤酒花#1</t>
  </si>
  <si>
    <t>4567.txt</t>
  </si>
  <si>
    <t>Honeybee</t>
  </si>
  <si>
    <t>蜜蜂</t>
  </si>
  <si>
    <t>4568.txt</t>
  </si>
  <si>
    <t>Flowering Milkweed#bee</t>
  </si>
  <si>
    <t>开花Milkweed#bee</t>
  </si>
  <si>
    <t>4569.txt</t>
  </si>
  <si>
    <t>Honeybee#nectar</t>
  </si>
  <si>
    <t>蜜蜂#nectar</t>
  </si>
  <si>
    <t>4570.txt</t>
  </si>
  <si>
    <t>(outdated) Bee Box</t>
  </si>
  <si>
    <t>4571.txt</t>
  </si>
  <si>
    <t>(outdated) Platform</t>
  </si>
  <si>
    <t>4572.txt</t>
  </si>
  <si>
    <t>(outdated) Domestic Hive #1A</t>
  </si>
  <si>
    <t>#1A</t>
  </si>
  <si>
    <t>4573.txt</t>
  </si>
  <si>
    <t>(outdated) Domestic Hive #2A</t>
  </si>
  <si>
    <t>#2A</t>
  </si>
  <si>
    <t>4574.txt</t>
  </si>
  <si>
    <t>(outdated) Domestic Hive #3A</t>
  </si>
  <si>
    <t>#3A</t>
  </si>
  <si>
    <t>4575.txt</t>
  </si>
  <si>
    <t>(outdated) Domestic Hive #1B</t>
  </si>
  <si>
    <t>#1B</t>
  </si>
  <si>
    <t>4576.txt</t>
  </si>
  <si>
    <t>(outdated) Domestic Hive #2B</t>
  </si>
  <si>
    <t>#2B</t>
  </si>
  <si>
    <t>4577.txt</t>
  </si>
  <si>
    <t>(outdated) Domestic Hive #2C</t>
  </si>
  <si>
    <t>#2C</t>
  </si>
  <si>
    <t>4578.txt</t>
  </si>
  <si>
    <t>(outdated) Domestic Hive #3B</t>
  </si>
  <si>
    <t>#3B</t>
  </si>
  <si>
    <t>4579.txt</t>
  </si>
  <si>
    <t>(outdated) Domestic Hive #3C</t>
  </si>
  <si>
    <t>#3C</t>
  </si>
  <si>
    <t>4580.txt</t>
  </si>
  <si>
    <t>(outdated) Domestic Hive #3D</t>
  </si>
  <si>
    <t>#3D</t>
  </si>
  <si>
    <t>4583.txt</t>
  </si>
  <si>
    <t>(outdated) Indigo Silk Roll</t>
  </si>
  <si>
    <t>4584.txt</t>
  </si>
  <si>
    <t>(outdated) Indigo Silk Rolls #2</t>
  </si>
  <si>
    <t>#2</t>
  </si>
  <si>
    <t>4585.txt</t>
  </si>
  <si>
    <t>(outdated) Indigo Silk Rolls #3</t>
  </si>
  <si>
    <t>#3</t>
  </si>
  <si>
    <t>4589.txt</t>
  </si>
  <si>
    <t>Tent Wall #blue +useOnContained</t>
  </si>
  <si>
    <t>帐篷墙#blue +useOnContained</t>
  </si>
  <si>
    <t>4590.txt</t>
  </si>
  <si>
    <t>Tent Door #closed blue</t>
  </si>
  <si>
    <t>帐篷门#closed blue</t>
  </si>
  <si>
    <t>4591.txt</t>
  </si>
  <si>
    <t>Tent Door #open blue</t>
  </si>
  <si>
    <t>帐篷门#open blue</t>
  </si>
  <si>
    <t>4592.txt</t>
  </si>
  <si>
    <t>(outdated) Domestic Hive #1A spawn</t>
  </si>
  <si>
    <t>#1A spawn</t>
  </si>
  <si>
    <t>4593.txt</t>
  </si>
  <si>
    <t>(outdated) Domestic Hive #2A spawn</t>
  </si>
  <si>
    <t>#2A spawn</t>
  </si>
  <si>
    <t>4594.txt</t>
  </si>
  <si>
    <t>(outdated) Domestic Hive #3A spawn</t>
  </si>
  <si>
    <t>#3A spawn</t>
  </si>
  <si>
    <t>4595.txt</t>
  </si>
  <si>
    <t>(outdated) Domestic Hive #2B spawn</t>
  </si>
  <si>
    <t>#2B spawn</t>
  </si>
  <si>
    <t>4596.txt</t>
  </si>
  <si>
    <t>(outdated) Domestic Hive #3B spawn</t>
  </si>
  <si>
    <t>#3B spawn</t>
  </si>
  <si>
    <t>4597.txt</t>
  </si>
  <si>
    <t>(outdated) Domestic Hive #3C spawn</t>
  </si>
  <si>
    <t>#3C spawn</t>
  </si>
  <si>
    <t>4598.txt</t>
  </si>
  <si>
    <t>Honeycomb</t>
  </si>
  <si>
    <t>蜂窝</t>
  </si>
  <si>
    <t>4599.txt</t>
  </si>
  <si>
    <t>Bald Cypress Tree #hive</t>
  </si>
  <si>
    <t>秃柏树#hive</t>
  </si>
  <si>
    <t>4600.txt</t>
  </si>
  <si>
    <t>Wild Honeycomb</t>
  </si>
  <si>
    <t>野生蜂窝</t>
  </si>
  <si>
    <t>4601.txt</t>
  </si>
  <si>
    <t>Fallen Hive</t>
  </si>
  <si>
    <t>堕落的蜂巢</t>
  </si>
  <si>
    <t>4602.txt</t>
  </si>
  <si>
    <t>Swarm of Angry Bees</t>
  </si>
  <si>
    <t>愤怒的蜜蜂群</t>
  </si>
  <si>
    <t>4603.txt</t>
  </si>
  <si>
    <t>Swarm of Angry Bees#hive</t>
  </si>
  <si>
    <t>愤怒的蜜蜂群#hive</t>
  </si>
  <si>
    <t>4604.txt</t>
  </si>
  <si>
    <t>Fallen Hive #no bees</t>
  </si>
  <si>
    <t>堕落的蜂巢#no bees</t>
  </si>
  <si>
    <t>4605.txt</t>
  </si>
  <si>
    <t>(outdated) Domestic Hive #1A swarm</t>
  </si>
  <si>
    <t>4606.txt</t>
  </si>
  <si>
    <t>(outdated) Domestic Hive #2A swarm</t>
  </si>
  <si>
    <t>4607.txt</t>
  </si>
  <si>
    <t>(outdated) Domestic Hive #3A swarm</t>
  </si>
  <si>
    <t>4608.txt</t>
  </si>
  <si>
    <t>(outdated) Mason Jar of Honeycomb</t>
  </si>
  <si>
    <t>4609.txt</t>
  </si>
  <si>
    <t>Molten Bee Wax</t>
  </si>
  <si>
    <t>蜂蜡</t>
  </si>
  <si>
    <t>4610.txt</t>
  </si>
  <si>
    <t>Ashes with Bowl of Dirty Bee Wax</t>
  </si>
  <si>
    <t>灰烬配一碗脏蜂蜡</t>
  </si>
  <si>
    <t>4611.txt</t>
  </si>
  <si>
    <t>Mason Jar of Honey</t>
  </si>
  <si>
    <t>梅森蜜罐</t>
  </si>
  <si>
    <t>4612.txt</t>
  </si>
  <si>
    <t>(outdated) Mason Jar of Honey - 2</t>
  </si>
  <si>
    <t>4613.txt</t>
  </si>
  <si>
    <t>(outdated) Mason Jar of Honey - 3</t>
  </si>
  <si>
    <t>4615.txt</t>
  </si>
  <si>
    <t>Wet Clay Plates</t>
  </si>
  <si>
    <t>湿粘土板</t>
  </si>
  <si>
    <t>4620.txt</t>
  </si>
  <si>
    <t>Glass Tube</t>
  </si>
  <si>
    <t>玻璃管</t>
  </si>
  <si>
    <t>4621.txt</t>
  </si>
  <si>
    <t>Half Jar of Beer#remapStart</t>
  </si>
  <si>
    <t>半罐啤酒#remapStart</t>
  </si>
  <si>
    <t>4624.txt</t>
  </si>
  <si>
    <t>Tent Wall #vertical blue</t>
  </si>
  <si>
    <t>帐篷墙#vertical blue</t>
  </si>
  <si>
    <t>4625.txt</t>
  </si>
  <si>
    <t>Tent Wall Corner #blue</t>
  </si>
  <si>
    <t>帐篷墙角#blue</t>
  </si>
  <si>
    <t>4627.txt</t>
  </si>
  <si>
    <t>(outdated) Blue Silk Roll Tied #blue</t>
  </si>
  <si>
    <t>4628.txt</t>
  </si>
  <si>
    <t>Languishing Hops</t>
  </si>
  <si>
    <t>啤酒花</t>
  </si>
  <si>
    <t>4629.txt</t>
  </si>
  <si>
    <t>Dying Hops</t>
  </si>
  <si>
    <t>垂死的啤酒花</t>
  </si>
  <si>
    <t>4630.txt</t>
  </si>
  <si>
    <t>Wet Dying Hops</t>
  </si>
  <si>
    <t>湿染色啤酒花</t>
  </si>
  <si>
    <t>4631.txt</t>
  </si>
  <si>
    <t>Wet Languishing Hops</t>
  </si>
  <si>
    <t>湿啤酒花</t>
  </si>
  <si>
    <t>4632.txt</t>
  </si>
  <si>
    <t>Hops Fruit Pile #2</t>
  </si>
  <si>
    <t>啤酒花果堆#2</t>
  </si>
  <si>
    <t>4633.txt</t>
  </si>
  <si>
    <t>Hops Fruit Pile #3</t>
  </si>
  <si>
    <t>啤酒花果堆#3</t>
  </si>
  <si>
    <t>4634.txt</t>
  </si>
  <si>
    <t>Hops Fruit Pile #4</t>
  </si>
  <si>
    <t>啤酒花果堆#4</t>
  </si>
  <si>
    <t>4635.txt</t>
  </si>
  <si>
    <t>Distillery with Hops</t>
  </si>
  <si>
    <t>啤酒花酒厂</t>
  </si>
  <si>
    <t>4636.txt</t>
  </si>
  <si>
    <t>Copper Plates #4 tube</t>
  </si>
  <si>
    <t>铜板#4 tube</t>
  </si>
  <si>
    <t>4637.txt</t>
  </si>
  <si>
    <t>Hot Copper Ingot in Wooden Tongs</t>
  </si>
  <si>
    <t>木制钳子中的热铜锭</t>
  </si>
  <si>
    <t>4638.txt</t>
  </si>
  <si>
    <t>Copper Ingot in Wooden Tongs #just cooled</t>
  </si>
  <si>
    <t>刚刚冷却的木钳子中的铜锭#just cooled</t>
  </si>
  <si>
    <t>4639.txt</t>
  </si>
  <si>
    <t>Native Copper in Wooden Tongs</t>
  </si>
  <si>
    <t>木通中的原生铜</t>
  </si>
  <si>
    <t>4640.txt</t>
  </si>
  <si>
    <t>Hot Copper Bloom</t>
  </si>
  <si>
    <t>热铜坯料</t>
  </si>
  <si>
    <t>4641.txt</t>
  </si>
  <si>
    <t>Cold Copper Bloom</t>
  </si>
  <si>
    <t>冷铜坯料</t>
  </si>
  <si>
    <t>4642.txt</t>
  </si>
  <si>
    <t>Hot Copper Bloom in Wooden Tongs</t>
  </si>
  <si>
    <t>热铜在木制钳子中绽放</t>
  </si>
  <si>
    <t>4643.txt</t>
  </si>
  <si>
    <t>Cold Copper Bloom in Wooden Tongs</t>
  </si>
  <si>
    <t>木通冷铜花</t>
  </si>
  <si>
    <t>4644.txt</t>
  </si>
  <si>
    <t>Hot Copper Bloom on Flat Rock</t>
  </si>
  <si>
    <t>热铜在平坦的岩石上绽放</t>
  </si>
  <si>
    <t>4645.txt</t>
  </si>
  <si>
    <t>Cold Copper Bloom on Flat Rock</t>
  </si>
  <si>
    <t>冷铜在平坦的岩石上绽放</t>
  </si>
  <si>
    <t>4646.txt</t>
  </si>
  <si>
    <t>Copper Ingot on Flat Rock</t>
  </si>
  <si>
    <t>扁平岩石上的铜锭</t>
  </si>
  <si>
    <t>4647.txt</t>
  </si>
  <si>
    <t>Bowl of Honey</t>
  </si>
  <si>
    <t>一碗蜂蜜</t>
  </si>
  <si>
    <t>4648.txt</t>
  </si>
  <si>
    <t>Dead Tree #hops fruit</t>
  </si>
  <si>
    <t>枯树#hops fruit</t>
  </si>
  <si>
    <t>4649.txt</t>
  </si>
  <si>
    <t>Dead Tree #hops empty</t>
  </si>
  <si>
    <t>死树#hops empty</t>
  </si>
  <si>
    <t>4652.txt</t>
  </si>
  <si>
    <t>(outdated) Grizzly Bear Hat</t>
  </si>
  <si>
    <t>4660.txt</t>
  </si>
  <si>
    <t>Empty Vineyard Trellis</t>
  </si>
  <si>
    <t>空葡萄园树架</t>
  </si>
  <si>
    <t>4662.txt</t>
  </si>
  <si>
    <t>Mammoth #animation calf</t>
  </si>
  <si>
    <t>长毛象#animation calf</t>
  </si>
  <si>
    <t>4666.txt</t>
  </si>
  <si>
    <t>Cow Mammoth and Calf</t>
  </si>
  <si>
    <t>奶牛长毛象和小牛</t>
  </si>
  <si>
    <t>4667.txt</t>
  </si>
  <si>
    <t>Bull Mammoth #wild sterile</t>
  </si>
  <si>
    <t>牛猛犸#wild sterile</t>
  </si>
  <si>
    <t>4668.txt</t>
  </si>
  <si>
    <t>Bull Mammoth #wild male</t>
  </si>
  <si>
    <t>牛猛犸#wild male</t>
  </si>
  <si>
    <t>4669.txt</t>
  </si>
  <si>
    <t>Bull Mammoth #wild female</t>
  </si>
  <si>
    <t>牛猛犸#wild female</t>
  </si>
  <si>
    <t>4671.txt</t>
  </si>
  <si>
    <t>Cow Mammoth #wild receptive</t>
  </si>
  <si>
    <t>奶牛长毛象#wild receptive</t>
  </si>
  <si>
    <t>4673.txt</t>
  </si>
  <si>
    <t>Ancient Stone Wall #avalon</t>
  </si>
  <si>
    <t>古石墙#avalon</t>
  </si>
  <si>
    <t>4674.txt</t>
  </si>
  <si>
    <t>Shield of Avalon</t>
  </si>
  <si>
    <t>阿瓦隆之盾</t>
  </si>
  <si>
    <t>4675.txt</t>
  </si>
  <si>
    <t>Sword of Avalon</t>
  </si>
  <si>
    <t>阿瓦隆之剑</t>
  </si>
  <si>
    <t>4676.txt</t>
  </si>
  <si>
    <t>Ancient Stone Wall #sparta</t>
  </si>
  <si>
    <t>古石墙#sparta</t>
  </si>
  <si>
    <t>4677.txt</t>
  </si>
  <si>
    <t>Sword of Avalon #scabbard</t>
  </si>
  <si>
    <t>阿瓦隆之剑#scabbard</t>
  </si>
  <si>
    <t>4678.txt</t>
  </si>
  <si>
    <t>Shield of Oblivion</t>
  </si>
  <si>
    <t>遗忘之盾</t>
  </si>
  <si>
    <t>4679.txt</t>
  </si>
  <si>
    <t>Shield of Sparta</t>
  </si>
  <si>
    <t>斯巴达之盾</t>
  </si>
  <si>
    <t>4680.txt</t>
  </si>
  <si>
    <t>Shield of Ivory</t>
  </si>
  <si>
    <t>象牙之盾</t>
  </si>
  <si>
    <t>4681.txt</t>
  </si>
  <si>
    <t>Shield of The Commonwealth</t>
  </si>
  <si>
    <t>英联邦盾牌</t>
  </si>
  <si>
    <t>4682.txt</t>
  </si>
  <si>
    <t>Shield of Lucky Foot Nation</t>
  </si>
  <si>
    <t>幸运足国之盾</t>
  </si>
  <si>
    <t>4683.txt</t>
  </si>
  <si>
    <t>Shield of Meow Empire</t>
  </si>
  <si>
    <t>喵帝国之盾</t>
  </si>
  <si>
    <t>4684.txt</t>
  </si>
  <si>
    <t>Shield of Baget Republic</t>
  </si>
  <si>
    <t>巴格特共和国之盾</t>
  </si>
  <si>
    <t>4685.txt</t>
  </si>
  <si>
    <t>Shield</t>
  </si>
  <si>
    <t>盾</t>
  </si>
  <si>
    <t>4686.txt</t>
  </si>
  <si>
    <t>Sword of Sparta</t>
  </si>
  <si>
    <t>斯巴达之剑</t>
  </si>
  <si>
    <t>4687.txt</t>
  </si>
  <si>
    <t>Sword of Sparta #scabbard</t>
  </si>
  <si>
    <t>斯巴达之剑#scabbard</t>
  </si>
  <si>
    <t>4695.txt</t>
  </si>
  <si>
    <t>apple4_all</t>
  </si>
  <si>
    <t>应用程序4_all</t>
  </si>
  <si>
    <t>4696.txt</t>
  </si>
  <si>
    <t>apple3_all</t>
  </si>
  <si>
    <t>应用3_all</t>
  </si>
  <si>
    <t>4697.txt</t>
  </si>
  <si>
    <t>apple2_all</t>
  </si>
  <si>
    <t>应用2_all</t>
  </si>
  <si>
    <t>4698.txt</t>
  </si>
  <si>
    <t>apple1_all</t>
  </si>
  <si>
    <t>应用程序_全部</t>
  </si>
  <si>
    <t>4699.txt</t>
  </si>
  <si>
    <t>4700.txt</t>
  </si>
  <si>
    <t>Dead Apple Tree</t>
  </si>
  <si>
    <t>死苹果树</t>
  </si>
  <si>
    <t>4701.txt</t>
  </si>
  <si>
    <t>Apple Tree</t>
  </si>
  <si>
    <t>苹果树</t>
  </si>
  <si>
    <t>4702.txt</t>
  </si>
  <si>
    <t>Flowering Apple Tree</t>
  </si>
  <si>
    <t>开花的苹果树</t>
  </si>
  <si>
    <t>4703.txt</t>
  </si>
  <si>
    <t>Fruiting Apple Tree</t>
  </si>
  <si>
    <t>结果苹果树</t>
  </si>
  <si>
    <t>4704.txt</t>
  </si>
  <si>
    <t>bearhatfixed_all</t>
  </si>
  <si>
    <t>bearhhatfixed_all</t>
  </si>
  <si>
    <t>4706.txt</t>
  </si>
  <si>
    <t>Mammoth Bones</t>
  </si>
  <si>
    <t>猛犸骨</t>
  </si>
  <si>
    <t>4707.txt</t>
  </si>
  <si>
    <t>Dead Mammoth</t>
  </si>
  <si>
    <t>死长毛象</t>
  </si>
  <si>
    <t>4708.txt</t>
  </si>
  <si>
    <t>Dead Bull Mammoth #gutted spear</t>
  </si>
  <si>
    <t>死牛猛犸#gutted spear</t>
  </si>
  <si>
    <t>4709.txt</t>
  </si>
  <si>
    <t>Ivory Spear</t>
  </si>
  <si>
    <t>象牙长矛</t>
  </si>
  <si>
    <t>4710.txt</t>
  </si>
  <si>
    <t>Dead Cow Mammoth#shot</t>
  </si>
  <si>
    <t>死牛猛犸#shot</t>
  </si>
  <si>
    <t>4711.txt</t>
  </si>
  <si>
    <t>Dry Planted Tobacco</t>
  </si>
  <si>
    <t>干栽烟草</t>
  </si>
  <si>
    <t>4712.txt</t>
  </si>
  <si>
    <t>Wet Planted Tobacco</t>
  </si>
  <si>
    <t>湿植烟草</t>
  </si>
  <si>
    <t>4713.txt</t>
  </si>
  <si>
    <t>Tobacco Sprouts</t>
  </si>
  <si>
    <t>烟草芽</t>
  </si>
  <si>
    <t>4714.txt</t>
  </si>
  <si>
    <t>Tobacco Plants</t>
  </si>
  <si>
    <t>烟草植物</t>
  </si>
  <si>
    <t>4715.txt</t>
  </si>
  <si>
    <t>Ripe Tobacco Plants</t>
  </si>
  <si>
    <t>成熟的烟草植物</t>
  </si>
  <si>
    <t>4716.txt</t>
  </si>
  <si>
    <t>Fresh Tobacco Leaves</t>
  </si>
  <si>
    <t>新鲜烟叶</t>
  </si>
  <si>
    <t>4717.txt</t>
  </si>
  <si>
    <t>Cured Tobacco Leaves</t>
  </si>
  <si>
    <t>腌制烟叶</t>
  </si>
  <si>
    <t>4718.txt</t>
  </si>
  <si>
    <t>Cured Tobacco Leaf</t>
  </si>
  <si>
    <t>4719.txt</t>
  </si>
  <si>
    <t>Shredded Tobacco</t>
  </si>
  <si>
    <t>烟草丝</t>
  </si>
  <si>
    <t>4720.txt</t>
  </si>
  <si>
    <t>Cheroot #unlit</t>
  </si>
  <si>
    <t>Cheroot#unlit</t>
  </si>
  <si>
    <t>4721.txt</t>
  </si>
  <si>
    <t>Cheroot #lit</t>
  </si>
  <si>
    <t>Cheroot#lit</t>
  </si>
  <si>
    <t>4722.txt</t>
  </si>
  <si>
    <t>Cheroot #unlit 2</t>
  </si>
  <si>
    <t>Cheroot#unlit 2</t>
  </si>
  <si>
    <t>4729.txt</t>
  </si>
  <si>
    <t>Ivory Goblet</t>
  </si>
  <si>
    <t>象牙杯</t>
  </si>
  <si>
    <t>4733.txt</t>
  </si>
  <si>
    <t>Bottle of Wine</t>
  </si>
  <si>
    <t>一瓶葡萄酒</t>
  </si>
  <si>
    <t>4734.txt</t>
  </si>
  <si>
    <t>Raw Mammoth Meat</t>
  </si>
  <si>
    <t>生猛犸肉</t>
  </si>
  <si>
    <t>4735.txt</t>
  </si>
  <si>
    <t>Burlap Sack</t>
  </si>
  <si>
    <t>麻袋</t>
  </si>
  <si>
    <t>4736.txt</t>
  </si>
  <si>
    <t>Burlap Sack #wheat 1</t>
  </si>
  <si>
    <t>麻袋#wheat 1</t>
  </si>
  <si>
    <t>4737.txt</t>
  </si>
  <si>
    <t>Burlap Sack #wheat 2</t>
  </si>
  <si>
    <t>麻袋#wheat 2</t>
  </si>
  <si>
    <t>4738.txt</t>
  </si>
  <si>
    <t>Burlap Sack #wheat 3</t>
  </si>
  <si>
    <t>麻袋#wheat 3</t>
  </si>
  <si>
    <t>4739.txt</t>
  </si>
  <si>
    <t>Burlap Sack #flour 1</t>
  </si>
  <si>
    <t>麻袋#flour 1</t>
  </si>
  <si>
    <t>4740.txt</t>
  </si>
  <si>
    <t>Burlap Sack #flour 2</t>
  </si>
  <si>
    <t>麻袋#flour 2</t>
  </si>
  <si>
    <t>4741.txt</t>
  </si>
  <si>
    <t>Burlap Sack #flour 3</t>
  </si>
  <si>
    <t>麻袋#flour 3</t>
  </si>
  <si>
    <t>4742.txt</t>
  </si>
  <si>
    <t>Mammoth Bones #1</t>
  </si>
  <si>
    <t>猛犸骨#1</t>
  </si>
  <si>
    <t>4743.txt</t>
  </si>
  <si>
    <t>Mammoth Bones #2</t>
  </si>
  <si>
    <t>猛犸骨#2</t>
  </si>
  <si>
    <t>4744.txt</t>
  </si>
  <si>
    <t>Dead Cow Mammoth#gutted</t>
  </si>
  <si>
    <t>死牛长毛象#gutted</t>
  </si>
  <si>
    <t>4745.txt</t>
  </si>
  <si>
    <t>Dead Bull Mammoth #gutted</t>
  </si>
  <si>
    <t>4746.txt</t>
  </si>
  <si>
    <t>Cow Mammoth #5 arrows</t>
  </si>
  <si>
    <t>牛猛犸#5 arrows</t>
  </si>
  <si>
    <t>4747.txt</t>
  </si>
  <si>
    <t>Cow Mammoth #4 arrows</t>
  </si>
  <si>
    <t>牛猛犸#4 arrows</t>
  </si>
  <si>
    <t>4748.txt</t>
  </si>
  <si>
    <t>Cow Mammoth #3 arrows</t>
  </si>
  <si>
    <t>牛猛犸#3 arrows</t>
  </si>
  <si>
    <t>4749.txt</t>
  </si>
  <si>
    <t>Cow Mammoth #2 arrows</t>
  </si>
  <si>
    <t>牛猛犸#2 arrows</t>
  </si>
  <si>
    <t>4750.txt</t>
  </si>
  <si>
    <t>Cow Mammoth #1 arrow</t>
  </si>
  <si>
    <t>牛猛犸#1 arrow</t>
  </si>
  <si>
    <t>4751.txt</t>
  </si>
  <si>
    <t>Wooden Barrel</t>
  </si>
  <si>
    <t>木桶</t>
  </si>
  <si>
    <t>4752.txt</t>
  </si>
  <si>
    <t>Aged Wine Barrel</t>
  </si>
  <si>
    <t>陈酒桶</t>
  </si>
  <si>
    <t>4754.txt</t>
  </si>
  <si>
    <t>Aging Wine Barrel</t>
  </si>
  <si>
    <t>陈酿酒桶</t>
  </si>
  <si>
    <t>4756.txt</t>
  </si>
  <si>
    <t>Pile of Boards</t>
  </si>
  <si>
    <t>一堆木板</t>
  </si>
  <si>
    <t>Купа дошки</t>
  </si>
  <si>
    <t>4757.txt</t>
  </si>
  <si>
    <t>Hen</t>
  </si>
  <si>
    <t>母鸡</t>
  </si>
  <si>
    <t>4758.txt</t>
  </si>
  <si>
    <t>Rooster #male</t>
  </si>
  <si>
    <t>公鸡#male</t>
  </si>
  <si>
    <t>4763.txt</t>
  </si>
  <si>
    <t>Flowering Apple Tree #pollinated</t>
  </si>
  <si>
    <t>开花的苹果树#pollinated</t>
  </si>
  <si>
    <t>4764.txt</t>
  </si>
  <si>
    <t>Hen #just fed</t>
  </si>
  <si>
    <t>母鸡#just fed</t>
  </si>
  <si>
    <t>4765.txt</t>
  </si>
  <si>
    <t>Hen #pregnant fertilized</t>
  </si>
  <si>
    <t>母鸡#pregnant fertilized</t>
  </si>
  <si>
    <t>4769.txt</t>
  </si>
  <si>
    <t>Camping Stove Frame</t>
  </si>
  <si>
    <t>露营炉架</t>
  </si>
  <si>
    <t>4770.txt</t>
  </si>
  <si>
    <t>Empty Camping Stove</t>
  </si>
  <si>
    <t>空的露营炉</t>
  </si>
  <si>
    <t>4771.txt</t>
  </si>
  <si>
    <t>(outdated) Camping Stove #water</t>
  </si>
  <si>
    <t>#water</t>
  </si>
  <si>
    <t>4772.txt</t>
  </si>
  <si>
    <t>Camping Stove with Boiling Water</t>
  </si>
  <si>
    <t>沸水野营炉</t>
  </si>
  <si>
    <t>4773.txt</t>
  </si>
  <si>
    <t>(outdated) Camping Stove #hot stew</t>
  </si>
  <si>
    <t>#hot stew</t>
  </si>
  <si>
    <t>4774.txt</t>
  </si>
  <si>
    <t>Empty Camping Stove on Ashes</t>
  </si>
  <si>
    <t>灰烬上的空露营炉</t>
  </si>
  <si>
    <t>4775.txt</t>
  </si>
  <si>
    <t>(outdated) Camping Stove #water ashes</t>
  </si>
  <si>
    <t>#water ashes</t>
  </si>
  <si>
    <t>4776.txt</t>
  </si>
  <si>
    <t>(outdated) Camping Stove #cold stew ashes</t>
  </si>
  <si>
    <t>#cold stew ashes</t>
  </si>
  <si>
    <t>4782.txt</t>
  </si>
  <si>
    <t>Cooked Flapjacks #3</t>
  </si>
  <si>
    <t>熟煎饼#3</t>
  </si>
  <si>
    <t>4783.txt</t>
  </si>
  <si>
    <t>Cooked Flapjacks #3 honeyed</t>
  </si>
  <si>
    <t>熟煎饼#3 honeyed</t>
  </si>
  <si>
    <t>4784.txt</t>
  </si>
  <si>
    <t>Apple</t>
  </si>
  <si>
    <t>苹果</t>
  </si>
  <si>
    <t>4785.txt</t>
  </si>
  <si>
    <t>Churn Bucket</t>
  </si>
  <si>
    <t>Churn铲斗</t>
  </si>
  <si>
    <t>4786.txt</t>
  </si>
  <si>
    <t>(outdated) Poached Egg</t>
  </si>
  <si>
    <t>4787.txt</t>
  </si>
  <si>
    <t>Sunny Egg</t>
  </si>
  <si>
    <t>阳光蛋</t>
  </si>
  <si>
    <t>4788.txt</t>
  </si>
  <si>
    <t>Butter</t>
  </si>
  <si>
    <t>黄油</t>
  </si>
  <si>
    <t>4789.txt</t>
  </si>
  <si>
    <t>Butter #2</t>
  </si>
  <si>
    <t>黄油#2</t>
  </si>
  <si>
    <t>4790.txt</t>
  </si>
  <si>
    <t>Raw Apple Pie</t>
  </si>
  <si>
    <t>生苹果派</t>
  </si>
  <si>
    <t>4791.txt</t>
  </si>
  <si>
    <t>Cooked Apple Pie</t>
  </si>
  <si>
    <t>熟苹果派</t>
  </si>
  <si>
    <t>4792.txt</t>
  </si>
  <si>
    <t>Rooster #dead</t>
  </si>
  <si>
    <t>公鸡#dead</t>
  </si>
  <si>
    <t>4793.txt</t>
  </si>
  <si>
    <t>Hen #dead</t>
  </si>
  <si>
    <t>母鸡#dead</t>
  </si>
  <si>
    <t>4794.txt</t>
  </si>
  <si>
    <t>Egg #unfertilized</t>
  </si>
  <si>
    <t>鸡蛋#unfertilized</t>
  </si>
  <si>
    <t>4795.txt</t>
  </si>
  <si>
    <t>Windmill</t>
  </si>
  <si>
    <t>风车</t>
  </si>
  <si>
    <t>4796.txt</t>
  </si>
  <si>
    <t>Windy Windmill</t>
  </si>
  <si>
    <t>Windy风车</t>
  </si>
  <si>
    <t>4797.txt</t>
  </si>
  <si>
    <t>Sword of Lucky Foot Nation</t>
  </si>
  <si>
    <t>幸运足国之剑</t>
  </si>
  <si>
    <t>4798.txt</t>
  </si>
  <si>
    <t>Sword of Lucky Foot #scabbard</t>
  </si>
  <si>
    <t>幸运足之剑#scabbard</t>
  </si>
  <si>
    <t>4799.txt</t>
  </si>
  <si>
    <t>Sword of Ivory</t>
  </si>
  <si>
    <t>象牙之剑</t>
  </si>
  <si>
    <t>4800.txt</t>
  </si>
  <si>
    <t>Sword of Ivory #scabbard</t>
  </si>
  <si>
    <t>象牙之剑#scabbard</t>
  </si>
  <si>
    <t>4801.txt</t>
  </si>
  <si>
    <t>Sword of Oblivion</t>
  </si>
  <si>
    <t>遗忘之剑</t>
  </si>
  <si>
    <t>4802.txt</t>
  </si>
  <si>
    <t>Sword of Oblivion #scabbard</t>
  </si>
  <si>
    <t>遗忘之剑#scabbard</t>
  </si>
  <si>
    <t>4803.txt</t>
  </si>
  <si>
    <t>Sword of The Commonwealth</t>
  </si>
  <si>
    <t>英联邦之剑</t>
  </si>
  <si>
    <t>4804.txt</t>
  </si>
  <si>
    <t>Sword of The Commonwealth #scabbard</t>
  </si>
  <si>
    <t>英联邦之剑#scabbard</t>
  </si>
  <si>
    <t>4805.txt</t>
  </si>
  <si>
    <t>Sword of Baget</t>
  </si>
  <si>
    <t>巴格特之剑</t>
  </si>
  <si>
    <t>4806.txt</t>
  </si>
  <si>
    <t>Sword of Baget #scabbard</t>
  </si>
  <si>
    <t>巴格特之剑#scabbard</t>
  </si>
  <si>
    <t>4807.txt</t>
  </si>
  <si>
    <t>Sword of Meow Empire</t>
  </si>
  <si>
    <t>喵帝国之剑</t>
  </si>
  <si>
    <t>4808.txt</t>
  </si>
  <si>
    <t>Sword of Meow Empire #scabbard</t>
  </si>
  <si>
    <t>喵帝国之剑#scabbard</t>
  </si>
  <si>
    <t>4809.txt</t>
  </si>
  <si>
    <t>Copper Clad Sword#scabbard</t>
  </si>
  <si>
    <t>铜包剑#scabbard</t>
  </si>
  <si>
    <t>4810.txt</t>
  </si>
  <si>
    <t>Copper Clad Sword</t>
  </si>
  <si>
    <t>铜包剑</t>
  </si>
  <si>
    <t>4811.txt</t>
  </si>
  <si>
    <t>Scabbard #lucky</t>
  </si>
  <si>
    <t>Scabbard#lucky</t>
  </si>
  <si>
    <t>4812.txt</t>
  </si>
  <si>
    <t>Scabbard #meow</t>
  </si>
  <si>
    <t>Scabbard#meow</t>
  </si>
  <si>
    <t>4813.txt</t>
  </si>
  <si>
    <t>Scabbard #avalon</t>
  </si>
  <si>
    <t>Scabbard#avalon</t>
  </si>
  <si>
    <t>4814.txt</t>
  </si>
  <si>
    <t>Scabbard #baget</t>
  </si>
  <si>
    <t>百吉饼#baget</t>
  </si>
  <si>
    <t>4815.txt</t>
  </si>
  <si>
    <t>Scabbard #sparta</t>
  </si>
  <si>
    <t>Scabbard#sparta</t>
  </si>
  <si>
    <t>4816.txt</t>
  </si>
  <si>
    <t>Scabbard #ivory</t>
  </si>
  <si>
    <t>Scabbard#ivory</t>
  </si>
  <si>
    <t>4817.txt</t>
  </si>
  <si>
    <t>Scabbard #oblivion</t>
  </si>
  <si>
    <t>Scabbard#oblivion</t>
  </si>
  <si>
    <t>4818.txt</t>
  </si>
  <si>
    <t>Scabbard #public</t>
  </si>
  <si>
    <t>Scabbard#public</t>
  </si>
  <si>
    <t>4819.txt</t>
  </si>
  <si>
    <t>Scabbard #commonwealth</t>
  </si>
  <si>
    <t>Scabbard#commonwealth</t>
  </si>
  <si>
    <t>4820.txt</t>
  </si>
  <si>
    <t>Bull Mammoth #saddled 2</t>
  </si>
  <si>
    <t>公牛长毛象#saddled 2</t>
  </si>
  <si>
    <t>4821.txt</t>
  </si>
  <si>
    <t>Cow Mammoth #saddled 2</t>
  </si>
  <si>
    <t>奶牛长毛象#saddled 2</t>
  </si>
  <si>
    <t>4822.txt</t>
  </si>
  <si>
    <t>Bucket of Grapes</t>
  </si>
  <si>
    <t>一桶葡萄</t>
  </si>
  <si>
    <t>4823.txt</t>
  </si>
  <si>
    <t>Bucket of Grape Juice</t>
  </si>
  <si>
    <t>一桶葡萄汁</t>
  </si>
  <si>
    <t>4824.txt</t>
  </si>
  <si>
    <t>Bucket of Grape Must</t>
  </si>
  <si>
    <t>葡萄桶必备品</t>
  </si>
  <si>
    <t>4826.txt</t>
  </si>
  <si>
    <t>Wild Tobacco Plants #seeding</t>
  </si>
  <si>
    <t>野生烟草植物#seeding</t>
  </si>
  <si>
    <t>4827.txt</t>
  </si>
  <si>
    <t>Wild Tobacco Plants #picked</t>
  </si>
  <si>
    <t>野生烟草植物#picked</t>
  </si>
  <si>
    <t>4829.txt</t>
  </si>
  <si>
    <t>Cow Mammoth #wild pregnant male</t>
  </si>
  <si>
    <t>奶牛长毛象#wild pregnant male</t>
  </si>
  <si>
    <t>4830.txt</t>
  </si>
  <si>
    <t>Sealed Slaked Lime Bottle</t>
  </si>
  <si>
    <t>密封的熟石灰瓶</t>
  </si>
  <si>
    <t>密封熟石灰瓶</t>
  </si>
  <si>
    <t>Герметична пляшка гашеного вапна</t>
  </si>
  <si>
    <t>4831.txt</t>
  </si>
  <si>
    <t>Slaked Lime Bottle with Funnel</t>
  </si>
  <si>
    <t>带漏斗的熟石灰瓶</t>
  </si>
  <si>
    <t>4832.txt</t>
  </si>
  <si>
    <t>Slaked Lime Bottle with Funnel# inserted</t>
  </si>
  <si>
    <t>4833.txt</t>
  </si>
  <si>
    <t>Slaked Lime Bottle</t>
  </si>
  <si>
    <t>熟石灰瓶</t>
  </si>
  <si>
    <t>4834.txt</t>
  </si>
  <si>
    <t>Slaked Lime Bottle# just poured</t>
  </si>
  <si>
    <t>熟石灰瓶# just poured</t>
  </si>
  <si>
    <t>Пляшка гашеного вапна # just poure</t>
  </si>
  <si>
    <t>4835.txt</t>
  </si>
  <si>
    <t>Bull Mammoth Calf</t>
  </si>
  <si>
    <t>牛猛犸小牛</t>
  </si>
  <si>
    <t>4836.txt</t>
  </si>
  <si>
    <t>Cow Mammoth Calf</t>
  </si>
  <si>
    <t>奶牛长毛小牛</t>
  </si>
  <si>
    <t>4837.txt</t>
  </si>
  <si>
    <t>Mossy Big Hard Rock</t>
  </si>
  <si>
    <t>苔藓大硬石</t>
  </si>
  <si>
    <t>4838.txt</t>
  </si>
  <si>
    <t>Yew Shafts</t>
  </si>
  <si>
    <t>紫杉木竖井</t>
  </si>
  <si>
    <t>4839.txt</t>
  </si>
  <si>
    <t>Yew Shafts #3</t>
  </si>
  <si>
    <t>紫杉木竖井#3</t>
  </si>
  <si>
    <t>4840.txt</t>
  </si>
  <si>
    <t>Camping Stove Frame #stowed</t>
  </si>
  <si>
    <t>露营炉架#stowed</t>
  </si>
  <si>
    <t>4841.txt</t>
  </si>
  <si>
    <t>Stove Pot</t>
  </si>
  <si>
    <t>炉灶</t>
  </si>
  <si>
    <t>4843.txt</t>
  </si>
  <si>
    <t>Wool Gambeson</t>
  </si>
  <si>
    <t>羊毛Gambeson</t>
  </si>
  <si>
    <t>4844.txt</t>
  </si>
  <si>
    <t>Military Skirt #red</t>
  </si>
  <si>
    <t>军裙#red</t>
  </si>
  <si>
    <t>4845.txt</t>
  </si>
  <si>
    <t>Copper Helm</t>
  </si>
  <si>
    <t>铜头盔</t>
  </si>
  <si>
    <t>4854.txt</t>
  </si>
  <si>
    <t>Mammoth Hide</t>
  </si>
  <si>
    <t>长毛兽皮</t>
  </si>
  <si>
    <t>4855.txt</t>
  </si>
  <si>
    <t>Mammoth Hides</t>
  </si>
  <si>
    <t>4856.txt</t>
  </si>
  <si>
    <t>Mammoth Hides #3</t>
  </si>
  <si>
    <t>长毛兽皮#3</t>
  </si>
  <si>
    <t>4857.txt</t>
  </si>
  <si>
    <t>Mammoth Tusk</t>
  </si>
  <si>
    <t>猛犸牙</t>
  </si>
  <si>
    <t>4858.txt</t>
  </si>
  <si>
    <t>Raw Chicken</t>
  </si>
  <si>
    <t>生鸡肉</t>
  </si>
  <si>
    <t>4859.txt</t>
  </si>
  <si>
    <t>Cooked Chicken</t>
  </si>
  <si>
    <t>熟鸡肉</t>
  </si>
  <si>
    <t>5154.txt</t>
  </si>
  <si>
    <t>Ancient Stone Wall #meow</t>
  </si>
  <si>
    <t>古石墙#meow</t>
  </si>
  <si>
    <t>5155.txt</t>
  </si>
  <si>
    <t>Ancient Stone Wall #commonwealth</t>
  </si>
  <si>
    <t>古石墙#commonwealth</t>
  </si>
  <si>
    <t>5156.txt</t>
  </si>
  <si>
    <t>Crown of Avalon</t>
  </si>
  <si>
    <t>阿瓦隆之冠</t>
  </si>
  <si>
    <t>5157.txt</t>
  </si>
  <si>
    <t>Crown of Lucky Foot Nation</t>
  </si>
  <si>
    <t>幸运足国之冠</t>
  </si>
  <si>
    <t>5158.txt</t>
  </si>
  <si>
    <t>Crown of Republique du Baget</t>
  </si>
  <si>
    <t>巴格特共和国国王</t>
  </si>
  <si>
    <t>5159.txt</t>
  </si>
  <si>
    <t>Crown of Oblivion Empire</t>
  </si>
  <si>
    <t>遗忘帝国的王冠</t>
  </si>
  <si>
    <t>5160.txt</t>
  </si>
  <si>
    <t>Crown of Ivory Empire</t>
  </si>
  <si>
    <t>象牙帝国的王冠</t>
  </si>
  <si>
    <t>5161.txt</t>
  </si>
  <si>
    <t>Crown of Sparta</t>
  </si>
  <si>
    <t>斯巴达的王冠</t>
  </si>
  <si>
    <t>5162.txt</t>
  </si>
  <si>
    <t>Crown of The Commonwealth</t>
  </si>
  <si>
    <t>英联邦皇冠</t>
  </si>
  <si>
    <t>5163.txt</t>
  </si>
  <si>
    <t>Crown of Meow Empire</t>
  </si>
  <si>
    <t>猫王帝国</t>
  </si>
  <si>
    <t>5164.txt</t>
  </si>
  <si>
    <t>Vial of Medicine</t>
  </si>
  <si>
    <t>药瓶</t>
  </si>
  <si>
    <t>5165.txt</t>
  </si>
  <si>
    <t>Templar Sword #scabbard</t>
  </si>
  <si>
    <t>圣殿骑士剑#scabbard</t>
  </si>
  <si>
    <t>5166.txt</t>
  </si>
  <si>
    <t>Scabbard #templar</t>
  </si>
  <si>
    <t>Scabbard#templar</t>
  </si>
  <si>
    <t>5167.txt</t>
  </si>
  <si>
    <t>Templar Shield</t>
  </si>
  <si>
    <t>圣殿骑士盾</t>
  </si>
  <si>
    <t>5168.txt</t>
  </si>
  <si>
    <t>Templar Sword</t>
  </si>
  <si>
    <t>圣殿骑士之剑</t>
  </si>
  <si>
    <t>5170.txt</t>
  </si>
  <si>
    <t>Ancient Stone Wall #templar</t>
  </si>
  <si>
    <t>古石墙#templar</t>
  </si>
  <si>
    <t>5171.txt</t>
  </si>
  <si>
    <t>Banner #meow</t>
  </si>
  <si>
    <t>横幅#meow</t>
  </si>
  <si>
    <t>5172.txt</t>
  </si>
  <si>
    <t>Banner #lucky</t>
  </si>
  <si>
    <t>横幅#lucky</t>
  </si>
  <si>
    <t>5173.txt</t>
  </si>
  <si>
    <t>Banner #oblivion</t>
  </si>
  <si>
    <t>横幅#oblivion</t>
  </si>
  <si>
    <t>5174.txt</t>
  </si>
  <si>
    <t>Banner #common</t>
  </si>
  <si>
    <t>横幅#common</t>
  </si>
  <si>
    <t>5175.txt</t>
  </si>
  <si>
    <t>Banner #templar</t>
  </si>
  <si>
    <t>横幅#templar</t>
  </si>
  <si>
    <t>5176.txt</t>
  </si>
  <si>
    <t>Banner #baget</t>
  </si>
  <si>
    <t>横幅#baget</t>
  </si>
  <si>
    <t>5177.txt</t>
  </si>
  <si>
    <t>Banner #ivory</t>
  </si>
  <si>
    <t>横幅#ivory</t>
  </si>
  <si>
    <t>5178.txt</t>
  </si>
  <si>
    <t>Banner #sparta</t>
  </si>
  <si>
    <t>横幅#sparta</t>
  </si>
  <si>
    <t>5179.txt</t>
  </si>
  <si>
    <t>Banner #avalon</t>
  </si>
  <si>
    <t>横幅#avalon</t>
  </si>
  <si>
    <t>5180.txt</t>
  </si>
  <si>
    <t>The Tree of Knowledge</t>
  </si>
  <si>
    <t>知识之树</t>
  </si>
  <si>
    <t>5181.txt</t>
  </si>
  <si>
    <t>Rooster Chick</t>
  </si>
  <si>
    <t>公鸡小鸡</t>
  </si>
  <si>
    <t>5182.txt</t>
  </si>
  <si>
    <t>Hen Chick</t>
  </si>
  <si>
    <t>母鸡小鸡</t>
  </si>
  <si>
    <t>5190.txt</t>
  </si>
  <si>
    <t>Burning Cheroot</t>
  </si>
  <si>
    <t>燃烧的樱桃</t>
  </si>
  <si>
    <t>5191.txt</t>
  </si>
  <si>
    <t>Burning Cheroot #2</t>
  </si>
  <si>
    <t>燃烧的切罗特#2</t>
  </si>
  <si>
    <t>5192.txt</t>
  </si>
  <si>
    <t>Burning Cheroot #3</t>
  </si>
  <si>
    <t>燃烧的切罗特#3</t>
  </si>
  <si>
    <t>5193.txt</t>
  </si>
  <si>
    <t>Nesting Hen #eggless</t>
  </si>
  <si>
    <t>窝母鸡#eggless</t>
  </si>
  <si>
    <t>5197.txt</t>
  </si>
  <si>
    <t>Dead Bull Mammoth #meatless</t>
  </si>
  <si>
    <t>死牛猛犸#meatless</t>
  </si>
  <si>
    <t>5198.txt</t>
  </si>
  <si>
    <t>Mammoth Hide Gambeson</t>
  </si>
  <si>
    <t>长毛象隐藏冈比亚</t>
  </si>
  <si>
    <t>5199.txt</t>
  </si>
  <si>
    <t>Templar Crown</t>
  </si>
  <si>
    <t>圣殿骑士王冠</t>
  </si>
  <si>
    <t>5200.txt</t>
  </si>
  <si>
    <t>Cooked Mammoth Meat</t>
  </si>
  <si>
    <t>熟猛犸肉</t>
  </si>
  <si>
    <t>5201.txt</t>
  </si>
  <si>
    <t>@ Barriers</t>
  </si>
  <si>
    <t>5202.txt</t>
  </si>
  <si>
    <t>@ Banners</t>
  </si>
  <si>
    <t>5203.txt</t>
  </si>
  <si>
    <t>Goose Feathers</t>
  </si>
  <si>
    <t>5204.txt</t>
  </si>
  <si>
    <t>@ 2HOL Swords</t>
  </si>
  <si>
    <t>5205.txt</t>
  </si>
  <si>
    <t>@ 2HOL Scabbards</t>
  </si>
  <si>
    <t>5206.txt</t>
  </si>
  <si>
    <t>@ 2HOL Holstered</t>
  </si>
  <si>
    <t>5207.txt</t>
  </si>
  <si>
    <t>@ Invasions</t>
  </si>
  <si>
    <t>5208.txt</t>
  </si>
  <si>
    <t>@ 2HOL Shields</t>
  </si>
  <si>
    <t>5215.txt</t>
  </si>
  <si>
    <t>Iron Griddle on Flat Rock</t>
  </si>
  <si>
    <t>平坦岩石上的铁网格</t>
  </si>
  <si>
    <t>5216.txt</t>
  </si>
  <si>
    <t>Hot Cast Iron Pan</t>
  </si>
  <si>
    <t>热铸铁锅</t>
  </si>
  <si>
    <t>5217.txt</t>
  </si>
  <si>
    <t>(outdated) Hot Cast Iron Pan with Raw Egg</t>
  </si>
  <si>
    <t>5218.txt</t>
  </si>
  <si>
    <t>(outdated) Hot Cast Iron Pan with Poaching Egg</t>
  </si>
  <si>
    <t>5219.txt</t>
  </si>
  <si>
    <t>Hot Cast Iron Pan with Sunny Egg</t>
  </si>
  <si>
    <t>热铸铁煎蛋</t>
  </si>
  <si>
    <t>5220.txt</t>
  </si>
  <si>
    <t>(outdated) Hot Cast Iron Pan with Poached Egg</t>
  </si>
  <si>
    <t>5221.txt</t>
  </si>
  <si>
    <t>@ Silk Clothes</t>
  </si>
  <si>
    <t>5223.txt</t>
  </si>
  <si>
    <t>Tobacco Seed</t>
  </si>
  <si>
    <t>烟草种子</t>
  </si>
  <si>
    <t>5224.txt</t>
  </si>
  <si>
    <t>Egg #male rooster</t>
  </si>
  <si>
    <t>蛋#male rooster</t>
  </si>
  <si>
    <t>5225.txt</t>
  </si>
  <si>
    <t>Egg #female hen</t>
  </si>
  <si>
    <t>鸡蛋#female hen</t>
  </si>
  <si>
    <t>5226.txt</t>
  </si>
  <si>
    <t>(outdated) Apple Cutting</t>
  </si>
  <si>
    <t>5227.txt</t>
  </si>
  <si>
    <t>(outdated) Dry Apple Cutting</t>
  </si>
  <si>
    <t>5228.txt</t>
  </si>
  <si>
    <t>Wet Apple Cutting</t>
  </si>
  <si>
    <t>湿苹果切割</t>
  </si>
  <si>
    <t>5229.txt</t>
  </si>
  <si>
    <t>Apple Sapling</t>
  </si>
  <si>
    <t>苹果Sapling</t>
  </si>
  <si>
    <t>5230.txt</t>
  </si>
  <si>
    <t>Poplar Sapling</t>
  </si>
  <si>
    <t>白杨树苗</t>
  </si>
  <si>
    <t>5231.txt</t>
  </si>
  <si>
    <t>Autumn Apple Tree</t>
  </si>
  <si>
    <t>秋天的苹果树</t>
  </si>
  <si>
    <t>5232.txt</t>
  </si>
  <si>
    <t>Spring Apple Tree</t>
  </si>
  <si>
    <t>春天的苹果树</t>
  </si>
  <si>
    <t>5233.txt</t>
  </si>
  <si>
    <t>The Tree of Knowledge #barren</t>
  </si>
  <si>
    <t>知识之树#barren</t>
  </si>
  <si>
    <t>5234.txt</t>
  </si>
  <si>
    <t>Winter Apple Tree</t>
  </si>
  <si>
    <t>冬季苹果树</t>
  </si>
  <si>
    <t>5235.txt</t>
  </si>
  <si>
    <t>Ploughed Furrow</t>
  </si>
  <si>
    <t>犁过的Furrow</t>
  </si>
  <si>
    <t>5255.txt</t>
  </si>
  <si>
    <t>Bucket of Grapes #good</t>
  </si>
  <si>
    <t>一桶葡萄#good</t>
  </si>
  <si>
    <t>5256.txt</t>
  </si>
  <si>
    <t>Bucket of Grape Must #good</t>
  </si>
  <si>
    <t>一桶葡萄一定很好#good</t>
  </si>
  <si>
    <t>5257.txt</t>
  </si>
  <si>
    <t>Bucket of Grape Juice #good</t>
  </si>
  <si>
    <t>一桶葡萄汁#good</t>
  </si>
  <si>
    <t>5260.txt</t>
  </si>
  <si>
    <t>Hoops</t>
  </si>
  <si>
    <t>5261.txt</t>
  </si>
  <si>
    <t>Windmill Kit</t>
  </si>
  <si>
    <t>风车套件</t>
  </si>
  <si>
    <t>5262.txt</t>
  </si>
  <si>
    <t>Bolts of Silk Cloth #4</t>
  </si>
  <si>
    <t>丝布螺栓#4</t>
  </si>
  <si>
    <t>5263.txt</t>
  </si>
  <si>
    <t>White Silk Rolls with Flat Rock</t>
  </si>
  <si>
    <t>白丝扁石卷</t>
  </si>
  <si>
    <t>5264.txt</t>
  </si>
  <si>
    <t>Ropes</t>
  </si>
  <si>
    <t>绳索</t>
  </si>
  <si>
    <t>5265.txt</t>
  </si>
  <si>
    <t>Figure Eight and Mammoth Hide</t>
  </si>
  <si>
    <t>图八与长毛象</t>
  </si>
  <si>
    <t>5266.txt</t>
  </si>
  <si>
    <t>Ripe Tobacco Plants #seedless</t>
  </si>
  <si>
    <t>成熟的烟草植物#seedless</t>
  </si>
  <si>
    <t>5267.txt</t>
  </si>
  <si>
    <t>Cured Tobacco Leaves #3</t>
  </si>
  <si>
    <t>腌制烟叶#3</t>
  </si>
  <si>
    <t>5268.txt</t>
  </si>
  <si>
    <t>Cured Tobacco Leaves #2</t>
  </si>
  <si>
    <t>腌制烟叶#2</t>
  </si>
  <si>
    <t>5269.txt</t>
  </si>
  <si>
    <t>Cured Tobacco Leaves #1</t>
  </si>
  <si>
    <t>腌制烟叶#1</t>
  </si>
  <si>
    <t>5270.txt</t>
  </si>
  <si>
    <t>Burning Butt #3</t>
  </si>
  <si>
    <t>燃烧屁股#3</t>
  </si>
  <si>
    <t>5271.txt</t>
  </si>
  <si>
    <t>@ 2HOL stews</t>
  </si>
  <si>
    <t>5272.txt</t>
  </si>
  <si>
    <t>@ 2HOL stews veggie</t>
  </si>
  <si>
    <t>5273.txt</t>
  </si>
  <si>
    <t>Bowl of Veggie Stew</t>
  </si>
  <si>
    <t>一碗素食炖菜</t>
  </si>
  <si>
    <t>5274.txt</t>
  </si>
  <si>
    <t>Hot Iron Griddle #flat rock</t>
  </si>
  <si>
    <t>热铁格栅#flat rock</t>
  </si>
  <si>
    <t>5275.txt</t>
  </si>
  <si>
    <t>(outdated) Hot Stove Pot #flat rock</t>
  </si>
  <si>
    <t>#flat rock</t>
  </si>
  <si>
    <t>5276.txt</t>
  </si>
  <si>
    <t>(outdated) Stove Pot on Flat Rock #cool</t>
  </si>
  <si>
    <t>#cool</t>
  </si>
  <si>
    <t>5277.txt</t>
  </si>
  <si>
    <t>Camping Stove with Hot Water</t>
  </si>
  <si>
    <t>带热水的露营炉</t>
  </si>
  <si>
    <t>5278.txt</t>
  </si>
  <si>
    <t>(outdated) Camping Stove #hot stew veggie</t>
  </si>
  <si>
    <t>#hot stew veggie</t>
  </si>
  <si>
    <t>5279.txt</t>
  </si>
  <si>
    <t>(outdated) Camping Stove #cold stew ashes veggie</t>
  </si>
  <si>
    <t>#cold stew ashes veggie</t>
  </si>
  <si>
    <t>5280.txt</t>
  </si>
  <si>
    <t>Mammoth Hide Skirt</t>
  </si>
  <si>
    <t>长毛皮裙</t>
  </si>
  <si>
    <t>5281.txt</t>
  </si>
  <si>
    <t>Mammoth Hide Helm</t>
  </si>
  <si>
    <t>长毛隐藏头盔</t>
  </si>
  <si>
    <t>5282.txt</t>
  </si>
  <si>
    <t>Figure Eight</t>
  </si>
  <si>
    <t>图八</t>
  </si>
  <si>
    <t>5283.txt</t>
  </si>
  <si>
    <t>Mammoth Tackle</t>
  </si>
  <si>
    <t>5284.txt</t>
  </si>
  <si>
    <t>Steel Blade Blank with Copper Plate</t>
  </si>
  <si>
    <t>带铜板的钢制叶片毛坯</t>
  </si>
  <si>
    <t>5285.txt</t>
  </si>
  <si>
    <t>Blade Blank and Copper Plate in Tongs</t>
  </si>
  <si>
    <t>铜钳中的叶片毛坯和铜板</t>
  </si>
  <si>
    <t>5286.txt</t>
  </si>
  <si>
    <t>Hot Blank and Copper Plate in Tongs</t>
  </si>
  <si>
    <t>热坯料和铜钳中的铜板</t>
  </si>
  <si>
    <t>5287.txt</t>
  </si>
  <si>
    <t>Hot Blank and Copper Plate#flat rock</t>
  </si>
  <si>
    <t>热坯料和铜板#flat rock</t>
  </si>
  <si>
    <t>5288.txt</t>
  </si>
  <si>
    <t>Cool Blank and Copper Plate in Tongs</t>
  </si>
  <si>
    <t>冷坯料和铜钳中的铜板</t>
  </si>
  <si>
    <t>5289.txt</t>
  </si>
  <si>
    <t>Cool Blank and Copper Plate#flat rock</t>
  </si>
  <si>
    <t>冷坯铜板#flat rock</t>
  </si>
  <si>
    <t>5290.txt</t>
  </si>
  <si>
    <t>Copper Clad Sword#flat rock</t>
  </si>
  <si>
    <t>铜包剑#flat rock</t>
  </si>
  <si>
    <t>5291.txt</t>
  </si>
  <si>
    <t>Mammoth Tusks</t>
  </si>
  <si>
    <t>长毛象</t>
  </si>
  <si>
    <t>5292.txt</t>
  </si>
  <si>
    <t>Mammoth Tusks #3</t>
  </si>
  <si>
    <t>长毛象3号#3</t>
  </si>
  <si>
    <t>5294.txt</t>
  </si>
  <si>
    <t>Flint and Steel</t>
  </si>
  <si>
    <t>打火石</t>
  </si>
  <si>
    <t>5295.txt</t>
  </si>
  <si>
    <t>@ 2HOL Eggs</t>
  </si>
  <si>
    <t>5296.txt</t>
  </si>
  <si>
    <t>(outdated) Bottle of Vinegar</t>
  </si>
  <si>
    <t>5297.txt</t>
  </si>
  <si>
    <t>@ Unshot Mammoth</t>
  </si>
  <si>
    <t>5298.txt</t>
  </si>
  <si>
    <t>@ Unshot 2HOL birds</t>
  </si>
  <si>
    <t>5299.txt</t>
  </si>
  <si>
    <t>@ Unshot Mammoth cows</t>
  </si>
  <si>
    <t>5300.txt</t>
  </si>
  <si>
    <t>Mossy Big Hard Rock #bull eating</t>
  </si>
  <si>
    <t>Mossy Big Hard Rock#bull eating</t>
  </si>
  <si>
    <t>5301.txt</t>
  </si>
  <si>
    <t>Mossy Big Hard Rock #cow eating</t>
  </si>
  <si>
    <t>Mossy Big Hard Rock#cow eating</t>
  </si>
  <si>
    <t>5302.txt</t>
  </si>
  <si>
    <t>Bull Mammoth with Plough</t>
  </si>
  <si>
    <t>犁牛猛犸</t>
  </si>
  <si>
    <t>5304.txt</t>
  </si>
  <si>
    <t>Firewood Stack</t>
  </si>
  <si>
    <t>柴火烟囱</t>
  </si>
  <si>
    <t>5305.txt</t>
  </si>
  <si>
    <t>Firewood Stack #3</t>
  </si>
  <si>
    <t>柴火烟囱#3</t>
  </si>
  <si>
    <t>5306.txt</t>
  </si>
  <si>
    <t>Firewood Stack #4</t>
  </si>
  <si>
    <t>4号柴火堆#4</t>
  </si>
  <si>
    <t>5307.txt</t>
  </si>
  <si>
    <t>Bull Mammoth Calf #just left</t>
  </si>
  <si>
    <t>牛猛犸小牛#just left</t>
  </si>
  <si>
    <t>5308.txt</t>
  </si>
  <si>
    <t>Cow Mammoth Calf #just left</t>
  </si>
  <si>
    <t>奶牛猛犸小牛#just left</t>
  </si>
  <si>
    <t>5309.txt</t>
  </si>
  <si>
    <t>@ Shot Mammoth cows</t>
  </si>
  <si>
    <t>5310.txt</t>
  </si>
  <si>
    <t>@ Shot Mammoth bulls</t>
  </si>
  <si>
    <t>5311.txt</t>
  </si>
  <si>
    <t>Dead Cow Mammoth#meatless</t>
  </si>
  <si>
    <t>5312.txt</t>
  </si>
  <si>
    <t>Plough Kit</t>
  </si>
  <si>
    <t>犁套件</t>
  </si>
  <si>
    <t>5313.txt</t>
  </si>
  <si>
    <t>Dead Bull Mammoth #just killed</t>
  </si>
  <si>
    <t>死牛猛犸#just killed</t>
  </si>
  <si>
    <t>5315.txt</t>
  </si>
  <si>
    <t>Hen #brooding unfertilized</t>
  </si>
  <si>
    <t>母鸡#brooding unfertilized</t>
  </si>
  <si>
    <t>5318.txt</t>
  </si>
  <si>
    <t>Milkweed Coin</t>
  </si>
  <si>
    <t>Milkweed硬币</t>
  </si>
  <si>
    <t>5319.txt</t>
  </si>
  <si>
    <t>Milkweed Coins #2</t>
  </si>
  <si>
    <t>Milkweed硬币#2</t>
  </si>
  <si>
    <t>5320.txt</t>
  </si>
  <si>
    <t>Milkweed Coins #3</t>
  </si>
  <si>
    <t>Milkweed硬币#3</t>
  </si>
  <si>
    <t>5321.txt</t>
  </si>
  <si>
    <t>Milkweed Coins #4</t>
  </si>
  <si>
    <t>Milkweed硬币#4</t>
  </si>
  <si>
    <t>5322.txt</t>
  </si>
  <si>
    <t>Milkweed Coins #5</t>
  </si>
  <si>
    <t>Milkweed硬币#5</t>
  </si>
  <si>
    <t>5323.txt</t>
  </si>
  <si>
    <t>Milkweed Coins #10</t>
  </si>
  <si>
    <t>Milkweed硬币#10</t>
  </si>
  <si>
    <t>5324.txt</t>
  </si>
  <si>
    <t>Milkweed Coins #15</t>
  </si>
  <si>
    <t>Milkweed硬币#15</t>
  </si>
  <si>
    <t>5325.txt</t>
  </si>
  <si>
    <t>Silver Coin</t>
  </si>
  <si>
    <t>银币</t>
  </si>
  <si>
    <t>5326.txt</t>
  </si>
  <si>
    <t>Silver Coins #2</t>
  </si>
  <si>
    <t>银币#2</t>
  </si>
  <si>
    <t>5327.txt</t>
  </si>
  <si>
    <t>Silver Coins #3</t>
  </si>
  <si>
    <t>银币#3</t>
  </si>
  <si>
    <t>5328.txt</t>
  </si>
  <si>
    <t>Silver Coins #4</t>
  </si>
  <si>
    <t>银币#4</t>
  </si>
  <si>
    <t>5329.txt</t>
  </si>
  <si>
    <t>Silver Coins #5</t>
  </si>
  <si>
    <t>银币#5</t>
  </si>
  <si>
    <t>5330.txt</t>
  </si>
  <si>
    <t>Windmill #2hoL Advertisement</t>
  </si>
  <si>
    <t>Windmill#2hoL Advertisement</t>
  </si>
  <si>
    <t>5331.txt</t>
  </si>
  <si>
    <t>Silver Ore #2HOL</t>
  </si>
  <si>
    <t>2HOL号银矿#2HOL</t>
  </si>
  <si>
    <t>5332.txt</t>
  </si>
  <si>
    <t>Silver Ore in Wooden Tongs #2HOL</t>
  </si>
  <si>
    <t>木钳中的银矿#2HOL</t>
  </si>
  <si>
    <t>5333.txt</t>
  </si>
  <si>
    <t>Hot Silver Bloom #2HOL</t>
  </si>
  <si>
    <t>热银花#2HOL</t>
  </si>
  <si>
    <t>5334.txt</t>
  </si>
  <si>
    <t>Cold Silver Bloom #2HOL</t>
  </si>
  <si>
    <t>冷银花#2HOL</t>
  </si>
  <si>
    <t>5335.txt</t>
  </si>
  <si>
    <t>Hot Silver Bloom in Wooden Tongs #2HOL</t>
  </si>
  <si>
    <t>热银花在木钳#2HOL</t>
  </si>
  <si>
    <t>5336.txt</t>
  </si>
  <si>
    <t>Cold Silver Bloom in Wooden Tongs #2HOL</t>
  </si>
  <si>
    <t>冷银花在木钳#2HOL</t>
  </si>
  <si>
    <t>5337.txt</t>
  </si>
  <si>
    <t>Cold Silver Bloom on Flat Rock #2HOL</t>
  </si>
  <si>
    <t>冷银在平岩上绽放#2HOL</t>
  </si>
  <si>
    <t>5338.txt</t>
  </si>
  <si>
    <t>Hot Silver Bloom on Flat Rock #2HOL</t>
  </si>
  <si>
    <t>热银绽放在平坦的岩石上#2HOL</t>
  </si>
  <si>
    <t>5339.txt</t>
  </si>
  <si>
    <t>Silver Vein</t>
  </si>
  <si>
    <t>银脉</t>
  </si>
  <si>
    <t>5340.txt</t>
  </si>
  <si>
    <t>Five Silver Coins on Flat Rock</t>
  </si>
  <si>
    <t>平石五枚银币</t>
  </si>
  <si>
    <t>5341.txt</t>
  </si>
  <si>
    <t>Mammoth Hide Gambeson #cloak</t>
  </si>
  <si>
    <t>长毛象隐藏Gambeson#cloak</t>
  </si>
  <si>
    <t>5342.txt</t>
  </si>
  <si>
    <t>Mammoth Hide Gambeson #cloak blue</t>
  </si>
  <si>
    <t>长毛象隐藏Gambeson#cloak blue</t>
  </si>
  <si>
    <t>5343.txt</t>
  </si>
  <si>
    <t>Mammoth Hide Gambeson #cloak red</t>
  </si>
  <si>
    <t>长毛象隐藏Gambeson#cloak red</t>
  </si>
  <si>
    <t>5344.txt</t>
  </si>
  <si>
    <t>Mammoth Hide Gambeson #cloak blue gold</t>
  </si>
  <si>
    <t>长毛象隐藏Gambeson#cloak blue gold</t>
  </si>
  <si>
    <t>5345.txt</t>
  </si>
  <si>
    <t>Mammoth Hide Gambeson #cloak red gold</t>
  </si>
  <si>
    <t>长毛象隐藏Gambeson#cloak red gold</t>
  </si>
  <si>
    <t>5346.txt</t>
  </si>
  <si>
    <t>Mammoth Hide Officer Helm</t>
  </si>
  <si>
    <t>长毛象隐藏官盔</t>
  </si>
  <si>
    <t>5347.txt</t>
  </si>
  <si>
    <t>Ancient Stone Wall Corner</t>
  </si>
  <si>
    <t>古代石墙转角</t>
  </si>
  <si>
    <t>6349.txt</t>
  </si>
  <si>
    <t>Wild Stallion</t>
  </si>
  <si>
    <t>野生种马</t>
  </si>
  <si>
    <t>6350.txt</t>
  </si>
  <si>
    <t>Bridled Stallion</t>
  </si>
  <si>
    <t>贿赂种马</t>
  </si>
  <si>
    <t>6351.txt</t>
  </si>
  <si>
    <t>Armored Charger</t>
  </si>
  <si>
    <t>铠装充电器</t>
  </si>
  <si>
    <t>6352.txt</t>
  </si>
  <si>
    <t>Armored War Charger</t>
  </si>
  <si>
    <t>装甲战争充电器</t>
  </si>
  <si>
    <t>6353.txt</t>
  </si>
  <si>
    <t>Armored War Charger #templar</t>
  </si>
  <si>
    <t>装甲冲锋枪#templar</t>
  </si>
  <si>
    <t>6354.txt</t>
  </si>
  <si>
    <t>Armored War Charger #oblivion</t>
  </si>
  <si>
    <t>装甲冲锋枪#oblivion</t>
  </si>
  <si>
    <t>6355.txt</t>
  </si>
  <si>
    <t>Armored War Charger #baget</t>
  </si>
  <si>
    <t>装甲战争充电器#baget</t>
  </si>
  <si>
    <t>6356.txt</t>
  </si>
  <si>
    <t>Armored War Charger #sparta</t>
  </si>
  <si>
    <t>装甲战争充电器#sparta</t>
  </si>
  <si>
    <t>6357.txt</t>
  </si>
  <si>
    <t>Armored War Charger #ivory</t>
  </si>
  <si>
    <t>装甲冲锋枪#ivory</t>
  </si>
  <si>
    <t>6358.txt</t>
  </si>
  <si>
    <t>Armored War Charger #avalon</t>
  </si>
  <si>
    <t>装甲战争充电器#avalon</t>
  </si>
  <si>
    <t>6359.txt</t>
  </si>
  <si>
    <t>Armored War Charger #meow</t>
  </si>
  <si>
    <t>装甲战争充电器#meow</t>
  </si>
  <si>
    <t>6361.txt</t>
  </si>
  <si>
    <t>Armored War Charger #commonwealth</t>
  </si>
  <si>
    <t>联邦装甲冲锋枪#commonwealth</t>
  </si>
  <si>
    <t>6362.txt</t>
  </si>
  <si>
    <t>Armored War Charger #lucky</t>
  </si>
  <si>
    <t>装甲战争充电器#lucky</t>
  </si>
  <si>
    <t>6363.txt</t>
  </si>
  <si>
    <t>@ 2HOL Chargers</t>
  </si>
  <si>
    <t>6364.txt</t>
  </si>
  <si>
    <t>Rocket Explosion</t>
  </si>
  <si>
    <t>火箭爆炸</t>
  </si>
  <si>
    <t>6365.txt</t>
  </si>
  <si>
    <t>@ 2HOL Bannermen</t>
  </si>
  <si>
    <t>6366.txt</t>
  </si>
  <si>
    <t>@ 2HOL Cavalry</t>
  </si>
  <si>
    <t>6367.txt</t>
  </si>
  <si>
    <t>Mammoth Greaves</t>
  </si>
  <si>
    <t>长毛格里夫斯</t>
  </si>
  <si>
    <t>6370.txt</t>
  </si>
  <si>
    <t>@ armor</t>
  </si>
  <si>
    <t>6372.txt</t>
  </si>
  <si>
    <t>Work Stallion</t>
  </si>
  <si>
    <t>工作停滞</t>
  </si>
  <si>
    <t>6373.txt</t>
  </si>
  <si>
    <t>Captured Stallion</t>
  </si>
  <si>
    <t>捕获的种马</t>
  </si>
  <si>
    <t>6374.txt</t>
  </si>
  <si>
    <t>Fur Coat Stallion</t>
  </si>
  <si>
    <t>毛皮种马</t>
  </si>
  <si>
    <t>6375.txt</t>
  </si>
  <si>
    <t>Fur Coat Stallion #strap</t>
  </si>
  <si>
    <t>毛皮大衣种马#strap</t>
  </si>
  <si>
    <t>6376.txt</t>
  </si>
  <si>
    <t>Merchant</t>
  </si>
  <si>
    <t>商人</t>
  </si>
  <si>
    <t>6378.txt</t>
  </si>
  <si>
    <t>Merchant Goods</t>
  </si>
  <si>
    <t>商户商品</t>
  </si>
  <si>
    <t>6379.txt</t>
  </si>
  <si>
    <t>Dye Merchant</t>
  </si>
  <si>
    <t>染料商人</t>
  </si>
  <si>
    <t>6380.txt</t>
  </si>
  <si>
    <t>Dye Merchant Goods</t>
  </si>
  <si>
    <t>染料商人商品</t>
  </si>
  <si>
    <t>6381.txt</t>
  </si>
  <si>
    <t>Leprechaun</t>
  </si>
  <si>
    <t>小妖精</t>
  </si>
  <si>
    <t>6382.txt</t>
  </si>
  <si>
    <t>Leprechaun Chance</t>
  </si>
  <si>
    <t>小妖精机会</t>
  </si>
  <si>
    <t>6383.txt</t>
  </si>
  <si>
    <t>Small Money Bag</t>
  </si>
  <si>
    <t>小钱袋</t>
  </si>
  <si>
    <t>6384.txt</t>
  </si>
  <si>
    <t>Medium Money Bag</t>
  </si>
  <si>
    <t>中号钱袋</t>
  </si>
  <si>
    <t>6385.txt</t>
  </si>
  <si>
    <t>Large Money Bag</t>
  </si>
  <si>
    <t>大钱袋</t>
  </si>
  <si>
    <t>6386.txt</t>
  </si>
  <si>
    <t>Gold Bars</t>
  </si>
  <si>
    <t>金条</t>
  </si>
  <si>
    <t>6387.txt</t>
  </si>
  <si>
    <t>Small Money Bag#empty</t>
  </si>
  <si>
    <t>小钱袋#empty</t>
  </si>
  <si>
    <t>6388.txt</t>
  </si>
  <si>
    <t>Medium Money Bag#5</t>
  </si>
  <si>
    <t>中号钱袋#5</t>
  </si>
  <si>
    <t>6389.txt</t>
  </si>
  <si>
    <t>Large Money Bag#10</t>
  </si>
  <si>
    <t>大钱袋#10</t>
  </si>
  <si>
    <t>6390.txt</t>
  </si>
  <si>
    <t>Loom with Silk Warp</t>
  </si>
  <si>
    <t>经丝织机</t>
  </si>
  <si>
    <t>6391.txt</t>
  </si>
  <si>
    <t>Loom with Silk Cloth</t>
  </si>
  <si>
    <t>丝绸织机</t>
  </si>
  <si>
    <t>6392.txt</t>
  </si>
  <si>
    <t>Loom with Cut Silk Cloth</t>
  </si>
  <si>
    <t>裁丝织机</t>
  </si>
  <si>
    <t>6393.txt</t>
  </si>
  <si>
    <t>Skeleton Horse</t>
  </si>
  <si>
    <t>骷髅马</t>
  </si>
  <si>
    <t>6394.txt</t>
  </si>
  <si>
    <t>Cotton Plant</t>
  </si>
  <si>
    <t>棉花厂</t>
  </si>
  <si>
    <t>6395.txt</t>
  </si>
  <si>
    <t>Cotton Plant#budding</t>
  </si>
  <si>
    <t>棉花厂#budding</t>
  </si>
  <si>
    <t>6396.txt</t>
  </si>
  <si>
    <t>Cotton Plant#boll</t>
  </si>
  <si>
    <t>棉花厂#boll</t>
  </si>
  <si>
    <t>6397.txt</t>
  </si>
  <si>
    <t>Cotton Plant#pickable</t>
  </si>
  <si>
    <t>棉花厂#pickable</t>
  </si>
  <si>
    <t>6398.txt</t>
  </si>
  <si>
    <t>Cotton Sapling</t>
  </si>
  <si>
    <t>棉花树苗</t>
  </si>
  <si>
    <t>6399.txt</t>
  </si>
  <si>
    <t>Cotton Seed</t>
  </si>
  <si>
    <t>棉花种子</t>
  </si>
  <si>
    <t>6400.txt</t>
  </si>
  <si>
    <t>Spinning Wheel</t>
  </si>
  <si>
    <t>纺车</t>
  </si>
  <si>
    <t>6401.txt</t>
  </si>
  <si>
    <t>Spinning Wheel#in use</t>
  </si>
  <si>
    <t>使用中的纺车#in use</t>
  </si>
  <si>
    <t>6402.txt</t>
  </si>
  <si>
    <t>Cotton Capsule</t>
  </si>
  <si>
    <t>棉质胶囊</t>
  </si>
  <si>
    <t>6403.txt</t>
  </si>
  <si>
    <t>Loom with Cotton Cloth</t>
  </si>
  <si>
    <t>棉布织机</t>
  </si>
  <si>
    <t>6404.txt</t>
  </si>
  <si>
    <t>Loom with Cut Cotton Cloth</t>
  </si>
  <si>
    <t>裁剪棉布织机</t>
  </si>
  <si>
    <t>6405.txt</t>
  </si>
  <si>
    <t>Bolt of Cotton Cloth</t>
  </si>
  <si>
    <t>棉布螺栓</t>
  </si>
  <si>
    <t>6406.txt</t>
  </si>
  <si>
    <t>Loom with Cotton Warp</t>
  </si>
  <si>
    <t>棉经织机</t>
  </si>
  <si>
    <t>6407.txt</t>
  </si>
  <si>
    <t>Huge Ball of Cotton Yarn</t>
  </si>
  <si>
    <t>巨大的棉球</t>
  </si>
  <si>
    <t>6408.txt</t>
  </si>
  <si>
    <t>Dry Planted Cotton Seed</t>
  </si>
  <si>
    <t>旱地棉花种子</t>
  </si>
  <si>
    <t>6409.txt</t>
  </si>
  <si>
    <t>Wet Planted Cotton Seed</t>
  </si>
  <si>
    <t>湿植棉花种子</t>
  </si>
  <si>
    <t>6410.txt</t>
  </si>
  <si>
    <t>Wet Cotton Sapling</t>
  </si>
  <si>
    <t>湿棉苗</t>
  </si>
  <si>
    <t>6411.txt</t>
  </si>
  <si>
    <t>Wild Cotton Plant#pickable</t>
  </si>
  <si>
    <t>野生棉花植物#pickable</t>
  </si>
  <si>
    <t>6412.txt</t>
  </si>
  <si>
    <t>Short and Curved Shaft</t>
  </si>
  <si>
    <t>短轴和曲轴</t>
  </si>
  <si>
    <t>6413.txt</t>
  </si>
  <si>
    <t>Clothing Wheel</t>
  </si>
  <si>
    <t>布轮</t>
  </si>
  <si>
    <t>6414.txt</t>
  </si>
  <si>
    <t>Clothing Wheel#in progress</t>
  </si>
  <si>
    <t>6415.txt</t>
  </si>
  <si>
    <t>Clothing Wheel#complete</t>
  </si>
  <si>
    <t>服装轮#complete</t>
  </si>
  <si>
    <t>6416.txt</t>
  </si>
  <si>
    <t>(outdated) Spinning Wheel Frame</t>
  </si>
  <si>
    <t>6417.txt</t>
  </si>
  <si>
    <t>(outdated) Spinning Wheel Frame and Wheel</t>
  </si>
  <si>
    <t>6418.txt</t>
  </si>
  <si>
    <t>Bolts of Cotton Cloth</t>
  </si>
  <si>
    <t>6419.txt</t>
  </si>
  <si>
    <t>Bolts of Wool Cloth</t>
  </si>
  <si>
    <t>6420.txt</t>
  </si>
  <si>
    <t>Cave</t>
  </si>
  <si>
    <t>山洞</t>
  </si>
  <si>
    <t>6421.txt</t>
  </si>
  <si>
    <t>Mine #1</t>
  </si>
  <si>
    <t>矿井#1</t>
  </si>
  <si>
    <t>6423.txt</t>
  </si>
  <si>
    <t>Mine #2</t>
  </si>
  <si>
    <t>矿井#2</t>
  </si>
  <si>
    <t>6424.txt</t>
  </si>
  <si>
    <t>(outdated) Mine Shaft #upgrade 3</t>
  </si>
  <si>
    <t>#upgrade 3</t>
  </si>
  <si>
    <t>6425.txt</t>
  </si>
  <si>
    <t>@ Mining Loot (outdated)</t>
  </si>
  <si>
    <t>6426.txt</t>
  </si>
  <si>
    <t>Silver Ore Pile</t>
  </si>
  <si>
    <t>银矿堆</t>
  </si>
  <si>
    <t>6427.txt</t>
  </si>
  <si>
    <t>Hand Cart with Loom</t>
  </si>
  <si>
    <t>带织机的手推车</t>
  </si>
  <si>
    <t>6428.txt</t>
  </si>
  <si>
    <t>@ Cart Movable Object</t>
  </si>
  <si>
    <t>6429.txt</t>
  </si>
  <si>
    <t>@ Movable Object in Cart</t>
  </si>
  <si>
    <t>6430.txt</t>
  </si>
  <si>
    <t>Hand Cart with Spinning Wheel</t>
  </si>
  <si>
    <t>带纺车的手推车</t>
  </si>
  <si>
    <t>6431.txt</t>
  </si>
  <si>
    <t>(outdated) Empty Creamery Stack</t>
  </si>
  <si>
    <t>6438.txt</t>
  </si>
  <si>
    <t>Deep Water# +noHighlight</t>
  </si>
  <si>
    <t>深水# +noHighlight</t>
  </si>
  <si>
    <t>6439.txt</t>
  </si>
  <si>
    <t>Bowl of Bait</t>
  </si>
  <si>
    <t>一碗鱼饵</t>
  </si>
  <si>
    <t>6440.txt</t>
  </si>
  <si>
    <t>(outdated) Cheese Wedge In a Bowl</t>
  </si>
  <si>
    <t>6441.txt</t>
  </si>
  <si>
    <t>Bread In a Bowl</t>
  </si>
  <si>
    <t>碗里的面包</t>
  </si>
  <si>
    <t>6442.txt</t>
  </si>
  <si>
    <t>6443.txt</t>
  </si>
  <si>
    <t>@ Pre-Bait Bowl</t>
  </si>
  <si>
    <t>6444.txt</t>
  </si>
  <si>
    <t>Stand with Flag#kitchen</t>
  </si>
  <si>
    <t>与旗帜站在一起#kitchen</t>
  </si>
  <si>
    <t>6445.txt</t>
  </si>
  <si>
    <t>Stand with Flag#blacksmith</t>
  </si>
  <si>
    <t>与旗帜站在一起#blacksmith</t>
  </si>
  <si>
    <t>6446.txt</t>
  </si>
  <si>
    <t>Stand with Flag#tailor</t>
  </si>
  <si>
    <t>与旗帜站在一起#tailor</t>
  </si>
  <si>
    <t>6447.txt</t>
  </si>
  <si>
    <t>Bear House Flag Stand</t>
  </si>
  <si>
    <t>熊屋旗架</t>
  </si>
  <si>
    <t>6448.txt</t>
  </si>
  <si>
    <t>Llama House Flag Stand</t>
  </si>
  <si>
    <t>Llama House旗架</t>
  </si>
  <si>
    <t>6449.txt</t>
  </si>
  <si>
    <t>Wolf House Flag Stand</t>
  </si>
  <si>
    <t>狼屋旗架</t>
  </si>
  <si>
    <t>6450.txt</t>
  </si>
  <si>
    <t>Horse House Flag Stand</t>
  </si>
  <si>
    <t>马屋旗架</t>
  </si>
  <si>
    <t>6451.txt</t>
  </si>
  <si>
    <t>Scarecrow Stand</t>
  </si>
  <si>
    <t>稻草人支架</t>
  </si>
  <si>
    <t>6452.txt</t>
  </si>
  <si>
    <t>Stone Wall#flagholder</t>
  </si>
  <si>
    <t>石墙#flagholder</t>
  </si>
  <si>
    <t>6453.txt</t>
  </si>
  <si>
    <t>Stone Wall#horseflag</t>
  </si>
  <si>
    <t>石墙#horseflag</t>
  </si>
  <si>
    <t>6454.txt</t>
  </si>
  <si>
    <t>Stone Wall#wolfflag</t>
  </si>
  <si>
    <t>石墙#wolfflag</t>
  </si>
  <si>
    <t>6455.txt</t>
  </si>
  <si>
    <t>Stone Wall#llamaflag</t>
  </si>
  <si>
    <t>石墙#llamaflag</t>
  </si>
  <si>
    <t>6456.txt</t>
  </si>
  <si>
    <t>Stone Wall#bearflag</t>
  </si>
  <si>
    <t>石墙#bearflag</t>
  </si>
  <si>
    <t>6457.txt</t>
  </si>
  <si>
    <t>Stone Wall#kitchenflag</t>
  </si>
  <si>
    <t>石墙#kitchenflag</t>
  </si>
  <si>
    <t>6458.txt</t>
  </si>
  <si>
    <t>Stone Wall#blacksmithflag</t>
  </si>
  <si>
    <t>石墙#blacksmithflag</t>
  </si>
  <si>
    <t>6459.txt</t>
  </si>
  <si>
    <t>Stone Wall#tailorflag</t>
  </si>
  <si>
    <t>石墙#tailorflag</t>
  </si>
  <si>
    <t>6460.txt</t>
  </si>
  <si>
    <t>Tailor Flag Roll</t>
  </si>
  <si>
    <t>裁縫旗卷</t>
  </si>
  <si>
    <t>裁缝旗卷</t>
  </si>
  <si>
    <t>6461.txt</t>
  </si>
  <si>
    <t>Blacksmith Flag Roll</t>
  </si>
  <si>
    <t>鐵匠旗卷</t>
  </si>
  <si>
    <t>铁匠旗卷</t>
  </si>
  <si>
    <t>6462.txt</t>
  </si>
  <si>
    <t>Kitchen Flag Roll</t>
  </si>
  <si>
    <t>廚房旗卷</t>
  </si>
  <si>
    <t>厨房旗卷</t>
  </si>
  <si>
    <t>6463.txt</t>
  </si>
  <si>
    <t>Horse Flag Roll</t>
  </si>
  <si>
    <t>馬匹旗卷</t>
  </si>
  <si>
    <t>马旗滚</t>
  </si>
  <si>
    <t>6464.txt</t>
  </si>
  <si>
    <t>Wolf Flag Roll</t>
  </si>
  <si>
    <t>狼旗卷</t>
  </si>
  <si>
    <t>6465.txt</t>
  </si>
  <si>
    <t>Llama Flag Roll</t>
  </si>
  <si>
    <t>羊駝旗卷</t>
  </si>
  <si>
    <t>Llama旗卷</t>
  </si>
  <si>
    <t>6466.txt</t>
  </si>
  <si>
    <t>Bear Flag Roll</t>
  </si>
  <si>
    <t>熊旗卷</t>
  </si>
  <si>
    <t>熊旗滚</t>
  </si>
  <si>
    <t>6467.txt</t>
  </si>
  <si>
    <t>@ FlagItems</t>
  </si>
  <si>
    <t>6468.txt</t>
  </si>
  <si>
    <t>@ FlagRolls</t>
  </si>
  <si>
    <t>6469.txt</t>
  </si>
  <si>
    <t>@ FlagStands</t>
  </si>
  <si>
    <t>6470.txt</t>
  </si>
  <si>
    <t>@ FlagWall</t>
  </si>
  <si>
    <t>6471.txt</t>
  </si>
  <si>
    <t>Stone Wall#flagholdefloor</t>
  </si>
  <si>
    <t>石牆#flagholdefloor</t>
  </si>
  <si>
    <t>石墙#flagholdefloor</t>
  </si>
  <si>
    <t>6472.txt</t>
  </si>
  <si>
    <t>Two Tied Short Shafts</t>
  </si>
  <si>
    <t>兩個繫緊的短棍</t>
  </si>
  <si>
    <t>两根系紧的短轴</t>
  </si>
  <si>
    <t>6474.txt</t>
  </si>
  <si>
    <t>Cotton Fustanella</t>
  </si>
  <si>
    <t>棉制短裙</t>
  </si>
  <si>
    <t>棉质Fustanella</t>
  </si>
  <si>
    <t>6475.txt</t>
  </si>
  <si>
    <t>Cotton Shawl</t>
  </si>
  <si>
    <t>棉披肩</t>
  </si>
  <si>
    <t>6476.txt</t>
  </si>
  <si>
    <t>Cotton Sheet #1 #held</t>
  </si>
  <si>
    <t>一個棉片#1 #held</t>
  </si>
  <si>
    <t>1号棉床单#1 #held</t>
  </si>
  <si>
    <t>6477.txt</t>
  </si>
  <si>
    <t>Cotton Sheets #2</t>
  </si>
  <si>
    <t>兩個棉片#2</t>
  </si>
  <si>
    <t>棉床单#2</t>
  </si>
  <si>
    <t>6478.txt</t>
  </si>
  <si>
    <t>Cotton Sheets #3</t>
  </si>
  <si>
    <t>三個棉片#3</t>
  </si>
  <si>
    <t>棉床单#3</t>
  </si>
  <si>
    <t>6479.txt</t>
  </si>
  <si>
    <t>Cotton Sheets #4</t>
  </si>
  <si>
    <t>四個棉片#4</t>
  </si>
  <si>
    <t>棉床单#4</t>
  </si>
  <si>
    <t>6480.txt</t>
  </si>
  <si>
    <t>Backpack with Fishing Pole</t>
  </si>
  <si>
    <t>裝備釣魚竿的兔皮揹包</t>
  </si>
  <si>
    <t>带钓鱼杆的背包</t>
  </si>
  <si>
    <t>6481.txt</t>
  </si>
  <si>
    <t>Backpack with Fishing Pole#hookless</t>
  </si>
  <si>
    <t>裝備無鉤釣魚竿的兔皮揹包#hookless</t>
  </si>
  <si>
    <t>带钓鱼杆#hookless</t>
  </si>
  <si>
    <t>6482.txt</t>
  </si>
  <si>
    <t>Filleted Fish on Flat Rock</t>
  </si>
  <si>
    <t>石板上的魚片</t>
  </si>
  <si>
    <t>平石鱼片</t>
  </si>
  <si>
    <t>6483.txt</t>
  </si>
  <si>
    <t>Char on Flat Rock</t>
  </si>
  <si>
    <t>石板上的北極魚</t>
  </si>
  <si>
    <t>平地上的木炭</t>
  </si>
  <si>
    <t>6484.txt</t>
  </si>
  <si>
    <t xml:space="preserve">Skewered Char Fillets </t>
  </si>
  <si>
    <t>北極魚片串</t>
  </si>
  <si>
    <t>斜焦圆角</t>
  </si>
  <si>
    <t>6485.txt</t>
  </si>
  <si>
    <t>Cooked Skewered Char Fillets</t>
  </si>
  <si>
    <t>烹飪好的北極魚片串</t>
  </si>
  <si>
    <t>熟叉烧鱼片</t>
  </si>
  <si>
    <t>6486.txt</t>
  </si>
  <si>
    <t>Fish Leftovers on Flat Rock</t>
  </si>
  <si>
    <t>石板上的魚骨</t>
  </si>
  <si>
    <t>平石上的鱼剩</t>
  </si>
  <si>
    <t>6487.txt</t>
  </si>
  <si>
    <t>Burnt Skewered Char Fillets</t>
  </si>
  <si>
    <t>烧焦的斜焦填料</t>
  </si>
  <si>
    <t>6488.txt</t>
  </si>
  <si>
    <t>Burnt Fillets</t>
  </si>
  <si>
    <t>烧焦的圆角</t>
  </si>
  <si>
    <t>6489.txt</t>
  </si>
  <si>
    <t>Bridge#groundOnly</t>
  </si>
  <si>
    <t>桥#groundOnly</t>
  </si>
  <si>
    <t>6491.txt</t>
  </si>
  <si>
    <t>Partial Bridge Foundation</t>
  </si>
  <si>
    <t>部分桥梁基础</t>
  </si>
  <si>
    <t>6493.txt</t>
  </si>
  <si>
    <t>Butchered Pig with Intestines</t>
  </si>
  <si>
    <t>肥肠肉猪</t>
  </si>
  <si>
    <t>6494.txt</t>
  </si>
  <si>
    <t>(outdated) Bacon</t>
  </si>
  <si>
    <t>培根</t>
  </si>
  <si>
    <t>6496.txt</t>
  </si>
  <si>
    <t>Sausage</t>
  </si>
  <si>
    <t>香肠</t>
  </si>
  <si>
    <t>6497.txt</t>
  </si>
  <si>
    <t>Link of Sausages</t>
  </si>
  <si>
    <t>香肠链接</t>
  </si>
  <si>
    <t>6498.txt</t>
  </si>
  <si>
    <t>Tied Bridge Foundation</t>
  </si>
  <si>
    <t>系杆桥基础</t>
  </si>
  <si>
    <t>6500.txt</t>
  </si>
  <si>
    <t>(outdated) Stack of Bacon</t>
  </si>
  <si>
    <t>(outdated) 一叠培根</t>
  </si>
  <si>
    <t>6501.txt</t>
  </si>
  <si>
    <t>Bacon on Plate</t>
  </si>
  <si>
    <t>盘子里的培根</t>
  </si>
  <si>
    <t>6502.txt</t>
  </si>
  <si>
    <t>Cooked Sausage</t>
  </si>
  <si>
    <t>熟香肠</t>
  </si>
  <si>
    <t>6503.txt</t>
  </si>
  <si>
    <t>Cooked Bacon</t>
  </si>
  <si>
    <t>熟培根</t>
  </si>
  <si>
    <t>6504.txt</t>
  </si>
  <si>
    <t>Cooked Pork</t>
  </si>
  <si>
    <t>熟猪肉</t>
  </si>
  <si>
    <t>6505.txt</t>
  </si>
  <si>
    <t>Cooked Pork on Plate</t>
  </si>
  <si>
    <t>6506.txt</t>
  </si>
  <si>
    <t>Bowl of Minced Pork</t>
  </si>
  <si>
    <t>碗肉末</t>
  </si>
  <si>
    <t>6507.txt</t>
  </si>
  <si>
    <t>Intestines</t>
  </si>
  <si>
    <t>肠</t>
  </si>
  <si>
    <t>6508.txt</t>
  </si>
  <si>
    <t>Sausage Casing</t>
  </si>
  <si>
    <t>香肠肠衣</t>
  </si>
  <si>
    <t>6509.txt</t>
  </si>
  <si>
    <t>@ Salt Water</t>
  </si>
  <si>
    <t>6510.txt</t>
  </si>
  <si>
    <t>Woolly Mammoth</t>
  </si>
  <si>
    <t>6511.txt</t>
  </si>
  <si>
    <t>Woolly Mammoth with Plough</t>
  </si>
  <si>
    <t>长毛犁</t>
  </si>
  <si>
    <t>6513.txt</t>
  </si>
  <si>
    <t>Hand Cart with Old Tires</t>
  </si>
  <si>
    <t>旧轮胎手推车</t>
  </si>
  <si>
    <t>6514.txt</t>
  </si>
  <si>
    <t>(outdated) Horse-Drawn Cart with Tires</t>
  </si>
  <si>
    <t>6515.txt</t>
  </si>
  <si>
    <t>(outdated) Hitched Horse-Drawn Cart with Tires</t>
  </si>
  <si>
    <t>6516.txt</t>
  </si>
  <si>
    <t>(outdated) Tipped Horse-Drawn Cart with Tires# just tipped</t>
  </si>
  <si>
    <t># just tipped</t>
  </si>
  <si>
    <t>6517.txt</t>
  </si>
  <si>
    <t>(outdated) Tipped Horse-Drawn Cart with Tires# ground</t>
  </si>
  <si>
    <t># ground</t>
  </si>
  <si>
    <t>6518.txt</t>
  </si>
  <si>
    <t>Smoldering Tinder#pineneedles</t>
  </si>
  <si>
    <t>6519.txt</t>
  </si>
  <si>
    <t>Burning Tinder#pineneedles</t>
  </si>
  <si>
    <t>燃烧的Tinder#pineneedles</t>
  </si>
  <si>
    <t>6520.txt</t>
  </si>
  <si>
    <t>Spent Tinder#pineneedles</t>
  </si>
  <si>
    <t>废Tinder#pineneedles</t>
  </si>
  <si>
    <t>6612.txt</t>
  </si>
  <si>
    <t>@ Letters</t>
  </si>
  <si>
    <t>6613.txt</t>
  </si>
  <si>
    <t>@ Letters Alt</t>
  </si>
  <si>
    <t>6614.txt</t>
  </si>
  <si>
    <t>Rabbit Bones #nobone</t>
  </si>
  <si>
    <t>兔子骨头#nobone</t>
  </si>
  <si>
    <t>6615.txt</t>
  </si>
  <si>
    <t>Bones in Bowl</t>
  </si>
  <si>
    <t>碗里的骨头</t>
  </si>
  <si>
    <t>6616.txt</t>
  </si>
  <si>
    <t>Bone meal in Bowl</t>
  </si>
  <si>
    <t>碗中骨粉</t>
  </si>
  <si>
    <t>6617.txt</t>
  </si>
  <si>
    <t>@ Basket of Bones</t>
  </si>
  <si>
    <t>6618.txt</t>
  </si>
  <si>
    <t>@ Plant Stage</t>
  </si>
  <si>
    <t>6619.txt</t>
  </si>
  <si>
    <t>@ Plant Stage Alt</t>
  </si>
  <si>
    <t>6620.txt</t>
  </si>
  <si>
    <t>Backpack with Yew Bow</t>
  </si>
  <si>
    <t>紫杉蝴蝶结背包</t>
  </si>
  <si>
    <t>6624.txt</t>
  </si>
  <si>
    <t>Stone Wall#llama</t>
  </si>
  <si>
    <t>石墙#llama</t>
  </si>
  <si>
    <t>6625.txt</t>
  </si>
  <si>
    <t>Stone Wall#wolf</t>
  </si>
  <si>
    <t>石墙#wolf</t>
  </si>
  <si>
    <t>6626.txt</t>
  </si>
  <si>
    <t>Stone Wall#bear</t>
  </si>
  <si>
    <t>石墙#bear</t>
  </si>
  <si>
    <t>6627.txt</t>
  </si>
  <si>
    <t>Stone Wall#horse</t>
  </si>
  <si>
    <t>石墙#horse</t>
  </si>
  <si>
    <t>6630.txt</t>
  </si>
  <si>
    <t>Black Short Trousers with Work Belt</t>
  </si>
  <si>
    <t>黑色工作带短裤</t>
  </si>
  <si>
    <t>6633.txt</t>
  </si>
  <si>
    <t>Poipack</t>
  </si>
  <si>
    <t>6638.txt</t>
  </si>
  <si>
    <t>Sandstone Wall# +useOnContained</t>
  </si>
  <si>
    <t>砂岩墙# +useOnContained</t>
  </si>
  <si>
    <t>6639.txt</t>
  </si>
  <si>
    <t>Sandstone Wall</t>
  </si>
  <si>
    <t>砂岩墙</t>
  </si>
  <si>
    <t>6640.txt</t>
  </si>
  <si>
    <t>SandStone Wall</t>
  </si>
  <si>
    <t>6641.txt</t>
  </si>
  <si>
    <t>Sandstone Floor# groundOnly</t>
  </si>
  <si>
    <t>仅砂岩地板# groundOnly</t>
  </si>
  <si>
    <t>6642.txt</t>
  </si>
  <si>
    <t>Sand Stone</t>
  </si>
  <si>
    <t>砂石</t>
  </si>
  <si>
    <t>6643.txt</t>
  </si>
  <si>
    <t>Dug Sandstone</t>
  </si>
  <si>
    <t>Dug砂岩</t>
  </si>
  <si>
    <t>6644.txt</t>
  </si>
  <si>
    <t>Dug Sandstone with Chisel</t>
  </si>
  <si>
    <t>凿挖砂岩</t>
  </si>
  <si>
    <t>6645.txt</t>
  </si>
  <si>
    <t>Split Sandstone#chisel</t>
  </si>
  <si>
    <t>劈裂砂岩#chisel</t>
  </si>
  <si>
    <t>6646.txt</t>
  </si>
  <si>
    <t>Split Sandstone with Chisel</t>
  </si>
  <si>
    <t>带凿的劈裂砂岩</t>
  </si>
  <si>
    <t>6647.txt</t>
  </si>
  <si>
    <t>6650.txt</t>
  </si>
  <si>
    <t>Cut Sandstone with Chisel</t>
  </si>
  <si>
    <t>用凿子切割砂岩</t>
  </si>
  <si>
    <t>6651.txt</t>
  </si>
  <si>
    <t>Cut Sandstone</t>
  </si>
  <si>
    <t>切割砂岩</t>
  </si>
  <si>
    <t>6652.txt</t>
  </si>
  <si>
    <t>Split Sandstone</t>
  </si>
  <si>
    <t>劈裂砂岩</t>
  </si>
  <si>
    <t>6653.txt</t>
  </si>
  <si>
    <t>Wooden Wall</t>
  </si>
  <si>
    <t>木制墙壁</t>
  </si>
  <si>
    <t>6654.txt</t>
  </si>
  <si>
    <t>Wooden Wall# +useOnContained</t>
  </si>
  <si>
    <t>木墙# +useOnContained</t>
  </si>
  <si>
    <t>6655.txt</t>
  </si>
  <si>
    <t>6656.txt</t>
  </si>
  <si>
    <t>Bamboo Wall# +useOnContained</t>
  </si>
  <si>
    <t>竹墙# +useOnContained</t>
  </si>
  <si>
    <t>6657.txt</t>
  </si>
  <si>
    <t>Bamboo Wall</t>
  </si>
  <si>
    <t>竹墙</t>
  </si>
  <si>
    <t>6658.txt</t>
  </si>
  <si>
    <t>6659.txt</t>
  </si>
  <si>
    <t>Bamboo Floor# groundOnly</t>
  </si>
  <si>
    <t>竹地板# groundOnly</t>
  </si>
  <si>
    <t>6660.txt</t>
  </si>
  <si>
    <t>Cheroot Box #open</t>
  </si>
  <si>
    <t>Cheroot Box#open</t>
  </si>
  <si>
    <t>6661.txt</t>
  </si>
  <si>
    <t>Full Cheroot Box</t>
  </si>
  <si>
    <t>完整的Cheroot盒子</t>
  </si>
  <si>
    <t>6662.txt</t>
  </si>
  <si>
    <t>Empty Cheroot Box</t>
  </si>
  <si>
    <t>空的Cheroot盒子</t>
  </si>
  <si>
    <t>6664.txt</t>
  </si>
  <si>
    <t>Bamboo</t>
  </si>
  <si>
    <t>竹子</t>
  </si>
  <si>
    <t>6665.txt</t>
  </si>
  <si>
    <t>Cut Bamboo</t>
  </si>
  <si>
    <t>竹子切割</t>
  </si>
  <si>
    <t>6666.txt</t>
  </si>
  <si>
    <t>Bamboo Stump</t>
  </si>
  <si>
    <t>竹垛</t>
  </si>
  <si>
    <t>6667.txt</t>
  </si>
  <si>
    <t>Full Stack of Bamboo Stalks</t>
  </si>
  <si>
    <t>整堆竹竿</t>
  </si>
  <si>
    <t>6668.txt</t>
  </si>
  <si>
    <t>Horse Town Top</t>
  </si>
  <si>
    <t>Horse Town上衣</t>
  </si>
  <si>
    <t>6669.txt</t>
  </si>
  <si>
    <t>Horse Town Bottom</t>
  </si>
  <si>
    <t>马城底部</t>
  </si>
  <si>
    <t>6670.txt</t>
  </si>
  <si>
    <t>Wolf Town Bottom</t>
  </si>
  <si>
    <t>Wolf Town底部</t>
  </si>
  <si>
    <t>6671.txt</t>
  </si>
  <si>
    <t>Wolf Town Top</t>
  </si>
  <si>
    <t>Wolf Town上衣</t>
  </si>
  <si>
    <t>6672.txt</t>
  </si>
  <si>
    <t>Llama Town Bottom</t>
  </si>
  <si>
    <t>Llama镇底部</t>
  </si>
  <si>
    <t>6673.txt</t>
  </si>
  <si>
    <t>Llama Town Top</t>
  </si>
  <si>
    <t>Llama Town上衣</t>
  </si>
  <si>
    <t>6674.txt</t>
  </si>
  <si>
    <t>Bear Town Top</t>
  </si>
  <si>
    <t>Bear Town上衣</t>
  </si>
  <si>
    <t>6675.txt</t>
  </si>
  <si>
    <t>Bear Town Bottom</t>
  </si>
  <si>
    <t>Bear Town底部</t>
  </si>
  <si>
    <t>6678.txt</t>
  </si>
  <si>
    <t>Horse Town Bottom#blue</t>
  </si>
  <si>
    <t>Horse Town底部#blue</t>
  </si>
  <si>
    <t>6679.txt</t>
  </si>
  <si>
    <t>Horse Town Top#blue</t>
  </si>
  <si>
    <t>6680.txt</t>
  </si>
  <si>
    <t>Horse Town Bottom#red</t>
  </si>
  <si>
    <t>马城底部#red</t>
  </si>
  <si>
    <t>6681.txt</t>
  </si>
  <si>
    <t>Horse Town Top#red</t>
  </si>
  <si>
    <t>6682.txt</t>
  </si>
  <si>
    <t>Horse Town Top#green</t>
  </si>
  <si>
    <t>6683.txt</t>
  </si>
  <si>
    <t>Horse Town Bottom#green</t>
  </si>
  <si>
    <t>马城底部#green</t>
  </si>
  <si>
    <t>6684.txt</t>
  </si>
  <si>
    <t>Wolf Town Top#blue</t>
  </si>
  <si>
    <t>Wolf Town上衣#blue</t>
  </si>
  <si>
    <t>6685.txt</t>
  </si>
  <si>
    <t>Wolf Town Bottom#blue</t>
  </si>
  <si>
    <t>Wolf Town底部#blue</t>
  </si>
  <si>
    <t>6686.txt</t>
  </si>
  <si>
    <t>Wolf Town Top#red</t>
  </si>
  <si>
    <t>6687.txt</t>
  </si>
  <si>
    <t>Wolf Town Bottom#red</t>
  </si>
  <si>
    <t>Wolf Town底部#red</t>
  </si>
  <si>
    <t>6688.txt</t>
  </si>
  <si>
    <t>Wolf Town Top#green</t>
  </si>
  <si>
    <t>6690.txt</t>
  </si>
  <si>
    <t>Wolf Town Bottom#green</t>
  </si>
  <si>
    <t>Wolf Town底部#green</t>
  </si>
  <si>
    <t>6691.txt</t>
  </si>
  <si>
    <t>Llama Town Top#blue</t>
  </si>
  <si>
    <t>Llama Town上衣#blue</t>
  </si>
  <si>
    <t>6692.txt</t>
  </si>
  <si>
    <t>Llama Town Top#red</t>
  </si>
  <si>
    <t>6693.txt</t>
  </si>
  <si>
    <t>Llama Town Top#green</t>
  </si>
  <si>
    <t>6694.txt</t>
  </si>
  <si>
    <t>Bear Town Bottom#blue</t>
  </si>
  <si>
    <t>Bear Town底部#blue</t>
  </si>
  <si>
    <t>6695.txt</t>
  </si>
  <si>
    <t>Bear Town Bottom#red</t>
  </si>
  <si>
    <t>Bear Town底部#red</t>
  </si>
  <si>
    <t>6696.txt</t>
  </si>
  <si>
    <t>Bear Town Bottom#green</t>
  </si>
  <si>
    <t>Bear Town底部#green</t>
  </si>
  <si>
    <t>6697.txt</t>
  </si>
  <si>
    <t>Two Balls of Thread</t>
  </si>
  <si>
    <t>两个螺纹球</t>
  </si>
  <si>
    <t>6699.txt</t>
  </si>
  <si>
    <t>Bear Skin Rug#mossy stone groundOnly</t>
  </si>
  <si>
    <t>熊皮地毯#mossy stone groundOnly</t>
  </si>
  <si>
    <t>6700.txt</t>
  </si>
  <si>
    <t>Work Bench</t>
  </si>
  <si>
    <t>工作台</t>
  </si>
  <si>
    <t>6701.txt</t>
  </si>
  <si>
    <t>Wooden Table# +useOnContained</t>
  </si>
  <si>
    <t>木桌# +useOnContained</t>
  </si>
  <si>
    <t>6702.txt</t>
  </si>
  <si>
    <t>Work Bench#partial</t>
  </si>
  <si>
    <t>工作台#partial</t>
  </si>
  <si>
    <t>6703.txt</t>
  </si>
  <si>
    <t>6704.txt</t>
  </si>
  <si>
    <t>Sewing Machine</t>
  </si>
  <si>
    <t>缝纫机</t>
  </si>
  <si>
    <t>6705.txt</t>
  </si>
  <si>
    <t>(outdated) Sewing Machine#thread</t>
  </si>
  <si>
    <t>#thread</t>
  </si>
  <si>
    <t>6706.txt</t>
  </si>
  <si>
    <t>Sewing Machine#threaded</t>
  </si>
  <si>
    <t>缝纫机#threaded</t>
  </si>
  <si>
    <t>6707.txt</t>
  </si>
  <si>
    <t>Sewing Machine#llama</t>
  </si>
  <si>
    <t>缝纫机#llama</t>
  </si>
  <si>
    <t>6708.txt</t>
  </si>
  <si>
    <t>Sewing Machine#bear</t>
  </si>
  <si>
    <t>缝纫机#bear</t>
  </si>
  <si>
    <t>6709.txt</t>
  </si>
  <si>
    <t>Sewing Machine#wolf</t>
  </si>
  <si>
    <t>缝纫机#wolf</t>
  </si>
  <si>
    <t>6710.txt</t>
  </si>
  <si>
    <t>Sewing Machine#horse</t>
  </si>
  <si>
    <t>缝纫机#horse</t>
  </si>
  <si>
    <t>6712.txt</t>
  </si>
  <si>
    <t>Sewing Machine#llama thread</t>
  </si>
  <si>
    <t>缝纫机#llama thread</t>
  </si>
  <si>
    <t>6713.txt</t>
  </si>
  <si>
    <t>Sewing Machine#bear thread</t>
  </si>
  <si>
    <t>缝纫机#bear thread</t>
  </si>
  <si>
    <t>6714.txt</t>
  </si>
  <si>
    <t>Sewing Machine#wolf thread</t>
  </si>
  <si>
    <t>缝纫机#wolf thread</t>
  </si>
  <si>
    <t>6715.txt</t>
  </si>
  <si>
    <t>Sewing Machine#horse thread</t>
  </si>
  <si>
    <t>缝纫机#horse thread</t>
  </si>
  <si>
    <t>6716.txt</t>
  </si>
  <si>
    <t>Unattached Partial Sewing Machine</t>
  </si>
  <si>
    <t>独立式局部缝纫机</t>
  </si>
  <si>
    <t>6717.txt</t>
  </si>
  <si>
    <t>Hot Partial Sewing Machine#flat rock</t>
  </si>
  <si>
    <t>热门局部缝纫机#flat rock</t>
  </si>
  <si>
    <t>6718.txt</t>
  </si>
  <si>
    <t>Partial Sewing Machine#flat rock</t>
  </si>
  <si>
    <t>部分缝纫机#flat rock</t>
  </si>
  <si>
    <t>6719.txt</t>
  </si>
  <si>
    <t>Unattached Sewing Machine</t>
  </si>
  <si>
    <t>无人缝纫机</t>
  </si>
  <si>
    <t>6720.txt</t>
  </si>
  <si>
    <t>Hen #pecking</t>
  </si>
  <si>
    <t>母鸡#pecking</t>
  </si>
  <si>
    <t>6721.txt</t>
  </si>
  <si>
    <t>Head Wrap</t>
  </si>
  <si>
    <t>头部包裹</t>
  </si>
  <si>
    <t>6722.txt</t>
  </si>
  <si>
    <t>Head Wrap#basket</t>
  </si>
  <si>
    <t>头部包裹#basket</t>
  </si>
  <si>
    <t>6723.txt</t>
  </si>
  <si>
    <t>Head Wrap and Detached Basket</t>
  </si>
  <si>
    <t>头部包裹和分离式吊篮</t>
  </si>
  <si>
    <t>6724.txt</t>
  </si>
  <si>
    <t>Head Wrap#onGround</t>
  </si>
  <si>
    <t>头部包裹#onGround</t>
  </si>
  <si>
    <t>6725.txt</t>
  </si>
  <si>
    <t>Feather Hat</t>
  </si>
  <si>
    <t>羽毛帽</t>
  </si>
  <si>
    <t>6726.txt</t>
  </si>
  <si>
    <t>Yellow Cowboy Hat</t>
  </si>
  <si>
    <t>黄色牛仔帽</t>
  </si>
  <si>
    <t>6727.txt</t>
  </si>
  <si>
    <t>Pirate Hat</t>
  </si>
  <si>
    <t>海盗帽</t>
  </si>
  <si>
    <t>6728.txt</t>
  </si>
  <si>
    <t>Pile of Turkey Feather</t>
  </si>
  <si>
    <t>土耳其羽毛堆</t>
  </si>
  <si>
    <t>6729.txt</t>
  </si>
  <si>
    <t>(outdated) Random Egg Outcome</t>
  </si>
  <si>
    <t>6730.txt</t>
  </si>
  <si>
    <t>Nest #eggpile1</t>
  </si>
  <si>
    <t>巢#eggpile1</t>
  </si>
  <si>
    <t>6731.txt</t>
  </si>
  <si>
    <t>Nest #eggpile3</t>
  </si>
  <si>
    <t>巢#eggpile3</t>
  </si>
  <si>
    <t>6732.txt</t>
  </si>
  <si>
    <t>Nest#eggpile2</t>
  </si>
  <si>
    <t>巢#eggpile2</t>
  </si>
  <si>
    <t>6735.txt</t>
  </si>
  <si>
    <t>Random Unfertilized Egg Outcome</t>
  </si>
  <si>
    <t>随机未受精卵结果</t>
  </si>
  <si>
    <t>6737.txt</t>
  </si>
  <si>
    <t>Hen#held</t>
  </si>
  <si>
    <t>母鸡#held</t>
  </si>
  <si>
    <t>6738.txt</t>
  </si>
  <si>
    <t>Nesting Hen #eggless fertilized</t>
  </si>
  <si>
    <t>巢母鸡#eggless fertilized</t>
  </si>
  <si>
    <t>6739.txt</t>
  </si>
  <si>
    <t>Random Fertilized Egg Outcome</t>
  </si>
  <si>
    <t>随机受精卵结果</t>
  </si>
  <si>
    <t>6740.txt</t>
  </si>
  <si>
    <t>Blunt War Sword</t>
  </si>
  <si>
    <t>钝战剑</t>
  </si>
  <si>
    <t>6741.txt</t>
  </si>
  <si>
    <t>Egg in Nest #male</t>
  </si>
  <si>
    <t>窝里的蛋#male</t>
  </si>
  <si>
    <t>6742.txt</t>
  </si>
  <si>
    <t>Egg in Nest #female</t>
  </si>
  <si>
    <t>窝中蛋#female</t>
  </si>
  <si>
    <t>6743.txt</t>
  </si>
  <si>
    <t>Brooding Hen #male</t>
  </si>
  <si>
    <t>Brooding Hen#male</t>
  </si>
  <si>
    <t>6744.txt</t>
  </si>
  <si>
    <t>Brooding Hen #female</t>
  </si>
  <si>
    <t>Brooding Hen#female</t>
  </si>
  <si>
    <t>6745.txt</t>
  </si>
  <si>
    <t>Chicken Bones</t>
  </si>
  <si>
    <t>鸡骨头</t>
  </si>
  <si>
    <t>6746.txt</t>
  </si>
  <si>
    <t>Anniversary Statue</t>
  </si>
  <si>
    <t>周年纪念雕像</t>
  </si>
  <si>
    <t>6747.txt</t>
  </si>
  <si>
    <t>Anniversary Statue #ancient</t>
  </si>
  <si>
    <t>周年纪念雕像#ancient</t>
  </si>
  <si>
    <t>6748.txt</t>
  </si>
  <si>
    <t>Ancient Sandstone Wall</t>
  </si>
  <si>
    <t>古代砂岩墙</t>
  </si>
  <si>
    <t>6749.txt</t>
  </si>
  <si>
    <t>Ancient Sandstone Wall# +useOnContained</t>
  </si>
  <si>
    <t>古砂岩墙# +useOnContained</t>
  </si>
  <si>
    <t>6750.txt</t>
  </si>
  <si>
    <t>Ancient SandStone Wall</t>
  </si>
  <si>
    <t>6751.txt</t>
  </si>
  <si>
    <t>Ancient Bamboo Wall# +useOnContained</t>
  </si>
  <si>
    <t>古竹壁# +useOnContained</t>
  </si>
  <si>
    <t>6752.txt</t>
  </si>
  <si>
    <t>Ancient Bamboo Wall</t>
  </si>
  <si>
    <t>古竹壁</t>
  </si>
  <si>
    <t>6753.txt</t>
  </si>
  <si>
    <t>6754.txt</t>
  </si>
  <si>
    <t>Cut Sandstone#just removed</t>
  </si>
  <si>
    <t>刚刚移除的切割砂岩#just removed</t>
  </si>
  <si>
    <t>6755.txt</t>
  </si>
  <si>
    <t>Pirate Hat on Water</t>
  </si>
  <si>
    <t>水上海盗帽</t>
  </si>
  <si>
    <t>6756.txt</t>
  </si>
  <si>
    <t>Rooster #held</t>
  </si>
  <si>
    <t>公鸡#held</t>
  </si>
  <si>
    <t>6757.txt</t>
  </si>
  <si>
    <t>Backpack with Blunt Sword</t>
  </si>
  <si>
    <t>钝剑背包</t>
  </si>
  <si>
    <t>6758.txt</t>
  </si>
  <si>
    <t>Sharp War Sword#just sharpened</t>
  </si>
  <si>
    <t>锋利的战剑#just sharpened</t>
  </si>
  <si>
    <t>6759.txt</t>
  </si>
  <si>
    <t>Steel Material on Work Bench</t>
  </si>
  <si>
    <t>工作台上的钢材</t>
  </si>
  <si>
    <t>6760.txt</t>
  </si>
  <si>
    <t>Steel Hoe#just repaired</t>
  </si>
  <si>
    <t>钢锄#just repaired</t>
  </si>
  <si>
    <t>6761.txt</t>
  </si>
  <si>
    <t>Steel Adze#just repaired</t>
  </si>
  <si>
    <t>钢Adze#just repaired</t>
  </si>
  <si>
    <t>6762.txt</t>
  </si>
  <si>
    <t>Steel Axe#just repaired</t>
  </si>
  <si>
    <t>钢斧#just repaired</t>
  </si>
  <si>
    <t>6763.txt</t>
  </si>
  <si>
    <t>Steel Mining Pick#just repaired</t>
  </si>
  <si>
    <t>刚刚修复的#just repaired</t>
  </si>
  <si>
    <t>6764.txt</t>
  </si>
  <si>
    <t>Shovel#just repaired</t>
  </si>
  <si>
    <t>铲子#just repaired</t>
  </si>
  <si>
    <t>6765.txt</t>
  </si>
  <si>
    <t>Boards with Two Shafts</t>
  </si>
  <si>
    <t>带有两个轴的板</t>
  </si>
  <si>
    <t>6766.txt</t>
  </si>
  <si>
    <t>Fishing Pot</t>
  </si>
  <si>
    <t>钓鱼壶</t>
  </si>
  <si>
    <t>6767.txt</t>
  </si>
  <si>
    <t>Fishing Pot#in water</t>
  </si>
  <si>
    <t>水中的钓鱼锅#in water</t>
  </si>
  <si>
    <t>6768.txt</t>
  </si>
  <si>
    <t>Fishing Pot with Crab</t>
  </si>
  <si>
    <t>螃蟹火锅</t>
  </si>
  <si>
    <t>6769.txt</t>
  </si>
  <si>
    <t>Fishing Pot with Lobster</t>
  </si>
  <si>
    <t>龙虾鱼锅</t>
  </si>
  <si>
    <t>6770.txt</t>
  </si>
  <si>
    <t>Lobster</t>
  </si>
  <si>
    <t>龙虾</t>
  </si>
  <si>
    <t>6771.txt</t>
  </si>
  <si>
    <t>Crab</t>
  </si>
  <si>
    <t>蟹</t>
  </si>
  <si>
    <t>6772.txt</t>
  </si>
  <si>
    <t>Fishing Pot with Lobster# ground</t>
  </si>
  <si>
    <t>龙虾火锅# ground</t>
  </si>
  <si>
    <t>6773.txt</t>
  </si>
  <si>
    <t>Fishing Pot with Crab# ground</t>
  </si>
  <si>
    <t>螃蟹鱼壶# ground</t>
  </si>
  <si>
    <t>6774.txt</t>
  </si>
  <si>
    <t>Broken Fishing Pot</t>
  </si>
  <si>
    <t>破鱼壶</t>
  </si>
  <si>
    <t>6775.txt</t>
  </si>
  <si>
    <t>Cooked Lobster</t>
  </si>
  <si>
    <t>熟龙虾</t>
  </si>
  <si>
    <t>6776.txt</t>
  </si>
  <si>
    <t>Cooked Crab</t>
  </si>
  <si>
    <t>熟螃蟹</t>
  </si>
  <si>
    <t>6777.txt</t>
  </si>
  <si>
    <t>Perhaps a Catch</t>
  </si>
  <si>
    <t>也许是个陷阱</t>
  </si>
  <si>
    <t>6778.txt</t>
  </si>
  <si>
    <t>Perhaps a Catch#low chance</t>
  </si>
  <si>
    <t>也许是个陷阱#low chance</t>
  </si>
  <si>
    <t>6779.txt</t>
  </si>
  <si>
    <t>Fish Leftovers</t>
  </si>
  <si>
    <t>剩下的鱼</t>
  </si>
  <si>
    <t>6780.txt</t>
  </si>
  <si>
    <t>Baited Fishing Pot</t>
  </si>
  <si>
    <t>鱼饵鱼壶</t>
  </si>
  <si>
    <t>6781.txt</t>
  </si>
  <si>
    <t>Fishing Pot#in water baited</t>
  </si>
  <si>
    <t>带诱饵的水中钓鱼锅#in water baited</t>
  </si>
  <si>
    <t>6782.txt</t>
  </si>
  <si>
    <t>Fishing Pot#in water baited ready</t>
  </si>
  <si>
    <t>水中钓鱼锅#in water baited ready</t>
  </si>
  <si>
    <t>6783.txt</t>
  </si>
  <si>
    <t>Fishing Pot#in water ready</t>
  </si>
  <si>
    <t>准备好水中的钓鱼锅#in water ready</t>
  </si>
  <si>
    <t>6784.txt</t>
  </si>
  <si>
    <t>Two Short Shafts</t>
  </si>
  <si>
    <t>两个短轴</t>
  </si>
  <si>
    <t>6785.txt</t>
  </si>
  <si>
    <t>Partial Fishing Pot</t>
  </si>
  <si>
    <t>局部钓鱼壶</t>
  </si>
  <si>
    <t>6786.txt</t>
  </si>
  <si>
    <t>Anniversary Party Hat</t>
  </si>
  <si>
    <t>周年纪念派对帽</t>
  </si>
  <si>
    <t>6787.txt</t>
  </si>
  <si>
    <t>Dyed Paper</t>
  </si>
  <si>
    <t>染色纸</t>
  </si>
  <si>
    <t>6788.txt</t>
  </si>
  <si>
    <t>Crab in Simmering Water</t>
  </si>
  <si>
    <t>沸水中的螃蟹</t>
  </si>
  <si>
    <t>6789.txt</t>
  </si>
  <si>
    <t>Cooked Crab in Simmering Water</t>
  </si>
  <si>
    <t>沸水煮螃蟹</t>
  </si>
  <si>
    <t>6790.txt</t>
  </si>
  <si>
    <t>Dispatched Crab</t>
  </si>
  <si>
    <t>派遣螃蟹</t>
  </si>
  <si>
    <t>6791.txt</t>
  </si>
  <si>
    <t>Cooked Crab in Clay Bowl</t>
  </si>
  <si>
    <t>泥碗煮螃蟹</t>
  </si>
  <si>
    <t>6792.txt</t>
  </si>
  <si>
    <t>Cooked Crab on Ashes</t>
  </si>
  <si>
    <t>灰煮螃蟹</t>
  </si>
  <si>
    <t>6793.txt</t>
  </si>
  <si>
    <t>Lobster in Simmering Water</t>
  </si>
  <si>
    <t>沸水龙虾</t>
  </si>
  <si>
    <t>6794.txt</t>
  </si>
  <si>
    <t>Cooked Lobster in Simmering Water</t>
  </si>
  <si>
    <t>沸水煮龙虾</t>
  </si>
  <si>
    <t>6795.txt</t>
  </si>
  <si>
    <t>Cooked Lobster on Ashes</t>
  </si>
  <si>
    <t>灰煮龙虾</t>
  </si>
  <si>
    <t>6796.txt</t>
  </si>
  <si>
    <t>Cooked Lobster in Clay Bowl</t>
  </si>
  <si>
    <t>泥碗龙虾</t>
  </si>
  <si>
    <t>6797.txt</t>
  </si>
  <si>
    <t>Poipack with Yew Bow</t>
  </si>
  <si>
    <t>紫杉弓Poipack</t>
  </si>
  <si>
    <t>6798.txt</t>
  </si>
  <si>
    <t>Tapped Maple Tree</t>
  </si>
  <si>
    <t>6799.txt</t>
  </si>
  <si>
    <t>Tapped Maple Tree with Bucket</t>
  </si>
  <si>
    <t>带水桶的Tapped Maple Tree</t>
  </si>
  <si>
    <t>6800.txt</t>
  </si>
  <si>
    <t>Bucket of Maple Sap</t>
  </si>
  <si>
    <t>一桶枫叶</t>
  </si>
  <si>
    <t>6801.txt</t>
  </si>
  <si>
    <t>Poipack with Fishing Pole</t>
  </si>
  <si>
    <t>带钓鱼竿的Poipack</t>
  </si>
  <si>
    <t>6802.txt</t>
  </si>
  <si>
    <t>Poipack with Fishing Pole#hookless</t>
  </si>
  <si>
    <t>Poipack带钓鱼杆#hookless</t>
  </si>
  <si>
    <t>6803.txt</t>
  </si>
  <si>
    <t>Stack of Empty Bucket</t>
  </si>
  <si>
    <t>一堆空铲斗</t>
  </si>
  <si>
    <t>6806.txt</t>
  </si>
  <si>
    <t>6807.txt</t>
  </si>
  <si>
    <t>6808.txt</t>
  </si>
  <si>
    <t>6809.txt</t>
  </si>
  <si>
    <t>Egg in Simmering Water</t>
  </si>
  <si>
    <t>沸水鸡蛋</t>
  </si>
  <si>
    <t>6810.txt</t>
  </si>
  <si>
    <t>Boiled Egg in Clay Bowl</t>
  </si>
  <si>
    <t>泥碗煮鸡蛋</t>
  </si>
  <si>
    <t>6811.txt</t>
  </si>
  <si>
    <t>Boiled Egg on Clay Plate</t>
  </si>
  <si>
    <t>泥盘煮鸡蛋</t>
  </si>
  <si>
    <t>6812.txt</t>
  </si>
  <si>
    <t>Peeled Boiled Egg on Clay Plate</t>
  </si>
  <si>
    <t>泥盘煮鸡蛋去皮</t>
  </si>
  <si>
    <t>6814.txt</t>
  </si>
  <si>
    <t>Cut Boiled Egg on Clay Plate</t>
  </si>
  <si>
    <t>6815.txt</t>
  </si>
  <si>
    <t>Steel Pick on Poipack</t>
  </si>
  <si>
    <t>Poipack上的钢镐</t>
  </si>
  <si>
    <t>6816.txt</t>
  </si>
  <si>
    <t>Shovel on Poipack</t>
  </si>
  <si>
    <t>Poipack上的铲子</t>
  </si>
  <si>
    <t>6817.txt</t>
  </si>
  <si>
    <t>Hoe on Poipack</t>
  </si>
  <si>
    <t>Poipack上的锄头</t>
  </si>
  <si>
    <t>6818.txt</t>
  </si>
  <si>
    <t>Adze on Poipack</t>
  </si>
  <si>
    <t>在Poipack上Adze</t>
  </si>
  <si>
    <t>6819.txt</t>
  </si>
  <si>
    <t>Axe on Poipack</t>
  </si>
  <si>
    <t>Poipack上的斧头</t>
  </si>
  <si>
    <t>6820.txt</t>
  </si>
  <si>
    <t>Pile of Fleeces</t>
  </si>
  <si>
    <t>一堆肉</t>
  </si>
  <si>
    <t>6821.txt</t>
  </si>
  <si>
    <t>6822.txt</t>
  </si>
  <si>
    <t>6823.txt</t>
  </si>
  <si>
    <t>6824.txt</t>
  </si>
  <si>
    <t>6825.txt</t>
  </si>
  <si>
    <t>6826.txt</t>
  </si>
  <si>
    <t>6827.txt</t>
  </si>
  <si>
    <t>6828.txt</t>
  </si>
  <si>
    <t>6829.txt</t>
  </si>
  <si>
    <t>6830.txt</t>
  </si>
  <si>
    <t>Pile of Ear of Corns</t>
  </si>
  <si>
    <t>玉米穗堆</t>
  </si>
  <si>
    <t>6831.txt</t>
  </si>
  <si>
    <t>6832.txt</t>
  </si>
  <si>
    <t>6833.txt</t>
  </si>
  <si>
    <t>6834.txt</t>
  </si>
  <si>
    <t>6835.txt</t>
  </si>
  <si>
    <t>Pile of Cotton Capsules</t>
  </si>
  <si>
    <t>棉花胶囊堆</t>
  </si>
  <si>
    <t>6836.txt</t>
  </si>
  <si>
    <t>Stack of Fishing Pots</t>
  </si>
  <si>
    <t>一堆钓鱼盆</t>
  </si>
  <si>
    <t>6837.txt</t>
  </si>
  <si>
    <t>6838.txt</t>
  </si>
  <si>
    <t>Two Kindling</t>
  </si>
  <si>
    <t>两个Kindling</t>
  </si>
  <si>
    <t>6839.txt</t>
  </si>
  <si>
    <t>6840.txt</t>
  </si>
  <si>
    <t>6841.txt</t>
  </si>
  <si>
    <t>6842.txt</t>
  </si>
  <si>
    <t>6843.txt</t>
  </si>
  <si>
    <t>Pile of Flint Arrowheads</t>
  </si>
  <si>
    <t>一堆燧石箭头</t>
  </si>
  <si>
    <t>6844.txt</t>
  </si>
  <si>
    <t>6845.txt</t>
  </si>
  <si>
    <t>Pile of Apples</t>
  </si>
  <si>
    <t>一堆苹果</t>
  </si>
  <si>
    <t>6846.txt</t>
  </si>
  <si>
    <t>Fishing Hat</t>
  </si>
  <si>
    <t>钓鱼帽</t>
  </si>
  <si>
    <t>6847.txt</t>
  </si>
  <si>
    <t>Rose Crown</t>
  </si>
  <si>
    <t>玫瑰皇冠</t>
  </si>
  <si>
    <t>6848.txt</t>
  </si>
  <si>
    <t>Nest</t>
  </si>
  <si>
    <t>巢</t>
  </si>
  <si>
    <t>6849.txt</t>
  </si>
  <si>
    <t>Hen# fed held</t>
  </si>
  <si>
    <t>母鸡# fed held</t>
  </si>
  <si>
    <t>6850.txt</t>
  </si>
  <si>
    <t>Pile of Eggs</t>
  </si>
  <si>
    <t>一堆鸡蛋</t>
  </si>
  <si>
    <t>6851.txt</t>
  </si>
  <si>
    <t>Hen# pregnant held</t>
  </si>
  <si>
    <t>母鸡# pregnant held</t>
  </si>
  <si>
    <t>6852.txt</t>
  </si>
  <si>
    <t>Bee Sting# sick emot_7_35  food_0.3 fever_15</t>
  </si>
  <si>
    <t>蜂刺# sick emot_7_35  food_0.3 fever_15</t>
  </si>
  <si>
    <t>6853.txt</t>
  </si>
  <si>
    <t>Swarm of Angry Bees#just stung</t>
  </si>
  <si>
    <t>愤怒的蜜蜂群#just stung</t>
  </si>
  <si>
    <t>6854.txt</t>
  </si>
  <si>
    <t>Pine Floor#groundOnly</t>
  </si>
  <si>
    <t>仅松木地板#groundOnly</t>
  </si>
  <si>
    <t>6855.txt</t>
  </si>
  <si>
    <t>Leaf Floor#groundOnly</t>
  </si>
  <si>
    <t>仅限地板#groundOnly</t>
  </si>
  <si>
    <t>6856.txt</t>
  </si>
  <si>
    <t>Basket of Leaves</t>
  </si>
  <si>
    <t>一篮子叶子</t>
  </si>
  <si>
    <t>6857.txt</t>
  </si>
  <si>
    <t>Leaf Pile</t>
  </si>
  <si>
    <t>叶桩</t>
  </si>
  <si>
    <t>6858.txt</t>
  </si>
  <si>
    <t>Stack of Jar Molds</t>
  </si>
  <si>
    <t>一堆罐子模具</t>
  </si>
  <si>
    <t>6859.txt</t>
  </si>
  <si>
    <t>Pile of Clay Crocks</t>
  </si>
  <si>
    <t>粘土鳄鱼堆</t>
  </si>
  <si>
    <t>6861.txt</t>
  </si>
  <si>
    <t>Basket with Stakes</t>
  </si>
  <si>
    <t>带木桩的篮子</t>
  </si>
  <si>
    <t>6862.txt</t>
  </si>
  <si>
    <t>Tatami Floor#groundOnly</t>
  </si>
  <si>
    <t>6863.txt</t>
  </si>
  <si>
    <t>Sand Floor#groundOnly</t>
  </si>
  <si>
    <t>仅限砂地板#groundOnly</t>
  </si>
  <si>
    <t>6864.txt</t>
  </si>
  <si>
    <t>Sand Castle#ground</t>
  </si>
  <si>
    <t>沙堡#ground</t>
  </si>
  <si>
    <t>6865.txt</t>
  </si>
  <si>
    <t>Sand Castle#2 ground</t>
  </si>
  <si>
    <t>沙堡#2 ground</t>
  </si>
  <si>
    <t>6866.txt</t>
  </si>
  <si>
    <t>Sand Castle#3 ground</t>
  </si>
  <si>
    <t>沙堡#3 ground</t>
  </si>
  <si>
    <t>6867.txt</t>
  </si>
  <si>
    <t>Bucket of Sandcastle Sand</t>
  </si>
  <si>
    <t>一桶沙堡沙</t>
  </si>
  <si>
    <t>6868.txt</t>
  </si>
  <si>
    <t>Sand Pile#ground</t>
  </si>
  <si>
    <t>砂桩#ground</t>
  </si>
  <si>
    <t>6869.txt</t>
  </si>
  <si>
    <t>Sand Pile#ground footsteps</t>
  </si>
  <si>
    <t>沙堆#ground footsteps</t>
  </si>
  <si>
    <t>6870.txt</t>
  </si>
  <si>
    <t>Anger# emot_2_3</t>
  </si>
  <si>
    <t>愤怒# emot_2_3</t>
  </si>
  <si>
    <t>6871.txt</t>
  </si>
  <si>
    <t>Rose Stack</t>
  </si>
  <si>
    <t>6872.txt</t>
  </si>
  <si>
    <t>Rose Stack#red pink</t>
  </si>
  <si>
    <t>6873.txt</t>
  </si>
  <si>
    <t>Rose Stack#red blue</t>
  </si>
  <si>
    <t>6874.txt</t>
  </si>
  <si>
    <t>Boiled Egg in Simmering Water</t>
  </si>
  <si>
    <t>沸水煮鸡蛋</t>
  </si>
  <si>
    <t>6875.txt</t>
  </si>
  <si>
    <t>Boiled Egg on Ashes</t>
  </si>
  <si>
    <t>灰烬煮鸡蛋</t>
  </si>
  <si>
    <t>6876.txt</t>
  </si>
  <si>
    <t>Fleeing Rabbit# groundOnly</t>
  </si>
  <si>
    <t>逃跑的兔子# groundOnly</t>
  </si>
  <si>
    <t>6877.txt</t>
  </si>
  <si>
    <t>6878.txt</t>
  </si>
  <si>
    <t>@ Dug Rabbit</t>
  </si>
  <si>
    <t>6879.txt</t>
  </si>
  <si>
    <t>Stakes in Clay Bowl</t>
  </si>
  <si>
    <t>粘土碗中的桩</t>
  </si>
  <si>
    <t>6881.txt</t>
  </si>
  <si>
    <t>(outdated) Cheese Wheel Pile</t>
  </si>
  <si>
    <t>6883.txt</t>
  </si>
  <si>
    <t>Blowpipe With Hot Glass Jar</t>
  </si>
  <si>
    <t>带热玻璃罐的吹风管</t>
  </si>
  <si>
    <t>6884.txt</t>
  </si>
  <si>
    <t>Blowpipe With Hot Glass Tube</t>
  </si>
  <si>
    <t>带热玻璃管的吹风管</t>
  </si>
  <si>
    <t>6885.txt</t>
  </si>
  <si>
    <t>Blowpipe With Cool Glass Jar</t>
  </si>
  <si>
    <t>带冷玻璃罐的吹风管</t>
  </si>
  <si>
    <t>6886.txt</t>
  </si>
  <si>
    <t>Blowpipe With Cool Glass Tube</t>
  </si>
  <si>
    <t>带冷却玻璃管的吹风管</t>
  </si>
  <si>
    <t>6887.txt</t>
  </si>
  <si>
    <t>Blowpipe With Detached Glass Jar</t>
  </si>
  <si>
    <t>带分离式玻璃罐的吹风管</t>
  </si>
  <si>
    <t>6888.txt</t>
  </si>
  <si>
    <t>Blowpipe With Detached Glass Tube</t>
  </si>
  <si>
    <t>带分离玻璃管的吹风管</t>
  </si>
  <si>
    <t>6889.txt</t>
  </si>
  <si>
    <t>Blowpipe with Hot Wine Bottle</t>
  </si>
  <si>
    <t>带热葡萄酒瓶的吹风管</t>
  </si>
  <si>
    <t>6890.txt</t>
  </si>
  <si>
    <t>Blowpipe with Cool Wine Bottle</t>
  </si>
  <si>
    <t>带冷葡萄酒瓶的吹风管</t>
  </si>
  <si>
    <t>6891.txt</t>
  </si>
  <si>
    <t>Blowpipe with Detached Wine Bottle</t>
  </si>
  <si>
    <t>带分离式酒瓶的吹风管</t>
  </si>
  <si>
    <t>6892.txt</t>
  </si>
  <si>
    <t>Empty Wine Bottle</t>
  </si>
  <si>
    <t>空酒瓶</t>
  </si>
  <si>
    <t>6893.txt</t>
  </si>
  <si>
    <t>Bear Cave#bait</t>
  </si>
  <si>
    <t>熊洞#bait</t>
  </si>
  <si>
    <t>6894.txt</t>
  </si>
  <si>
    <t>Boot</t>
  </si>
  <si>
    <t>靴子</t>
  </si>
  <si>
    <t>6895.txt</t>
  </si>
  <si>
    <t>6896.txt</t>
  </si>
  <si>
    <t>6897.txt</t>
  </si>
  <si>
    <t>6898.txt</t>
  </si>
  <si>
    <t>Pile of Shrimps</t>
  </si>
  <si>
    <t>虾堆</t>
  </si>
  <si>
    <t>6899.txt</t>
  </si>
  <si>
    <t>6900.txt</t>
  </si>
  <si>
    <t>6901.txt</t>
  </si>
  <si>
    <t>6902.txt</t>
  </si>
  <si>
    <t>Pile of Straight Branches</t>
  </si>
  <si>
    <t>直枝桩</t>
  </si>
  <si>
    <t>6903.txt</t>
  </si>
  <si>
    <t>6904.txt</t>
  </si>
  <si>
    <t>Pile of Steel Pipes</t>
  </si>
  <si>
    <t>钢管桩</t>
  </si>
  <si>
    <t>6905.txt</t>
  </si>
  <si>
    <t>6906.txt</t>
  </si>
  <si>
    <t>6907.txt</t>
  </si>
  <si>
    <t>6908.txt</t>
  </si>
  <si>
    <t>6909.txt</t>
  </si>
  <si>
    <t>Pile of Mangoes</t>
  </si>
  <si>
    <t>6910.txt</t>
  </si>
  <si>
    <t>6911.txt</t>
  </si>
  <si>
    <t>Domestic Cow on Rope</t>
  </si>
  <si>
    <t>绳索上的家牛</t>
  </si>
  <si>
    <t>6913.txt</t>
  </si>
  <si>
    <t>Milk Cow on Rope</t>
  </si>
  <si>
    <t>绳索上的奶牛</t>
  </si>
  <si>
    <t>6915.txt</t>
  </si>
  <si>
    <t>6916.txt</t>
  </si>
  <si>
    <t>6919.txt</t>
  </si>
  <si>
    <t>Stone Wall with Shelf# +noBackAccess +useOnContained</t>
  </si>
  <si>
    <t>带搁板的石墙# +noBackAccess +useOnContained</t>
  </si>
  <si>
    <t>6921.txt</t>
  </si>
  <si>
    <t>Stone Wall with Shelves</t>
  </si>
  <si>
    <t>带搁架的石墙</t>
  </si>
  <si>
    <t>6922.txt</t>
  </si>
  <si>
    <t>Bowl of Minced Beef</t>
  </si>
  <si>
    <t>碗碎牛肉</t>
  </si>
  <si>
    <t>6923.txt</t>
  </si>
  <si>
    <t>6924.txt</t>
  </si>
  <si>
    <t>Bowl of Raw Mutton</t>
  </si>
  <si>
    <t>生羊肉碗</t>
  </si>
  <si>
    <t>6925.txt</t>
  </si>
  <si>
    <t>Bowl of Raw Beef</t>
  </si>
  <si>
    <t>一碗生牛肉</t>
  </si>
  <si>
    <t>6926.txt</t>
  </si>
  <si>
    <t>Skinned Cow</t>
  </si>
  <si>
    <t>剥皮牛</t>
  </si>
  <si>
    <t>6927.txt</t>
  </si>
  <si>
    <t>Skinned Bison</t>
  </si>
  <si>
    <t>剥皮野牛</t>
  </si>
  <si>
    <t>6928.txt</t>
  </si>
  <si>
    <t>Skinned Bison #with hide</t>
  </si>
  <si>
    <t>带皮去皮野牛#with hide</t>
  </si>
  <si>
    <t>6929.txt</t>
  </si>
  <si>
    <t>Skinned Cow #with hide</t>
  </si>
  <si>
    <t>剥皮牛#with hide</t>
  </si>
  <si>
    <t>6930.txt</t>
  </si>
  <si>
    <t>Butchered Bison</t>
  </si>
  <si>
    <t>屠宰野牛</t>
  </si>
  <si>
    <t>6931.txt</t>
  </si>
  <si>
    <t>Butchered Cow</t>
  </si>
  <si>
    <t>屠宰的奶牛</t>
  </si>
  <si>
    <t>6932.txt</t>
  </si>
  <si>
    <t>Bison Skin</t>
  </si>
  <si>
    <t>野牛皮</t>
  </si>
  <si>
    <t>6933.txt</t>
  </si>
  <si>
    <t>Cow Skin</t>
  </si>
  <si>
    <t>牛皮</t>
  </si>
  <si>
    <t>6934.txt</t>
  </si>
  <si>
    <t>Cow Bones</t>
  </si>
  <si>
    <t>牛骨</t>
  </si>
  <si>
    <t>6935.txt</t>
  </si>
  <si>
    <t>Bison Bones</t>
  </si>
  <si>
    <t>野牛骨头</t>
  </si>
  <si>
    <t>6936.txt</t>
  </si>
  <si>
    <t>Raw Beef</t>
  </si>
  <si>
    <t>生牛肉</t>
  </si>
  <si>
    <t>6937.txt</t>
  </si>
  <si>
    <t>Dead Cow #shot</t>
  </si>
  <si>
    <t>死奶牛#shot</t>
  </si>
  <si>
    <t>6938.txt</t>
  </si>
  <si>
    <t>Dead Cow #shot arrow</t>
  </si>
  <si>
    <t>死牛#shot arrow</t>
  </si>
  <si>
    <t>6939.txt</t>
  </si>
  <si>
    <t>Basket of Cow Bones</t>
  </si>
  <si>
    <t>牛骨篮</t>
  </si>
  <si>
    <t>6940.txt</t>
  </si>
  <si>
    <t>Basket of Bison Bones</t>
  </si>
  <si>
    <t>一篮野牛骨头</t>
  </si>
  <si>
    <t>6941.txt</t>
  </si>
  <si>
    <t>Bison Bones#dumped</t>
  </si>
  <si>
    <t>野牛骨头#dumped</t>
  </si>
  <si>
    <t>6942.txt</t>
  </si>
  <si>
    <t>Cow Bones#dumped</t>
  </si>
  <si>
    <t>牛骨#dumped</t>
  </si>
  <si>
    <t>6943.txt</t>
  </si>
  <si>
    <t>Raw Steak Pie</t>
  </si>
  <si>
    <t>生牛排派</t>
  </si>
  <si>
    <t>6944.txt</t>
  </si>
  <si>
    <t>Cooked Steak Pie</t>
  </si>
  <si>
    <t>熟牛排派</t>
  </si>
  <si>
    <t>6945.txt</t>
  </si>
  <si>
    <t>Raw Steak and Onion Pie</t>
  </si>
  <si>
    <t>生牛排洋葱派</t>
  </si>
  <si>
    <t>6946.txt</t>
  </si>
  <si>
    <t>Cooked Steak and Onion Pie</t>
  </si>
  <si>
    <t>熟牛排洋葱派</t>
  </si>
  <si>
    <t>6947.txt</t>
  </si>
  <si>
    <t>Raw Pork Pie</t>
  </si>
  <si>
    <t>生猪肉派</t>
  </si>
  <si>
    <t>6948.txt</t>
  </si>
  <si>
    <t>Cooked Pork Pie</t>
  </si>
  <si>
    <t>熟猪肉派</t>
  </si>
  <si>
    <t>6949.txt</t>
  </si>
  <si>
    <t>Raw Honey Bunny Pie</t>
  </si>
  <si>
    <t>生蜂蜜兔子派</t>
  </si>
  <si>
    <t>6950.txt</t>
  </si>
  <si>
    <t>Cooked Honey Bunny Pie</t>
  </si>
  <si>
    <t>熟蜂蜜兔子派</t>
  </si>
  <si>
    <t>6951.txt</t>
  </si>
  <si>
    <t>Raw Pork and Apple Pie</t>
  </si>
  <si>
    <t>生猪肉苹果派</t>
  </si>
  <si>
    <t>6952.txt</t>
  </si>
  <si>
    <t>Cooked Pork and Apple Pie</t>
  </si>
  <si>
    <t>熟猪肉苹果派</t>
  </si>
  <si>
    <t>6953.txt</t>
  </si>
  <si>
    <t>Bowl of Minced Beef and Onion</t>
  </si>
  <si>
    <t>洋葱牛肉末碗</t>
  </si>
  <si>
    <t>6954.txt</t>
  </si>
  <si>
    <t>Plucked Chicken on Plate</t>
  </si>
  <si>
    <t>盘上扒鸡</t>
  </si>
  <si>
    <t>6956.txt</t>
  </si>
  <si>
    <t>Cut Raw Chicken on Plate</t>
  </si>
  <si>
    <t>切块生鸡肉</t>
  </si>
  <si>
    <t>6957.txt</t>
  </si>
  <si>
    <t>Cut Raw Chicken and Bones on Plate</t>
  </si>
  <si>
    <t>把生鸡肉和骨头放在盘子里切</t>
  </si>
  <si>
    <t>6960.txt</t>
  </si>
  <si>
    <t>6961.txt</t>
  </si>
  <si>
    <t>Bison Hat</t>
  </si>
  <si>
    <t>野牛帽</t>
  </si>
  <si>
    <t>6962.txt</t>
  </si>
  <si>
    <t>Hedge Wall</t>
  </si>
  <si>
    <t>对冲墙</t>
  </si>
  <si>
    <t>6963.txt</t>
  </si>
  <si>
    <t>6964.txt</t>
  </si>
  <si>
    <t>6965.txt</t>
  </si>
  <si>
    <t>Hedge Wall#half</t>
  </si>
  <si>
    <t>对冲墙#half</t>
  </si>
  <si>
    <t>6966.txt</t>
  </si>
  <si>
    <t>6967.txt</t>
  </si>
  <si>
    <t>6968.txt</t>
  </si>
  <si>
    <t>Domestic Hedge</t>
  </si>
  <si>
    <t>国内对冲</t>
  </si>
  <si>
    <t>6969.txt</t>
  </si>
  <si>
    <t>Wild Hedge</t>
  </si>
  <si>
    <t>野生树篱</t>
  </si>
  <si>
    <t>6970.txt</t>
  </si>
  <si>
    <t>Shears with Hedge Cutting</t>
  </si>
  <si>
    <t>带树篱切割的剪刀</t>
  </si>
  <si>
    <t>6971.txt</t>
  </si>
  <si>
    <t>Dry Hedge Sapling</t>
  </si>
  <si>
    <t>干树篱树苗</t>
  </si>
  <si>
    <t>6972.txt</t>
  </si>
  <si>
    <t>Wet Hedge Sapling</t>
  </si>
  <si>
    <t>湿树篱树苗</t>
  </si>
  <si>
    <t>6973.txt</t>
  </si>
  <si>
    <t>Staked Hedge</t>
  </si>
  <si>
    <t>权益对冲</t>
  </si>
  <si>
    <t>6974.txt</t>
  </si>
  <si>
    <t>Dug Hedge</t>
  </si>
  <si>
    <t>6975.txt</t>
  </si>
  <si>
    <t>Planted Domestic Hedge#corner</t>
  </si>
  <si>
    <t>种植的国内树篱#corner</t>
  </si>
  <si>
    <t>6976.txt</t>
  </si>
  <si>
    <t>Planted Domestic Hedge#vertical</t>
  </si>
  <si>
    <t>种植的国内树篱#vertical</t>
  </si>
  <si>
    <t>6977.txt</t>
  </si>
  <si>
    <t>Planted Domestic Hedge#horizontal</t>
  </si>
  <si>
    <t>种植的国内树篱#horizontal</t>
  </si>
  <si>
    <t>6978.txt</t>
  </si>
  <si>
    <t>Watered Hedge Wall#half</t>
  </si>
  <si>
    <t>被水淹没的树篱墙#half</t>
  </si>
  <si>
    <t>6979.txt</t>
  </si>
  <si>
    <t>6980.txt</t>
  </si>
  <si>
    <t>6981.txt</t>
  </si>
  <si>
    <t>Planted Domestic Hedge#corner staked</t>
  </si>
  <si>
    <t>种植的国内树篱#corner staked</t>
  </si>
  <si>
    <t>6982.txt</t>
  </si>
  <si>
    <t>Planted Domestic Hedge#horizontal staked</t>
  </si>
  <si>
    <t>种植的国内树篱#horizontal staked</t>
  </si>
  <si>
    <t>6983.txt</t>
  </si>
  <si>
    <t>Planted Domestic Hedge#vertical staked</t>
  </si>
  <si>
    <t>种植的国内树篱#vertical staked</t>
  </si>
  <si>
    <t>6984.txt</t>
  </si>
  <si>
    <t>Dug Hedge with Stakes</t>
  </si>
  <si>
    <t>用木桩挖树篱</t>
  </si>
  <si>
    <t>6985.txt</t>
  </si>
  <si>
    <t>Dug Dead Hedge</t>
  </si>
  <si>
    <t>挖死树篱</t>
  </si>
  <si>
    <t>6986.txt</t>
  </si>
  <si>
    <t>Open Fence Gate#wedged</t>
  </si>
  <si>
    <t>敞开式栅栏门#wedged</t>
  </si>
  <si>
    <t>6987.txt</t>
  </si>
  <si>
    <t>Cage #modTool # sick +noFeeding</t>
  </si>
  <si>
    <t>笼子#modTool # sick +noFeeding</t>
  </si>
  <si>
    <t>6988.txt</t>
  </si>
  <si>
    <t>Cage Action</t>
  </si>
  <si>
    <t>笼动作</t>
  </si>
  <si>
    <t>6989.txt</t>
  </si>
  <si>
    <t>Cage Transition# sick food_10 fever_1</t>
  </si>
  <si>
    <t>笼子转换# sick food_10 fever_1</t>
  </si>
  <si>
    <t>6990.txt</t>
  </si>
  <si>
    <t>Poipack with Sword</t>
  </si>
  <si>
    <t>带剑的背包</t>
  </si>
  <si>
    <t>6991.txt</t>
  </si>
  <si>
    <t>Poipack with Blunt Sword</t>
  </si>
  <si>
    <t>钝剑泊</t>
  </si>
  <si>
    <t>6992.txt</t>
  </si>
  <si>
    <t>Two Lassos</t>
  </si>
  <si>
    <t>两个套索</t>
  </si>
  <si>
    <t>6993.txt</t>
  </si>
  <si>
    <t>Hot Steel Rod and Gold Ingot on Anvil</t>
  </si>
  <si>
    <t>铁砧上的热钢条和金锭</t>
  </si>
  <si>
    <t>6994.txt</t>
  </si>
  <si>
    <t>Steel Rod and Gold Ingot on Anvil</t>
  </si>
  <si>
    <t>铁砧上的钢条和金锭</t>
  </si>
  <si>
    <t>6995.txt</t>
  </si>
  <si>
    <t>Gold Ingot on Flat Rock</t>
  </si>
  <si>
    <t>扁石上的金锭</t>
  </si>
  <si>
    <t>6996.txt</t>
  </si>
  <si>
    <t>Hedge Cutting</t>
  </si>
  <si>
    <t>树篱切割</t>
  </si>
  <si>
    <t>6997.txt</t>
  </si>
  <si>
    <t>Dug Wild Hedge</t>
  </si>
  <si>
    <t>挖野生树篱</t>
  </si>
  <si>
    <t>6998.txt</t>
  </si>
  <si>
    <t>Fed Domestic Sheep #justFed</t>
  </si>
  <si>
    <t>饲养的家绵羊#justFed</t>
  </si>
  <si>
    <t>6999.txt</t>
  </si>
  <si>
    <t>7000.txt</t>
  </si>
  <si>
    <t>Fed Domestic Pig #justFed</t>
  </si>
  <si>
    <t>喂过的家猪#justFed</t>
  </si>
  <si>
    <t>7001.txt</t>
  </si>
  <si>
    <t>7002.txt</t>
  </si>
  <si>
    <t>7003.txt</t>
  </si>
  <si>
    <t>7004.txt</t>
  </si>
  <si>
    <t>Fed Domestic Cow on Rope</t>
  </si>
  <si>
    <t>用绳子喂奶牛</t>
  </si>
  <si>
    <t>7005.txt</t>
  </si>
  <si>
    <t>Fed Domestic Cow #justFed</t>
  </si>
  <si>
    <t>喂过的家牛#justFed</t>
  </si>
  <si>
    <t>7006.txt</t>
  </si>
  <si>
    <t>7007.txt</t>
  </si>
  <si>
    <t>Tipped Corn Kernels</t>
  </si>
  <si>
    <t>倾斜的玉米粒</t>
  </si>
  <si>
    <t>7008.txt</t>
  </si>
  <si>
    <t>Tipped Corn Kernels #last</t>
  </si>
  <si>
    <t>最后一个玉米粒#last</t>
  </si>
  <si>
    <t>7010.txt</t>
  </si>
  <si>
    <t>Bucket of Corn #last</t>
  </si>
  <si>
    <t>最后一桶玉米#last</t>
  </si>
  <si>
    <t>7011.txt</t>
  </si>
  <si>
    <t>Bucket of Feed</t>
  </si>
  <si>
    <t>饲料桶</t>
  </si>
  <si>
    <t>7013.txt</t>
  </si>
  <si>
    <t>Watering Can</t>
  </si>
  <si>
    <t>洒水罐</t>
  </si>
  <si>
    <t>7014.txt</t>
  </si>
  <si>
    <t>Empty Watering Can</t>
  </si>
  <si>
    <t>空的水箱</t>
  </si>
  <si>
    <t>7015.txt</t>
  </si>
  <si>
    <t>Blacksmith Apron</t>
  </si>
  <si>
    <t>铁匠围裙</t>
  </si>
  <si>
    <t>7016.txt</t>
  </si>
  <si>
    <t>Blacksmith Apron #with hammer</t>
  </si>
  <si>
    <t>带锤子的铁匠围裙#with hammer</t>
  </si>
  <si>
    <t>7017.txt</t>
  </si>
  <si>
    <t>Skull Mask</t>
  </si>
  <si>
    <t>骨头面具</t>
  </si>
  <si>
    <t>7018.txt</t>
  </si>
  <si>
    <t>7019.txt</t>
  </si>
  <si>
    <t>Half Stone Wall</t>
  </si>
  <si>
    <t>半石墙</t>
  </si>
  <si>
    <t>7020.txt</t>
  </si>
  <si>
    <t>Half Stone Wall with Shelf# +useOnContained</t>
  </si>
  <si>
    <t>带搁板的半石墙# +useOnContained</t>
  </si>
  <si>
    <t>7021.txt</t>
  </si>
  <si>
    <t>Ancient Half Stone Wall</t>
  </si>
  <si>
    <t>古代半石壁</t>
  </si>
  <si>
    <t>7022.txt</t>
  </si>
  <si>
    <t>Ancient Half Stone Wall with Shelf# +useOnContained</t>
  </si>
  <si>
    <t>带搁板的古半石墙# +useOnContained</t>
  </si>
  <si>
    <t>7023.txt</t>
  </si>
  <si>
    <t>Small Cut Stones</t>
  </si>
  <si>
    <t>小型切割石</t>
  </si>
  <si>
    <t>7024.txt</t>
  </si>
  <si>
    <t>Basket of Small Cut Stones</t>
  </si>
  <si>
    <t>一篮小琢石</t>
  </si>
  <si>
    <t>7025.txt</t>
  </si>
  <si>
    <t>Half Stone Wall with Boards</t>
  </si>
  <si>
    <t>半石板墙</t>
  </si>
  <si>
    <t>7026.txt</t>
  </si>
  <si>
    <t>Ancient Half Stone Wall with Boards</t>
  </si>
  <si>
    <t>古代半石板墙</t>
  </si>
  <si>
    <t>7027.txt</t>
  </si>
  <si>
    <t>Cut Stones #just piled</t>
  </si>
  <si>
    <t>刚刚堆放的切割石#just piled</t>
  </si>
  <si>
    <t>7028.txt</t>
  </si>
  <si>
    <t>Small Cut Stones #just dumped</t>
  </si>
  <si>
    <t>小切割石#just dumped</t>
  </si>
  <si>
    <t>7029.txt</t>
  </si>
  <si>
    <t>Full Watering Can</t>
  </si>
  <si>
    <t>装满水的罐子</t>
  </si>
  <si>
    <t>7033.txt</t>
  </si>
  <si>
    <t>Bucket and Two Pipes on Work Bench</t>
  </si>
  <si>
    <t>工作台上的铲斗和两根管道</t>
  </si>
  <si>
    <t>7034.txt</t>
  </si>
  <si>
    <t>Bucket and Pipe on Work Bench</t>
  </si>
  <si>
    <t>工作台上的铲斗和管道</t>
  </si>
  <si>
    <t>7035.txt</t>
  </si>
  <si>
    <t>Bucket on Work Bench</t>
  </si>
  <si>
    <t>工作台上的铲斗</t>
  </si>
  <si>
    <t>7036.txt</t>
  </si>
  <si>
    <t>Watering Can on Work Bench</t>
  </si>
  <si>
    <t>工作台上的水箱</t>
  </si>
  <si>
    <t>7037.txt</t>
  </si>
  <si>
    <t>(outdated) Horse-Drawn Cart# just released</t>
  </si>
  <si>
    <t># just released</t>
  </si>
  <si>
    <t>7038.txt</t>
  </si>
  <si>
    <t>(outdated) Horse-Drawn Cart with Tires #just released</t>
  </si>
  <si>
    <t>#just released</t>
  </si>
  <si>
    <t>7039.txt</t>
  </si>
  <si>
    <t>Stone Arch</t>
  </si>
  <si>
    <t>石拱门</t>
  </si>
  <si>
    <t>7040.txt</t>
  </si>
  <si>
    <t>Wild Grape Vine</t>
  </si>
  <si>
    <t>野生葡萄藤</t>
  </si>
  <si>
    <t>7041.txt</t>
  </si>
  <si>
    <t>Dry Vineyard Plot</t>
  </si>
  <si>
    <t>干葡萄园地块</t>
  </si>
  <si>
    <t>7042.txt</t>
  </si>
  <si>
    <t>Dry Planted Grape Cutting</t>
  </si>
  <si>
    <t>旱地葡萄扦插</t>
  </si>
  <si>
    <t>7043.txt</t>
  </si>
  <si>
    <t>Fruiting Vineyard Plot</t>
  </si>
  <si>
    <t>果园地块</t>
  </si>
  <si>
    <t>7044.txt</t>
  </si>
  <si>
    <t>Unripe Vineyard Plot</t>
  </si>
  <si>
    <t>未成熟葡萄园地块</t>
  </si>
  <si>
    <t>7045.txt</t>
  </si>
  <si>
    <t>Harvested Vineyard Plot</t>
  </si>
  <si>
    <t>收获葡萄园地块</t>
  </si>
  <si>
    <t>7046.txt</t>
  </si>
  <si>
    <t>Dug Grape Vine</t>
  </si>
  <si>
    <t>挖葡萄藤</t>
  </si>
  <si>
    <t>7047.txt</t>
  </si>
  <si>
    <t>Shears with Grape Cutting</t>
  </si>
  <si>
    <t>葡萄剪</t>
  </si>
  <si>
    <t>7048.txt</t>
  </si>
  <si>
    <t>Grapes</t>
  </si>
  <si>
    <t>葡萄</t>
  </si>
  <si>
    <t>7049.txt</t>
  </si>
  <si>
    <t>Empty Wild Grape Vine</t>
  </si>
  <si>
    <t>空的野生葡萄藤</t>
  </si>
  <si>
    <t>7050.txt</t>
  </si>
  <si>
    <t>Wet Planted Grape Cutting</t>
  </si>
  <si>
    <t>湿栽葡萄扦插</t>
  </si>
  <si>
    <t>7051.txt</t>
  </si>
  <si>
    <t>Wet Vineyard Plot</t>
  </si>
  <si>
    <t>湿葡萄园地块</t>
  </si>
  <si>
    <t>7052.txt</t>
  </si>
  <si>
    <t>Empty Vineyard Plot with Kindling</t>
  </si>
  <si>
    <t>空葡萄园地块与Kindling</t>
  </si>
  <si>
    <t>7053.txt</t>
  </si>
  <si>
    <t>Wet Harvested Vineyard Plot</t>
  </si>
  <si>
    <t>湿采葡萄园地块</t>
  </si>
  <si>
    <t>7054.txt</t>
  </si>
  <si>
    <t>Grape Cutting</t>
  </si>
  <si>
    <t>葡萄切割</t>
  </si>
  <si>
    <t>7055.txt</t>
  </si>
  <si>
    <t>Basket of Grapes</t>
  </si>
  <si>
    <t>一篮葡萄</t>
  </si>
  <si>
    <t>7057.txt</t>
  </si>
  <si>
    <t>Bison with Plough</t>
  </si>
  <si>
    <t>犁野牛</t>
  </si>
  <si>
    <t>7058.txt</t>
  </si>
  <si>
    <t>Saddled Bison with Plough</t>
  </si>
  <si>
    <t>犁鞍野牛</t>
  </si>
  <si>
    <t>7060.txt</t>
  </si>
  <si>
    <t>Nomad Pants</t>
  </si>
  <si>
    <t>Nomad长裤</t>
  </si>
  <si>
    <t>7061.txt</t>
  </si>
  <si>
    <t>Nomad Robe</t>
  </si>
  <si>
    <t>游牧者长袍</t>
  </si>
  <si>
    <t>7062.txt</t>
  </si>
  <si>
    <t>Nomad Scarf</t>
  </si>
  <si>
    <t>游牧者围巾</t>
  </si>
  <si>
    <t>7069.txt</t>
  </si>
  <si>
    <t>Nomad Pants #black</t>
  </si>
  <si>
    <t>Nomad长裤#black</t>
  </si>
  <si>
    <t>7070.txt</t>
  </si>
  <si>
    <t>Nomad Robe #black</t>
  </si>
  <si>
    <t>游牧者长袍#black</t>
  </si>
  <si>
    <t>7071.txt</t>
  </si>
  <si>
    <t>Nomad Scarf #black</t>
  </si>
  <si>
    <t>Nomad围巾#black</t>
  </si>
  <si>
    <t>7072.txt</t>
  </si>
  <si>
    <t>Nomad Pants #brown</t>
  </si>
  <si>
    <t>Nomad长裤#brown</t>
  </si>
  <si>
    <t>7073.txt</t>
  </si>
  <si>
    <t>Nomad Robe #brown</t>
  </si>
  <si>
    <t>游牧长袍#brown</t>
  </si>
  <si>
    <t>7074.txt</t>
  </si>
  <si>
    <t>Nomad Scarf #brown</t>
  </si>
  <si>
    <t>游牧围巾#brown</t>
  </si>
  <si>
    <t>7075.txt</t>
  </si>
  <si>
    <t>7076.txt</t>
  </si>
  <si>
    <t>7077.txt</t>
  </si>
  <si>
    <t>7078.txt</t>
  </si>
  <si>
    <t>7079.txt</t>
  </si>
  <si>
    <t>Caged Goose</t>
  </si>
  <si>
    <t>笼鹅</t>
  </si>
  <si>
    <t>7080.txt</t>
  </si>
  <si>
    <t>Copper Cage</t>
  </si>
  <si>
    <t>铜笼</t>
  </si>
  <si>
    <t>7081.txt</t>
  </si>
  <si>
    <t>Caged Rooster</t>
  </si>
  <si>
    <t>笼中公鸡</t>
  </si>
  <si>
    <t>7082.txt</t>
  </si>
  <si>
    <t>Caged Hen</t>
  </si>
  <si>
    <t>笼母鸡</t>
  </si>
  <si>
    <t>7083.txt</t>
  </si>
  <si>
    <t>Drying Rack</t>
  </si>
  <si>
    <t>干燥架</t>
  </si>
  <si>
    <t>7085.txt</t>
  </si>
  <si>
    <t>Cow Hide on Tanning Rack</t>
  </si>
  <si>
    <t>制革架上的牛皮</t>
  </si>
  <si>
    <t>7086.txt</t>
  </si>
  <si>
    <t>Tanning Rack</t>
  </si>
  <si>
    <t>制革架</t>
  </si>
  <si>
    <t>7087.txt</t>
  </si>
  <si>
    <t>Bison Hide on Tanning Rack</t>
  </si>
  <si>
    <t>制革架上的野牛皮</t>
  </si>
  <si>
    <t>7088.txt</t>
  </si>
  <si>
    <t>Leather on Tanning Rack</t>
  </si>
  <si>
    <t>制革架上的皮革</t>
  </si>
  <si>
    <t>7089.txt</t>
  </si>
  <si>
    <t>Tied Yew Shafts</t>
  </si>
  <si>
    <t>系腰紫杉</t>
  </si>
  <si>
    <t>7090.txt</t>
  </si>
  <si>
    <t>Two Tied Yew Shafts</t>
  </si>
  <si>
    <t>两个系腰紫杉</t>
  </si>
  <si>
    <t>7091.txt</t>
  </si>
  <si>
    <t>Large Wooden Slot Box</t>
  </si>
  <si>
    <t>大型木制插槽盒</t>
  </si>
  <si>
    <t>7092.txt</t>
  </si>
  <si>
    <t>Large Cart</t>
  </si>
  <si>
    <t>大型购物车</t>
  </si>
  <si>
    <t>7098.txt</t>
  </si>
  <si>
    <t>Large Wooden Box</t>
  </si>
  <si>
    <t>大木箱</t>
  </si>
  <si>
    <t>7100.txt</t>
  </si>
  <si>
    <t>Large Wooden Box with Slots</t>
  </si>
  <si>
    <t>带插槽的大木箱</t>
  </si>
  <si>
    <t>7101.txt</t>
  </si>
  <si>
    <t>Large Cart Kit #two wheels</t>
  </si>
  <si>
    <t>大推车套件#two wheels</t>
  </si>
  <si>
    <t>7102.txt</t>
  </si>
  <si>
    <t>Large Cart Kit #four wheels</t>
  </si>
  <si>
    <t>大型推车套件#four wheels</t>
  </si>
  <si>
    <t>7103.txt</t>
  </si>
  <si>
    <t>Large Cart Kit</t>
  </si>
  <si>
    <t>大型购物车套件</t>
  </si>
  <si>
    <t>7104.txt</t>
  </si>
  <si>
    <t>(outdated) Horse Wagon</t>
  </si>
  <si>
    <t>7108.txt</t>
  </si>
  <si>
    <t>(outdated) Hitched Horse Wagon</t>
  </si>
  <si>
    <t>7109.txt</t>
  </si>
  <si>
    <t>(outdated) Hitched Horse Wagon #single</t>
  </si>
  <si>
    <t>#single</t>
  </si>
  <si>
    <t>7110.txt</t>
  </si>
  <si>
    <t>(outdated) Cow in Cargo Wagon</t>
  </si>
  <si>
    <t>7112.txt</t>
  </si>
  <si>
    <t>(outdated) Fed Cow in Cargo Wagon</t>
  </si>
  <si>
    <t>7113.txt</t>
  </si>
  <si>
    <t>(outdated) Cargo Wagon</t>
  </si>
  <si>
    <t>7114.txt</t>
  </si>
  <si>
    <t>(outdated) Hitched Cargo Wagon</t>
  </si>
  <si>
    <t>7115.txt</t>
  </si>
  <si>
    <t>(outdated) Hitched Wagon with Fence Twigs</t>
  </si>
  <si>
    <t>7116.txt</t>
  </si>
  <si>
    <t>(outdated) Cow in Hitched Cargo Wagon</t>
  </si>
  <si>
    <t>7117.txt</t>
  </si>
  <si>
    <t>(outdated) Fed Cow in Hitched Cargo Wagon</t>
  </si>
  <si>
    <t>挂接货车中的喂牛（过时）</t>
  </si>
  <si>
    <t>7118.txt</t>
  </si>
  <si>
    <t>(outdated) Milk Cow in Cargo Wagon</t>
  </si>
  <si>
    <t>7119.txt</t>
  </si>
  <si>
    <t>(outdated) Milk Cow in Hitched Cargo Wagon</t>
  </si>
  <si>
    <t>7120.txt</t>
  </si>
  <si>
    <t>Wooden Box with Note# &amp;written +clickToRead</t>
  </si>
  <si>
    <t>带注释的木箱# &amp;written +clickToRead</t>
  </si>
  <si>
    <t>7121.txt</t>
  </si>
  <si>
    <t>Large Wooden Box with Note# &amp;written +clickToRead</t>
  </si>
  <si>
    <t>带注释# &amp;written +clickToRead</t>
  </si>
  <si>
    <t>7122.txt</t>
  </si>
  <si>
    <t>Wooden Slot Box with Note# &amp;written +clickToRead</t>
  </si>
  <si>
    <t>7123.txt</t>
  </si>
  <si>
    <t>Large Wooden Slot Box with Note# &amp;written +clickToRead</t>
  </si>
  <si>
    <t>7124.txt</t>
  </si>
  <si>
    <t>Empty Watering Can #just emptied</t>
  </si>
  <si>
    <t>空水箱#just emptied</t>
  </si>
  <si>
    <t>7136.txt</t>
  </si>
  <si>
    <t>Mixed Cut Stones</t>
  </si>
  <si>
    <t>混合切割石头</t>
  </si>
  <si>
    <t>7137.txt</t>
  </si>
  <si>
    <t>Pile of Thin Copper Rods</t>
  </si>
  <si>
    <t>细铜棒桩</t>
  </si>
  <si>
    <t>7138.txt</t>
  </si>
  <si>
    <t>Thin Copper Rod #just made</t>
  </si>
  <si>
    <t>刚刚制作的细铜棒#just made</t>
  </si>
  <si>
    <t>7139.txt</t>
  </si>
  <si>
    <t>Large Wooden Sledge</t>
  </si>
  <si>
    <t>大型木制雪橇</t>
  </si>
  <si>
    <t>7140.txt</t>
  </si>
  <si>
    <t>Large Wooden Box with Shaft</t>
  </si>
  <si>
    <t>带轴的大木箱</t>
  </si>
  <si>
    <t>7141.txt</t>
  </si>
  <si>
    <t>Big Stack of Boards with Short Shaft</t>
  </si>
  <si>
    <t>短轴大板堆</t>
  </si>
  <si>
    <t>7142.txt</t>
  </si>
  <si>
    <t>(outdated) Pig in Cargo Wagon</t>
  </si>
  <si>
    <t>货车上的清管器</t>
  </si>
  <si>
    <t>7143.txt</t>
  </si>
  <si>
    <t>(outdated) Pig in Hitched Cargo Wagon</t>
  </si>
  <si>
    <t>挂接货车中的清管器</t>
  </si>
  <si>
    <t>7144.txt</t>
  </si>
  <si>
    <t>(outdated) Fed Pig in Cargo Wagon</t>
  </si>
  <si>
    <t>7145.txt</t>
  </si>
  <si>
    <t>(outdated) Fed Pig in Hitched Cargo Wagon</t>
  </si>
  <si>
    <t>挂接货车中的喂入式清管器</t>
  </si>
  <si>
    <t>7146.txt</t>
  </si>
  <si>
    <t>(outdated) Sheep in Hitched Cargo Wagon</t>
  </si>
  <si>
    <t>7147.txt</t>
  </si>
  <si>
    <t>(outdated) Sheep in Cargo Wagon</t>
  </si>
  <si>
    <t>7148.txt</t>
  </si>
  <si>
    <t>(outdated) Fed Sheep in Hitched Cargo Wagon</t>
  </si>
  <si>
    <t>7149.txt</t>
  </si>
  <si>
    <t>(outdated) Fed Sheep in Cargo Wagon</t>
  </si>
  <si>
    <t>7150.txt</t>
  </si>
  <si>
    <t>(outdated) Shorn Sheep in Hitched Cargo Wagon</t>
  </si>
  <si>
    <t>7151.txt</t>
  </si>
  <si>
    <t>(outdated) Shorn Sheep in Cargo Wagon</t>
  </si>
  <si>
    <t>7153.txt</t>
  </si>
  <si>
    <t>Charcoal Box</t>
  </si>
  <si>
    <t>木炭箱</t>
  </si>
  <si>
    <t>7154.txt</t>
  </si>
  <si>
    <t>Soil Box</t>
  </si>
  <si>
    <t>土壤箱</t>
  </si>
  <si>
    <t>7155.txt</t>
  </si>
  <si>
    <t>Two Steel Blade Blanks</t>
  </si>
  <si>
    <t>两个钢制叶片毛坯</t>
  </si>
  <si>
    <t>7156.txt</t>
  </si>
  <si>
    <t>Big Stack of Boards with Two Blanks</t>
  </si>
  <si>
    <t>有两块坯料的大板堆</t>
  </si>
  <si>
    <t>7158.txt</t>
  </si>
  <si>
    <t>7159.txt</t>
  </si>
  <si>
    <t>@ Compost Items</t>
  </si>
  <si>
    <t>7160.txt</t>
  </si>
  <si>
    <t>Composting Box</t>
  </si>
  <si>
    <t>堆肥箱</t>
  </si>
  <si>
    <t>7161.txt</t>
  </si>
  <si>
    <t>Compost Box</t>
  </si>
  <si>
    <t>7162.txt</t>
  </si>
  <si>
    <t>Full Composting Box</t>
  </si>
  <si>
    <t>全堆肥箱</t>
  </si>
  <si>
    <t>7163.txt</t>
  </si>
  <si>
    <t>Compost Box with Worms</t>
  </si>
  <si>
    <t>装有蠕虫的堆肥箱</t>
  </si>
  <si>
    <t>7164.txt</t>
  </si>
  <si>
    <t>Compost Box with Worm</t>
  </si>
  <si>
    <t>蠕虫堆肥箱</t>
  </si>
  <si>
    <t>7166.txt</t>
  </si>
  <si>
    <t>Compost Box #full</t>
  </si>
  <si>
    <t>堆肥箱#full</t>
  </si>
  <si>
    <t>7167.txt</t>
  </si>
  <si>
    <t>Perhaps Wormy Compost</t>
  </si>
  <si>
    <t>也许是Wormy堆肥</t>
  </si>
  <si>
    <t>7168.txt</t>
  </si>
  <si>
    <t>Torch</t>
  </si>
  <si>
    <t>手电筒</t>
  </si>
  <si>
    <t>7169.txt</t>
  </si>
  <si>
    <t>Tripod with Bowl</t>
  </si>
  <si>
    <t>带碗的三脚架</t>
  </si>
  <si>
    <t>7170.txt</t>
  </si>
  <si>
    <t>Tripod with Soaked Pad in Bowl</t>
  </si>
  <si>
    <t>碗中浸垫三脚架</t>
  </si>
  <si>
    <t>7174.txt</t>
  </si>
  <si>
    <t>Wine Glass# +noFeeding +emotEat_6_10 +alcohol10</t>
  </si>
  <si>
    <t>酒杯# +noFeeding +emotEat_6_10 +alcohol10</t>
  </si>
  <si>
    <t>7177.txt</t>
  </si>
  <si>
    <t>Stone Fireplace #eveHomeMarker</t>
  </si>
  <si>
    <t>石头壁炉#eveHomeMarker</t>
  </si>
  <si>
    <t>7178.txt</t>
  </si>
  <si>
    <t>Empty Stone Fireplace #eveHomeMarker</t>
  </si>
  <si>
    <t>空石壁炉#eveHomeMarker</t>
  </si>
  <si>
    <t>7179.txt</t>
  </si>
  <si>
    <t>Empty Stone Kiln</t>
  </si>
  <si>
    <t>空石窑</t>
  </si>
  <si>
    <t>7180.txt</t>
  </si>
  <si>
    <t>Stone Kiln with Kindling</t>
  </si>
  <si>
    <t>点石窑</t>
  </si>
  <si>
    <t>7181.txt</t>
  </si>
  <si>
    <t>Firing Stone Kiln</t>
  </si>
  <si>
    <t>烧制石窑</t>
  </si>
  <si>
    <t>7182.txt</t>
  </si>
  <si>
    <t>Stone Kiln with Charcoal</t>
  </si>
  <si>
    <t>木炭石窑</t>
  </si>
  <si>
    <t>7183.txt</t>
  </si>
  <si>
    <t>Stone Fireplace with Kindling #eveHomeMarker</t>
  </si>
  <si>
    <t>带有Kindling#eveHomeMarker</t>
  </si>
  <si>
    <t>7185.txt</t>
  </si>
  <si>
    <t>Stone Fireplace with Hot Coals #eveHomeMarker</t>
  </si>
  <si>
    <t>热煤石壁炉#eveHomeMarker</t>
  </si>
  <si>
    <t>7186.txt</t>
  </si>
  <si>
    <t>Stone Fireplace with Ashes #eveHomeMarker</t>
  </si>
  <si>
    <t>灰烬石壁炉#eveHomeMarker</t>
  </si>
  <si>
    <t>7187.txt</t>
  </si>
  <si>
    <t>Closed Firing Stone Kiln</t>
  </si>
  <si>
    <t>闭式石窑</t>
  </si>
  <si>
    <t>7188.txt</t>
  </si>
  <si>
    <t>Closed Stone Kiln with Charcoal</t>
  </si>
  <si>
    <t>木炭密闭石窑</t>
  </si>
  <si>
    <t>7189.txt</t>
  </si>
  <si>
    <t>Empty Stone Kiln #no door</t>
  </si>
  <si>
    <t>空石窑#no door</t>
  </si>
  <si>
    <t>7190.txt</t>
  </si>
  <si>
    <t>Stone Kiln with Ashe</t>
  </si>
  <si>
    <t>灰烬石窑</t>
  </si>
  <si>
    <t>7191.txt</t>
  </si>
  <si>
    <t>Empty Stone Kiln #door removed</t>
  </si>
  <si>
    <t>拆除空石窑#door removed</t>
  </si>
  <si>
    <t>7192.txt</t>
  </si>
  <si>
    <t>Stone Kiln Rubble</t>
  </si>
  <si>
    <t>石窑毛石</t>
  </si>
  <si>
    <t>7193.txt</t>
  </si>
  <si>
    <t>Vigorous Domestic Gooseberry Bush #no soil</t>
  </si>
  <si>
    <t>活力十足的国产醋栗灌木#no soil</t>
  </si>
  <si>
    <t>7194.txt</t>
  </si>
  <si>
    <t>Leather Hide</t>
  </si>
  <si>
    <t>皮革皮革</t>
  </si>
  <si>
    <t>7195.txt</t>
  </si>
  <si>
    <t>Pile of Leather Hides</t>
  </si>
  <si>
    <t>一堆皮革</t>
  </si>
  <si>
    <t>7196.txt</t>
  </si>
  <si>
    <t>Shears with Cut Thread</t>
  </si>
  <si>
    <t>带切割螺纹的剪切机</t>
  </si>
  <si>
    <t>7197.txt</t>
  </si>
  <si>
    <t>Cut Ball of Thread</t>
  </si>
  <si>
    <t>切割螺纹球</t>
  </si>
  <si>
    <t>7198.txt</t>
  </si>
  <si>
    <t>Hot Iron Door#flat rock</t>
  </si>
  <si>
    <t>热铁门#flat rock</t>
  </si>
  <si>
    <t>7199.txt</t>
  </si>
  <si>
    <t>Iron Door on Flat Rock</t>
  </si>
  <si>
    <t>平石铁门</t>
  </si>
  <si>
    <t>7200.txt</t>
  </si>
  <si>
    <t>Iron Door</t>
  </si>
  <si>
    <t>铁门</t>
  </si>
  <si>
    <t>7201.txt</t>
  </si>
  <si>
    <t>Stone Kiln with Kindling #no door</t>
  </si>
  <si>
    <t>Kindling#no door</t>
  </si>
  <si>
    <t>7202.txt</t>
  </si>
  <si>
    <t>(outdated) Message in a Bottle # &amp;written</t>
  </si>
  <si>
    <t># &amp;written</t>
  </si>
  <si>
    <t>7206.txt</t>
  </si>
  <si>
    <t>(outdated) Message in a Bottle # &amp;written water</t>
  </si>
  <si>
    <t># &amp;written water</t>
  </si>
  <si>
    <t>7207.txt</t>
  </si>
  <si>
    <t>Sign Panel #big sign</t>
  </si>
  <si>
    <t>标志板#big sign</t>
  </si>
  <si>
    <t>7208.txt</t>
  </si>
  <si>
    <t>Sign Panel #small sign</t>
  </si>
  <si>
    <t>标志板#small sign</t>
  </si>
  <si>
    <t>7209.txt</t>
  </si>
  <si>
    <t>Removed Sign Panel #small sign</t>
  </si>
  <si>
    <t>拆除标志板#small sign</t>
  </si>
  <si>
    <t>7210.txt</t>
  </si>
  <si>
    <t>Removed Sign Panel #big sign</t>
  </si>
  <si>
    <t>拆除标志板#big sign</t>
  </si>
  <si>
    <t>7211.txt</t>
  </si>
  <si>
    <t>Detached Sign Panel</t>
  </si>
  <si>
    <t>分离式标志板</t>
  </si>
  <si>
    <t>7212.txt</t>
  </si>
  <si>
    <t>Caged Rabbit</t>
  </si>
  <si>
    <t>笼状兔子</t>
  </si>
  <si>
    <t>7213.txt</t>
  </si>
  <si>
    <t>Juniper Tree with Rabbit</t>
  </si>
  <si>
    <t>带兔子的杜松子树</t>
  </si>
  <si>
    <t>7214.txt</t>
  </si>
  <si>
    <t>Kerosene Soaked Wool Pad</t>
  </si>
  <si>
    <t>煤油浸泡羊毛垫</t>
  </si>
  <si>
    <t>7215.txt</t>
  </si>
  <si>
    <t>Crucible with Soaked Wool Pad</t>
  </si>
  <si>
    <t>浸泡羊毛垫坩埚</t>
  </si>
  <si>
    <t>7219.txt</t>
  </si>
  <si>
    <t>Fermenting Composting Box</t>
  </si>
  <si>
    <t>发酵堆肥箱</t>
  </si>
  <si>
    <t>7221.txt</t>
  </si>
  <si>
    <t>Copper Pipe #NS</t>
  </si>
  <si>
    <t>铜管#NS</t>
  </si>
  <si>
    <t>7222.txt</t>
  </si>
  <si>
    <t>Copper Pipe #EW</t>
  </si>
  <si>
    <t>铜管#EW</t>
  </si>
  <si>
    <t>7223.txt</t>
  </si>
  <si>
    <t>Copper Pipe #SW</t>
  </si>
  <si>
    <t>铜管#SW</t>
  </si>
  <si>
    <t>7224.txt</t>
  </si>
  <si>
    <t>Copper Pipe #C</t>
  </si>
  <si>
    <t>铜管#C</t>
  </si>
  <si>
    <t>7225.txt</t>
  </si>
  <si>
    <t>Copper Pipe #NW</t>
  </si>
  <si>
    <t>铜管#NW</t>
  </si>
  <si>
    <t>7226.txt</t>
  </si>
  <si>
    <t>Copper Pipe #NE</t>
  </si>
  <si>
    <t>铜管#NE</t>
  </si>
  <si>
    <t>7227.txt</t>
  </si>
  <si>
    <t>Copper Pipe #SE</t>
  </si>
  <si>
    <t>铜管#SE</t>
  </si>
  <si>
    <t>7232.txt</t>
  </si>
  <si>
    <t>Traveling Water #N</t>
  </si>
  <si>
    <t>游水#N</t>
  </si>
  <si>
    <t>7233.txt</t>
  </si>
  <si>
    <t>Copper Pipe #NS #waterN</t>
  </si>
  <si>
    <t>铜管#NS #waterN</t>
  </si>
  <si>
    <t>7234.txt</t>
  </si>
  <si>
    <t>Traveling Water #S</t>
  </si>
  <si>
    <t>游水#S</t>
  </si>
  <si>
    <t>7235.txt</t>
  </si>
  <si>
    <t>Traveling Water #E</t>
  </si>
  <si>
    <t>游水#E</t>
  </si>
  <si>
    <t>7236.txt</t>
  </si>
  <si>
    <t>Traveling Water #W</t>
  </si>
  <si>
    <t>行波#W</t>
  </si>
  <si>
    <t>7237.txt</t>
  </si>
  <si>
    <t>Copper Pipe #NS #waterS</t>
  </si>
  <si>
    <t>铜管#NS #waterS</t>
  </si>
  <si>
    <t>7238.txt</t>
  </si>
  <si>
    <t>Copper Pipe #NW #waterW</t>
  </si>
  <si>
    <t>铜管#NW #waterW</t>
  </si>
  <si>
    <t>7239.txt</t>
  </si>
  <si>
    <t>Copper Pipe #NW #waterN</t>
  </si>
  <si>
    <t>铜管#NW #waterN</t>
  </si>
  <si>
    <t>7240.txt</t>
  </si>
  <si>
    <t>Copper Pipe #EW #waterW</t>
  </si>
  <si>
    <t>铜管#EW #waterW</t>
  </si>
  <si>
    <t>7241.txt</t>
  </si>
  <si>
    <t>Copper Pipe #NE #waterN</t>
  </si>
  <si>
    <t>铜管#NE #waterN</t>
  </si>
  <si>
    <t>7242.txt</t>
  </si>
  <si>
    <t>Copper Pipe #SE #waterE</t>
  </si>
  <si>
    <t>铜管#SE #waterE</t>
  </si>
  <si>
    <t>7243.txt</t>
  </si>
  <si>
    <t>Copper Pipe #EW #waterE</t>
  </si>
  <si>
    <t>铜管#EW #waterE</t>
  </si>
  <si>
    <t>7244.txt</t>
  </si>
  <si>
    <t>Copper Pipe #SW #waterS</t>
  </si>
  <si>
    <t>铜管#SW #waterS</t>
  </si>
  <si>
    <t>7245.txt</t>
  </si>
  <si>
    <t>Copper Pipe #SW #waterW</t>
  </si>
  <si>
    <t>铜管#SW #waterW</t>
  </si>
  <si>
    <t>7246.txt</t>
  </si>
  <si>
    <t>Copper Pipe #SE #waterS</t>
  </si>
  <si>
    <t>铜管#SE #waterS</t>
  </si>
  <si>
    <t>7247.txt</t>
  </si>
  <si>
    <t>Copper Pipe #NE #waterE</t>
  </si>
  <si>
    <t>铜管#NE #waterE</t>
  </si>
  <si>
    <t>7248.txt</t>
  </si>
  <si>
    <t>Fill Station #W</t>
  </si>
  <si>
    <t>加油站#W</t>
  </si>
  <si>
    <t>7249.txt</t>
  </si>
  <si>
    <t>Fill Station #E</t>
  </si>
  <si>
    <t>加油站#E</t>
  </si>
  <si>
    <t>7250.txt</t>
  </si>
  <si>
    <t>Fill Station #N</t>
  </si>
  <si>
    <t>加油站#N</t>
  </si>
  <si>
    <t>7251.txt</t>
  </si>
  <si>
    <t>Fill Station #S</t>
  </si>
  <si>
    <t>加油站#S</t>
  </si>
  <si>
    <t>7252.txt</t>
  </si>
  <si>
    <t>Fill Station #W #partial</t>
  </si>
  <si>
    <t>加油站#W #partial</t>
  </si>
  <si>
    <t>7253.txt</t>
  </si>
  <si>
    <t>Fill Station #E #empty</t>
  </si>
  <si>
    <t>加油站#E #empty</t>
  </si>
  <si>
    <t>7254.txt</t>
  </si>
  <si>
    <t>Fill Station #N #partial</t>
  </si>
  <si>
    <t>加油站#N #partial</t>
  </si>
  <si>
    <t>7255.txt</t>
  </si>
  <si>
    <t>Fill Station #S #empty</t>
  </si>
  <si>
    <t>加油站#S #empty</t>
  </si>
  <si>
    <t>7256.txt</t>
  </si>
  <si>
    <t>Partial Fill Station</t>
  </si>
  <si>
    <t>部分加油站</t>
  </si>
  <si>
    <t>7257.txt</t>
  </si>
  <si>
    <t>Copper Pipe</t>
  </si>
  <si>
    <t>铜管</t>
  </si>
  <si>
    <t>7258.txt</t>
  </si>
  <si>
    <t>Partial Fill Station with Copper Pipe</t>
  </si>
  <si>
    <t>铜管局部加油站</t>
  </si>
  <si>
    <t>7259.txt</t>
  </si>
  <si>
    <t>Fill Station #N #partial #flow</t>
  </si>
  <si>
    <t>加油站#N #partial #flow</t>
  </si>
  <si>
    <t>7261.txt</t>
  </si>
  <si>
    <t>Fill Station #N #partial #on</t>
  </si>
  <si>
    <t>加油站#N #partial #on</t>
  </si>
  <si>
    <t>7266.txt</t>
  </si>
  <si>
    <t>(outdated) Locked Pine Door# Installed $20</t>
  </si>
  <si>
    <t># Installed $20</t>
  </si>
  <si>
    <t>7267.txt</t>
  </si>
  <si>
    <t>(outdated) Locked Open Pine Needle Door# installed $20</t>
  </si>
  <si>
    <t># installed $20</t>
  </si>
  <si>
    <t>7268.txt</t>
  </si>
  <si>
    <t>(outdated) Copper Key# $20</t>
  </si>
  <si>
    <t># $20</t>
  </si>
  <si>
    <t>7269.txt</t>
  </si>
  <si>
    <t>Copper Key Blank with Lock</t>
  </si>
  <si>
    <t>带锁的铜质钥匙毛坯</t>
  </si>
  <si>
    <t>7270.txt</t>
  </si>
  <si>
    <t>(outdated) Copper Key Blank with Lock $20</t>
  </si>
  <si>
    <t>7271.txt</t>
  </si>
  <si>
    <t>(outdated) Removed Lock Open Pine Needle Door# installed $20</t>
  </si>
  <si>
    <t>7272.txt</t>
  </si>
  <si>
    <t>(outdated) Lock $20 #copper</t>
  </si>
  <si>
    <t>#copper</t>
  </si>
  <si>
    <t>7273.txt</t>
  </si>
  <si>
    <t>7274.txt</t>
  </si>
  <si>
    <t>(outdated) Locked Open Pine Needle Door # installed $20</t>
  </si>
  <si>
    <t>7275.txt</t>
  </si>
  <si>
    <t>(outdated) Silver Key# $20</t>
  </si>
  <si>
    <t>7276.txt</t>
  </si>
  <si>
    <t>Silver Key Blank with Lock</t>
  </si>
  <si>
    <t>带锁的银色钥匙毛坯</t>
  </si>
  <si>
    <t>7277.txt</t>
  </si>
  <si>
    <t>(outdated) Silver Key Blank with Lock $20</t>
  </si>
  <si>
    <t>7278.txt</t>
  </si>
  <si>
    <t>7279.txt</t>
  </si>
  <si>
    <t>(outdated) Lock $20 #silver</t>
  </si>
  <si>
    <t>#silver</t>
  </si>
  <si>
    <t>7280.txt</t>
  </si>
  <si>
    <t>7281.txt</t>
  </si>
  <si>
    <t>7282.txt</t>
  </si>
  <si>
    <t>(outdated) Gold Key # $20</t>
  </si>
  <si>
    <t>7283.txt</t>
  </si>
  <si>
    <t>Gold Key Blank with Lock</t>
  </si>
  <si>
    <t>带锁金钥匙毛坯</t>
  </si>
  <si>
    <t>7284.txt</t>
  </si>
  <si>
    <t>(outdated) Gold Key Blank with Lock $20</t>
  </si>
  <si>
    <t>7285.txt</t>
  </si>
  <si>
    <t>7286.txt</t>
  </si>
  <si>
    <t>(outdated) Lock $20 #gold</t>
  </si>
  <si>
    <t>#gold</t>
  </si>
  <si>
    <t>7287.txt</t>
  </si>
  <si>
    <t>Diamond</t>
  </si>
  <si>
    <t>金刚石</t>
  </si>
  <si>
    <t>7288.txt</t>
  </si>
  <si>
    <t>(outdated) Gold Key # $20 +password-assigner</t>
  </si>
  <si>
    <t># $20 +password-assigner</t>
  </si>
  <si>
    <t>7289.txt</t>
  </si>
  <si>
    <t>Open Password Locked Pine Door# +password-protectable</t>
  </si>
  <si>
    <t>打开密码锁定的松门# +password-protectable</t>
  </si>
  <si>
    <t>7290.txt</t>
  </si>
  <si>
    <t>Password Locked Pine Door# +password-protectable</t>
  </si>
  <si>
    <t>密码锁定松门# +password-protectable</t>
  </si>
  <si>
    <t>7292.txt</t>
  </si>
  <si>
    <t>Crate of Apples</t>
  </si>
  <si>
    <t>苹果盒子</t>
  </si>
  <si>
    <t>7293.txt</t>
  </si>
  <si>
    <t>Wooden Crate</t>
  </si>
  <si>
    <t>木箱</t>
  </si>
  <si>
    <t>7294.txt</t>
  </si>
  <si>
    <t>Crate of Oranges</t>
  </si>
  <si>
    <t>橙子盒子</t>
  </si>
  <si>
    <t>7295.txt</t>
  </si>
  <si>
    <t>Crate of Lemons</t>
  </si>
  <si>
    <t>柠檬坑</t>
  </si>
  <si>
    <t>7296.txt</t>
  </si>
  <si>
    <t>Bee Hive #4 #honey4</t>
  </si>
  <si>
    <t>蜂房#4 #honey4</t>
  </si>
  <si>
    <t>7297.txt</t>
  </si>
  <si>
    <t>Bee Hive #3 #honey3</t>
  </si>
  <si>
    <t>蜂巢#3 #honey3</t>
  </si>
  <si>
    <t>7298.txt</t>
  </si>
  <si>
    <t>Bee Hive #2 #honey2</t>
  </si>
  <si>
    <t>蜂巢#2 #honey2</t>
  </si>
  <si>
    <t>7299.txt</t>
  </si>
  <si>
    <t>Bee Hive #1 #honey1</t>
  </si>
  <si>
    <t>蜂巢#1 #honey1</t>
  </si>
  <si>
    <t>7300.txt</t>
  </si>
  <si>
    <t>Bee Hive Stand</t>
  </si>
  <si>
    <t>蜂箱支架</t>
  </si>
  <si>
    <t>7301.txt</t>
  </si>
  <si>
    <t>Bee Hive #1 #honey0</t>
  </si>
  <si>
    <t>蜂巢#1 #honey0</t>
  </si>
  <si>
    <t>7302.txt</t>
  </si>
  <si>
    <t>Bee Box</t>
  </si>
  <si>
    <t>蜜蜂箱</t>
  </si>
  <si>
    <t>7303.txt</t>
  </si>
  <si>
    <t>Bee Hive #2 #honey0</t>
  </si>
  <si>
    <t>蜂巢#2 #honey0</t>
  </si>
  <si>
    <t>7304.txt</t>
  </si>
  <si>
    <t>Bee Hive #3 #honey0</t>
  </si>
  <si>
    <t>蜂巢#3 #honey0</t>
  </si>
  <si>
    <t>7305.txt</t>
  </si>
  <si>
    <t>Bee Hive #4 #honey0</t>
  </si>
  <si>
    <t>蜂巢#4 #honey0</t>
  </si>
  <si>
    <t>7306.txt</t>
  </si>
  <si>
    <t>Bee Hive #1 #honey0 #bee</t>
  </si>
  <si>
    <t>蜂巢#1 #honey0 #bee</t>
  </si>
  <si>
    <t>7307.txt</t>
  </si>
  <si>
    <t>(outdated) Bee Hive #1 empty bee returning</t>
  </si>
  <si>
    <t>#1 empty bee returning</t>
  </si>
  <si>
    <t>7308.txt</t>
  </si>
  <si>
    <t>Flowering Apple Tree #bee</t>
  </si>
  <si>
    <t>开花的苹果树#bee</t>
  </si>
  <si>
    <t>7309.txt</t>
  </si>
  <si>
    <t>Pollinated Apple Tree # bee</t>
  </si>
  <si>
    <t>授粉苹果树# bee</t>
  </si>
  <si>
    <t>7310.txt</t>
  </si>
  <si>
    <t>Bee Hive #4 #honey4 #bee</t>
  </si>
  <si>
    <t>蜂房#4 #honey4 #bee</t>
  </si>
  <si>
    <t>7311.txt</t>
  </si>
  <si>
    <t>(outdated) Bee Hive #4 bee returning</t>
  </si>
  <si>
    <t>#4 bee returning</t>
  </si>
  <si>
    <t>7312.txt</t>
  </si>
  <si>
    <t>7313.txt</t>
  </si>
  <si>
    <t>Orange Tree</t>
  </si>
  <si>
    <t>桔子树</t>
  </si>
  <si>
    <t>7314.txt</t>
  </si>
  <si>
    <t>Lemon Tree</t>
  </si>
  <si>
    <t>柠檬树</t>
  </si>
  <si>
    <t>7315.txt</t>
  </si>
  <si>
    <t>Orange</t>
  </si>
  <si>
    <t>橘子</t>
  </si>
  <si>
    <t>7316.txt</t>
  </si>
  <si>
    <t>Lemon# +emotEat_28_10</t>
  </si>
  <si>
    <t>柠檬# +emotEat_28_10</t>
  </si>
  <si>
    <t>7317.txt</t>
  </si>
  <si>
    <t>Empty Lemon Tree</t>
  </si>
  <si>
    <t>空柠檬树</t>
  </si>
  <si>
    <t>7318.txt</t>
  </si>
  <si>
    <t>Empty Orange Tree</t>
  </si>
  <si>
    <t>空的橘子树</t>
  </si>
  <si>
    <t>7319.txt</t>
  </si>
  <si>
    <t>Empty Apple Tree</t>
  </si>
  <si>
    <t>空苹果树</t>
  </si>
  <si>
    <t>7320.txt</t>
  </si>
  <si>
    <t>Honeybee#just left</t>
  </si>
  <si>
    <t>蜜蜂#just left</t>
  </si>
  <si>
    <t>7321.txt</t>
  </si>
  <si>
    <t>Bee Hive #4 #honey0 #bee</t>
  </si>
  <si>
    <t>蜂房#4 #honey0 #bee</t>
  </si>
  <si>
    <t>7322.txt</t>
  </si>
  <si>
    <t>(outdated) Bee Hive #4 empty bee returning</t>
  </si>
  <si>
    <t>#4 empty bee returning</t>
  </si>
  <si>
    <t>7323.txt</t>
  </si>
  <si>
    <t>Bee Hive #3 #honey3 #bee</t>
  </si>
  <si>
    <t>蜂房#3 #honey3 #bee</t>
  </si>
  <si>
    <t>7324.txt</t>
  </si>
  <si>
    <t>(outdated) Bee Hive #3 bee returning</t>
  </si>
  <si>
    <t>#3 bee returning</t>
  </si>
  <si>
    <t>7325.txt</t>
  </si>
  <si>
    <t>Bee Hive #3 #honey0 #bee</t>
  </si>
  <si>
    <t>蜂房#3 #honey0 #bee</t>
  </si>
  <si>
    <t>7326.txt</t>
  </si>
  <si>
    <t>(outdated) Bee Hive #3 empty bee returning</t>
  </si>
  <si>
    <t>#3 empty bee returning</t>
  </si>
  <si>
    <t>7327.txt</t>
  </si>
  <si>
    <t>Bee Hive #2 #honey2 #bee</t>
  </si>
  <si>
    <t>蜂巢#2 #honey2 #bee</t>
  </si>
  <si>
    <t>7328.txt</t>
  </si>
  <si>
    <t>(outdated) Bee Hive #2 bee returning</t>
  </si>
  <si>
    <t>#2 bee returning</t>
  </si>
  <si>
    <t>7329.txt</t>
  </si>
  <si>
    <t>Bee Hive #2 #honey0 #bee</t>
  </si>
  <si>
    <t>蜂房#2 #honey0 #bee</t>
  </si>
  <si>
    <t>7330.txt</t>
  </si>
  <si>
    <t>(outdated) Bee Hive #2 empty bee returning</t>
  </si>
  <si>
    <t>#2 empty bee returning</t>
  </si>
  <si>
    <t>7331.txt</t>
  </si>
  <si>
    <t>Bee Smoker</t>
  </si>
  <si>
    <t>蜜蜂吸烟者</t>
  </si>
  <si>
    <t>7332.txt</t>
  </si>
  <si>
    <t>Empty Bee Smoker</t>
  </si>
  <si>
    <t>空蜜蜂吸烟者</t>
  </si>
  <si>
    <t>7333.txt</t>
  </si>
  <si>
    <t>Bee Smoker #smoking</t>
  </si>
  <si>
    <t>蜜蜂吸烟者#smoking</t>
  </si>
  <si>
    <t>7334.txt</t>
  </si>
  <si>
    <t>Empty Bee Smoker #fire</t>
  </si>
  <si>
    <t>空蜜蜂吸烟者#fire</t>
  </si>
  <si>
    <t>7335.txt</t>
  </si>
  <si>
    <t>Empty Bee Smoker #kindling</t>
  </si>
  <si>
    <t>空蜜蜂吸烟者#kindling</t>
  </si>
  <si>
    <t>7336.txt</t>
  </si>
  <si>
    <t>7339.txt</t>
  </si>
  <si>
    <t>Pollinated Apple Tree</t>
  </si>
  <si>
    <t>授粉苹果树</t>
  </si>
  <si>
    <t>7340.txt</t>
  </si>
  <si>
    <t>7341.txt</t>
  </si>
  <si>
    <t>7342.txt</t>
  </si>
  <si>
    <t>Flowering Orange Tree</t>
  </si>
  <si>
    <t>开花的橘子树</t>
  </si>
  <si>
    <t>7343.txt</t>
  </si>
  <si>
    <t>Pollinated Orange Tree</t>
  </si>
  <si>
    <t>授粉的桔子树</t>
  </si>
  <si>
    <t>7344.txt</t>
  </si>
  <si>
    <t>Autumn Orange Tree</t>
  </si>
  <si>
    <t>秋天的橘子树</t>
  </si>
  <si>
    <t>7345.txt</t>
  </si>
  <si>
    <t>Winter Orange Tree</t>
  </si>
  <si>
    <t>冬橙树</t>
  </si>
  <si>
    <t>7346.txt</t>
  </si>
  <si>
    <t>Flowering Orange Tree #bee</t>
  </si>
  <si>
    <t>开花的橘子树#bee</t>
  </si>
  <si>
    <t>7347.txt</t>
  </si>
  <si>
    <t>Pollinated Orange Tree #bee</t>
  </si>
  <si>
    <t>授粉橙树#bee</t>
  </si>
  <si>
    <t>7348.txt</t>
  </si>
  <si>
    <t>Flowering Lemon Tree</t>
  </si>
  <si>
    <t>开花的柠檬树</t>
  </si>
  <si>
    <t>7349.txt</t>
  </si>
  <si>
    <t>Pollinated Lemon Tree</t>
  </si>
  <si>
    <t>授粉柠檬树</t>
  </si>
  <si>
    <t>7350.txt</t>
  </si>
  <si>
    <t>Autumn Lemon Tree</t>
  </si>
  <si>
    <t>秋柠檬树</t>
  </si>
  <si>
    <t>7351.txt</t>
  </si>
  <si>
    <t>Winter Lemon Tree</t>
  </si>
  <si>
    <t>冬季柠檬树</t>
  </si>
  <si>
    <t>7352.txt</t>
  </si>
  <si>
    <t>Flowering Lemon Tree #bee</t>
  </si>
  <si>
    <t>开花的柠檬树#bee</t>
  </si>
  <si>
    <t>7353.txt</t>
  </si>
  <si>
    <t>Pollinated Lemon Tree #bee</t>
  </si>
  <si>
    <t>授粉柠檬树#bee</t>
  </si>
  <si>
    <t>7354.txt</t>
  </si>
  <si>
    <t>Orange Pile</t>
  </si>
  <si>
    <t>橙色绒毛</t>
  </si>
  <si>
    <t>7355.txt</t>
  </si>
  <si>
    <t>Lemon Pile</t>
  </si>
  <si>
    <t>柠檬堆</t>
  </si>
  <si>
    <t>7356.txt</t>
  </si>
  <si>
    <t>Dry Apple Sapling</t>
  </si>
  <si>
    <t>干苹果汁</t>
  </si>
  <si>
    <t>7357.txt</t>
  </si>
  <si>
    <t>Dry Apple Sapling Cutting</t>
  </si>
  <si>
    <t>干苹果边角料切割</t>
  </si>
  <si>
    <t>7358.txt</t>
  </si>
  <si>
    <t>Wet Apple Sapling Cutting</t>
  </si>
  <si>
    <t>湿苹果边料切割</t>
  </si>
  <si>
    <t>7359.txt</t>
  </si>
  <si>
    <t>Wet Apple Sapling</t>
  </si>
  <si>
    <t>湿苹果汁</t>
  </si>
  <si>
    <t>7360.txt</t>
  </si>
  <si>
    <t>Shears with Apple Cutting</t>
  </si>
  <si>
    <t>苹果剪</t>
  </si>
  <si>
    <t>7361.txt</t>
  </si>
  <si>
    <t>Apple Tree Cutting</t>
  </si>
  <si>
    <t>苹果树切割</t>
  </si>
  <si>
    <t>7362.txt</t>
  </si>
  <si>
    <t>Dry Orange Sapling Cutting</t>
  </si>
  <si>
    <t>干橘汁扦插</t>
  </si>
  <si>
    <t>7363.txt</t>
  </si>
  <si>
    <t>Wet Orange Sapling Cutting</t>
  </si>
  <si>
    <t>湿橘汁切割</t>
  </si>
  <si>
    <t>7364.txt</t>
  </si>
  <si>
    <t>Dry Orange Sapling</t>
  </si>
  <si>
    <t>干橘汁</t>
  </si>
  <si>
    <t>7365.txt</t>
  </si>
  <si>
    <t>Wet Orange Sapling</t>
  </si>
  <si>
    <t>湿橘汁</t>
  </si>
  <si>
    <t>7366.txt</t>
  </si>
  <si>
    <t>Dry Lemon Sapling Cutting</t>
  </si>
  <si>
    <t>干柠檬汁切割</t>
  </si>
  <si>
    <t>7367.txt</t>
  </si>
  <si>
    <t>Wet Lemon Sapling Cutting</t>
  </si>
  <si>
    <t>湿柠檬汁切割</t>
  </si>
  <si>
    <t>7368.txt</t>
  </si>
  <si>
    <t>Dry Lemon Sapling</t>
  </si>
  <si>
    <t>干柠檬汁</t>
  </si>
  <si>
    <t>7369.txt</t>
  </si>
  <si>
    <t>Wet Lemon Sapling</t>
  </si>
  <si>
    <t>湿柠檬汁</t>
  </si>
  <si>
    <t>7370.txt</t>
  </si>
  <si>
    <t>Shears with Orange Cutting</t>
  </si>
  <si>
    <t>橙色剪裁的剪刀</t>
  </si>
  <si>
    <t>7371.txt</t>
  </si>
  <si>
    <t>Shears with Lemon Cutting</t>
  </si>
  <si>
    <t>柠檬剪</t>
  </si>
  <si>
    <t>7372.txt</t>
  </si>
  <si>
    <t>Orange Tree Cutting</t>
  </si>
  <si>
    <t>橘子树切割</t>
  </si>
  <si>
    <t>7373.txt</t>
  </si>
  <si>
    <t>Lemon Tree Cutting</t>
  </si>
  <si>
    <t>柠檬树切割</t>
  </si>
  <si>
    <t>7374.txt</t>
  </si>
  <si>
    <t>Coconut Tree</t>
  </si>
  <si>
    <t>椰子树</t>
  </si>
  <si>
    <t>7375.txt</t>
  </si>
  <si>
    <t>Empty Coconut Tree</t>
  </si>
  <si>
    <t>空椰子树</t>
  </si>
  <si>
    <t>7376.txt</t>
  </si>
  <si>
    <t>Coconut</t>
  </si>
  <si>
    <t>椰子</t>
  </si>
  <si>
    <t>7377.txt</t>
  </si>
  <si>
    <t>Kapok Tree</t>
  </si>
  <si>
    <t>木棉树</t>
  </si>
  <si>
    <t>7378.txt</t>
  </si>
  <si>
    <t>Bubinga Tree</t>
  </si>
  <si>
    <t>布宾加树</t>
  </si>
  <si>
    <t>7379.txt</t>
  </si>
  <si>
    <t>Cedar Tree</t>
  </si>
  <si>
    <t>雪松</t>
  </si>
  <si>
    <t>7380.txt</t>
  </si>
  <si>
    <t>Field Maple Tree</t>
  </si>
  <si>
    <t>田野枫树</t>
  </si>
  <si>
    <t>7381.txt</t>
  </si>
  <si>
    <t>Balsam Tree</t>
  </si>
  <si>
    <t>Balsam树</t>
  </si>
  <si>
    <t>7382.txt</t>
  </si>
  <si>
    <t>Jelutong Tree</t>
  </si>
  <si>
    <t>Jelutong树</t>
  </si>
  <si>
    <t>7383.txt</t>
  </si>
  <si>
    <t>Hickory Tree</t>
  </si>
  <si>
    <t>山核桃树</t>
  </si>
  <si>
    <t>7388.txt</t>
  </si>
  <si>
    <t>Ash Tree</t>
  </si>
  <si>
    <t>白蜡树</t>
  </si>
  <si>
    <t>7389.txt</t>
  </si>
  <si>
    <t>Stump #dark</t>
  </si>
  <si>
    <t>树桩#dark</t>
  </si>
  <si>
    <t>7390.txt</t>
  </si>
  <si>
    <t>Stump #light</t>
  </si>
  <si>
    <t>树桩#light</t>
  </si>
  <si>
    <t>7391.txt</t>
  </si>
  <si>
    <t>Butt Log #dark</t>
  </si>
  <si>
    <t>对接原木#dark</t>
  </si>
  <si>
    <t>7392.txt</t>
  </si>
  <si>
    <t>Butt Log #light</t>
  </si>
  <si>
    <t>对接原木#light</t>
  </si>
  <si>
    <t>7393.txt</t>
  </si>
  <si>
    <t>Dark Firewood</t>
  </si>
  <si>
    <t>深色柴火</t>
  </si>
  <si>
    <t>7394.txt</t>
  </si>
  <si>
    <t>Light Firewood</t>
  </si>
  <si>
    <t>浅色柴火</t>
  </si>
  <si>
    <t>7395.txt</t>
  </si>
  <si>
    <t>Chopped Tree With Dark Firewood #big,log2,wood1</t>
  </si>
  <si>
    <t>砍树配深色柴火#big,log2,wood1</t>
  </si>
  <si>
    <t>7396.txt</t>
  </si>
  <si>
    <t>Chopped Tree With Dark Firewood #big,log2</t>
  </si>
  <si>
    <t>砍树配深色柴火#big,log2</t>
  </si>
  <si>
    <t>7397.txt</t>
  </si>
  <si>
    <t>Chopped Tree With Dark Firewood #big,log1</t>
  </si>
  <si>
    <t>砍树配深色柴火#big,log1</t>
  </si>
  <si>
    <t>7398.txt</t>
  </si>
  <si>
    <t>Chopped Tree With Dark Firewood #big,log1,wood1</t>
  </si>
  <si>
    <t>砍树配深色柴火#big,log1,wood1</t>
  </si>
  <si>
    <t>7399.txt</t>
  </si>
  <si>
    <t>Chopped Tree With Dark Firewood #small,wood2</t>
  </si>
  <si>
    <t>深色柴火砍树#small,wood2</t>
  </si>
  <si>
    <t>7400.txt</t>
  </si>
  <si>
    <t>Chopped Tree With Dark Firewood #small,wood1</t>
  </si>
  <si>
    <t>深色柴火砍树#small,wood1</t>
  </si>
  <si>
    <t>7401.txt</t>
  </si>
  <si>
    <t>Chopped Tree With Light Firewood #small,wood2</t>
  </si>
  <si>
    <t>带浅色柴火的砍树#small,wood2</t>
  </si>
  <si>
    <t>7402.txt</t>
  </si>
  <si>
    <t>Chopped Tree With Light Firewood #big,log1,wood1</t>
  </si>
  <si>
    <t>带浅色柴火的砍树#big,log1,wood1</t>
  </si>
  <si>
    <t>7403.txt</t>
  </si>
  <si>
    <t>Chopped Tree With Light Firewood #small,wood1</t>
  </si>
  <si>
    <t>带浅色柴火的砍树#small,wood1</t>
  </si>
  <si>
    <t>7404.txt</t>
  </si>
  <si>
    <t>Chopped Tree With Light Firewood #big,log2,wood1</t>
  </si>
  <si>
    <t>带浅色柴火的砍树#big,log2,wood1</t>
  </si>
  <si>
    <t>7405.txt</t>
  </si>
  <si>
    <t>Chopped Tree With Light Firewood #big,log2</t>
  </si>
  <si>
    <t>砍树配浅色柴火#big,log2</t>
  </si>
  <si>
    <t>7406.txt</t>
  </si>
  <si>
    <t>Chopped Tree With Light Firewood #big,log1</t>
  </si>
  <si>
    <t>砍树配浅色柴火#big,log1</t>
  </si>
  <si>
    <t>7407.txt</t>
  </si>
  <si>
    <t>Chopped Tree With Firewood #big,log2,wood1</t>
  </si>
  <si>
    <t>砍柴树#big,log2,wood1</t>
  </si>
  <si>
    <t>7408.txt</t>
  </si>
  <si>
    <t>Chopped Tree With Dark Firewood #big,log2,wood2</t>
  </si>
  <si>
    <t>砍树配深色柴火#big,log2,wood2</t>
  </si>
  <si>
    <t>7409.txt</t>
  </si>
  <si>
    <t>Chopped Tree With Light Firewood #big,log2,wood2</t>
  </si>
  <si>
    <t>带浅色柴火的砍树#big,log2,wood2</t>
  </si>
  <si>
    <t>7410.txt</t>
  </si>
  <si>
    <t>Chopped Tree With Firewood #big,log2,wood2</t>
  </si>
  <si>
    <t>砍柴树#big,log2,wood2</t>
  </si>
  <si>
    <t>7411.txt</t>
  </si>
  <si>
    <t>Chopped Tree With Firewood #big,log2</t>
  </si>
  <si>
    <t>砍柴树#big,log2</t>
  </si>
  <si>
    <t>7412.txt</t>
  </si>
  <si>
    <t>Chopped Tree With Dark Firewood #big,log1,wood2</t>
  </si>
  <si>
    <t>砍树配深色柴火#big,log1,wood2</t>
  </si>
  <si>
    <t>7413.txt</t>
  </si>
  <si>
    <t>Stack of Logs #dark</t>
  </si>
  <si>
    <t>日志堆栈#dark</t>
  </si>
  <si>
    <t>7414.txt</t>
  </si>
  <si>
    <t>Stack of Logs #light</t>
  </si>
  <si>
    <t>原木堆叠#light</t>
  </si>
  <si>
    <t>7415.txt</t>
  </si>
  <si>
    <t>Stack of Firewood #light</t>
  </si>
  <si>
    <t>一堆柴火#light</t>
  </si>
  <si>
    <t>7416.txt</t>
  </si>
  <si>
    <t>Stack of Firewood #dark</t>
  </si>
  <si>
    <t>一堆木柴#dark</t>
  </si>
  <si>
    <t>7417.txt</t>
  </si>
  <si>
    <t>Coconut Pile</t>
  </si>
  <si>
    <t>椰子桩</t>
  </si>
  <si>
    <t>7418.txt</t>
  </si>
  <si>
    <t>Coconut with Coir</t>
  </si>
  <si>
    <t>椰壳椰子</t>
  </si>
  <si>
    <t>7419.txt</t>
  </si>
  <si>
    <t>Coconut Coir</t>
  </si>
  <si>
    <t>椰子椰壳</t>
  </si>
  <si>
    <t>7420.txt</t>
  </si>
  <si>
    <t>Big Hard Rock with Coconut</t>
  </si>
  <si>
    <t>椰子大硬石</t>
  </si>
  <si>
    <t>7421.txt</t>
  </si>
  <si>
    <t>Big Hard Rock with Split Coconut</t>
  </si>
  <si>
    <t>大硬石配椰子</t>
  </si>
  <si>
    <t>7422.txt</t>
  </si>
  <si>
    <t>7423.txt</t>
  </si>
  <si>
    <t>Split Coconut</t>
  </si>
  <si>
    <t>裂开的椰子</t>
  </si>
  <si>
    <t>7424.txt</t>
  </si>
  <si>
    <t>Coconut Bowl</t>
  </si>
  <si>
    <t>椰子碗</t>
  </si>
  <si>
    <t>7425.txt</t>
  </si>
  <si>
    <t>Chopped Tree With Light Firewood #big,log2,wood1 justchopped</t>
  </si>
  <si>
    <t>砍树配浅色柴火#big,log2,wood1 justchopped</t>
  </si>
  <si>
    <t>7426.txt</t>
  </si>
  <si>
    <t>Chopped Tree With Dark Firewood #big,log2,wood1 justchopped</t>
  </si>
  <si>
    <t>砍树配深色柴火#big,log2,wood1 justchopped</t>
  </si>
  <si>
    <t>7427.txt</t>
  </si>
  <si>
    <t>Drilled Coconut</t>
  </si>
  <si>
    <t>钻孔椰子</t>
  </si>
  <si>
    <t>7428.txt</t>
  </si>
  <si>
    <t>Empty Coconut</t>
  </si>
  <si>
    <t>空椰子</t>
  </si>
  <si>
    <t>7429.txt</t>
  </si>
  <si>
    <t>Froe Wedged In Log #light</t>
  </si>
  <si>
    <t>钢楔刀在原木里#light</t>
  </si>
  <si>
    <t>7430.txt</t>
  </si>
  <si>
    <t>Froe Wedged In Log #dark</t>
  </si>
  <si>
    <t>钢楔刀在原木里dark</t>
  </si>
  <si>
    <t>7431.txt</t>
  </si>
  <si>
    <t>7432.txt</t>
  </si>
  <si>
    <t>Balsam Tree with Pine Needles</t>
  </si>
  <si>
    <t>带松针的苦瓜</t>
  </si>
  <si>
    <t>7433.txt</t>
  </si>
  <si>
    <t>Cedar Tree with Pine Needles</t>
  </si>
  <si>
    <t>松针雪松</t>
  </si>
  <si>
    <t>7434.txt</t>
  </si>
  <si>
    <t>Ash Tree #branch</t>
  </si>
  <si>
    <t>白蜡树#branch</t>
  </si>
  <si>
    <t>7435.txt</t>
  </si>
  <si>
    <t>Hickory Tree #branch</t>
  </si>
  <si>
    <t>山核桃树#branch</t>
  </si>
  <si>
    <t>7436.txt</t>
  </si>
  <si>
    <t>Jelutong Tree #branch</t>
  </si>
  <si>
    <t>Jelutong Tree#branch</t>
  </si>
  <si>
    <t>7437.txt</t>
  </si>
  <si>
    <t>Field Maple Tree #branch</t>
  </si>
  <si>
    <t>Field Maple Tree#branch</t>
  </si>
  <si>
    <t>7438.txt</t>
  </si>
  <si>
    <t>Bubinga Tree #branches</t>
  </si>
  <si>
    <t>布宾加树#branches</t>
  </si>
  <si>
    <t>7439.txt</t>
  </si>
  <si>
    <t>Pile of Red Branches</t>
  </si>
  <si>
    <t>一堆红树枝</t>
  </si>
  <si>
    <t>7440.txt</t>
  </si>
  <si>
    <t>Pile of Dark Branches</t>
  </si>
  <si>
    <t>一堆深色树枝</t>
  </si>
  <si>
    <t>7441.txt</t>
  </si>
  <si>
    <t>Pile of Light Branches</t>
  </si>
  <si>
    <t>一堆轻树枝</t>
  </si>
  <si>
    <t>7442.txt</t>
  </si>
  <si>
    <t>Dark Branch</t>
  </si>
  <si>
    <t>深色分支</t>
  </si>
  <si>
    <t>7443.txt</t>
  </si>
  <si>
    <t>Light Branch</t>
  </si>
  <si>
    <t>7444.txt</t>
  </si>
  <si>
    <t>Red Branch</t>
  </si>
  <si>
    <t>红色分支</t>
  </si>
  <si>
    <t>7445.txt</t>
  </si>
  <si>
    <t>Dug Stump #dark</t>
  </si>
  <si>
    <t>Dug Stump#dark</t>
  </si>
  <si>
    <t>7446.txt</t>
  </si>
  <si>
    <t>Dug Stump #light</t>
  </si>
  <si>
    <t>Dug Stump#light</t>
  </si>
  <si>
    <t>7447.txt</t>
  </si>
  <si>
    <t>Caged Cardinals</t>
  </si>
  <si>
    <t>笼状红雀</t>
  </si>
  <si>
    <t>7450.txt</t>
  </si>
  <si>
    <t>Bowl of Silver Flakes</t>
  </si>
  <si>
    <t>银片碗</t>
  </si>
  <si>
    <t>7451.txt</t>
  </si>
  <si>
    <t>Silver Flakes#dumped</t>
  </si>
  <si>
    <t>银薄片#dumped</t>
  </si>
  <si>
    <t>7452.txt</t>
  </si>
  <si>
    <t>Silver Flakes#just mined</t>
  </si>
  <si>
    <t>刚刚开采的银薄片#just mined</t>
  </si>
  <si>
    <t>7453.txt</t>
  </si>
  <si>
    <t>Silver Ingot</t>
  </si>
  <si>
    <t>银锭</t>
  </si>
  <si>
    <t>7454.txt</t>
  </si>
  <si>
    <t>Bowl of Silver in Wooden Tongs</t>
  </si>
  <si>
    <t>木钳银碗</t>
  </si>
  <si>
    <t>7456.txt</t>
  </si>
  <si>
    <t>Bowl with Silver Ingot in Wooden Tongs</t>
  </si>
  <si>
    <t>木钳银锭碗</t>
  </si>
  <si>
    <t>7457.txt</t>
  </si>
  <si>
    <t>Bowl with Silver Ingot</t>
  </si>
  <si>
    <t>银锭碗</t>
  </si>
  <si>
    <t>7461.txt</t>
  </si>
  <si>
    <t>Silver Ingot with Chisel</t>
  </si>
  <si>
    <t>带凿子的银锭</t>
  </si>
  <si>
    <t>7464.txt</t>
  </si>
  <si>
    <t>Silver Key with Chisel</t>
  </si>
  <si>
    <t>带凿子的银钥匙</t>
  </si>
  <si>
    <t>7465.txt</t>
  </si>
  <si>
    <t>Silver Ingot on Flat Rock</t>
  </si>
  <si>
    <t>扁石银锭</t>
  </si>
  <si>
    <t>7466.txt</t>
  </si>
  <si>
    <t>(outdated) Random Mining Outcome</t>
  </si>
  <si>
    <t>7468.txt</t>
  </si>
  <si>
    <t>Copper Ingot with Chisel</t>
  </si>
  <si>
    <t>带凿子的铜锭</t>
  </si>
  <si>
    <t>7469.txt</t>
  </si>
  <si>
    <t>Copper Key with Chisel</t>
  </si>
  <si>
    <t>带凿子的铜钥匙</t>
  </si>
  <si>
    <t>7470.txt</t>
  </si>
  <si>
    <t>Gold Ingot with Chisel</t>
  </si>
  <si>
    <t>带凿子的金锭</t>
  </si>
  <si>
    <t>7471.txt</t>
  </si>
  <si>
    <t>Gold Key with Chisel</t>
  </si>
  <si>
    <t>带凿子的金钥匙</t>
  </si>
  <si>
    <t>7472.txt</t>
  </si>
  <si>
    <t>Native Copper Pile</t>
  </si>
  <si>
    <t>天然铜桩</t>
  </si>
  <si>
    <t>7473.txt</t>
  </si>
  <si>
    <t>Stack of Silver Ingots</t>
  </si>
  <si>
    <t>一叠银锭</t>
  </si>
  <si>
    <t>7474.txt</t>
  </si>
  <si>
    <t>Stack of Gold Ingots</t>
  </si>
  <si>
    <t>一堆金锭</t>
  </si>
  <si>
    <t>7475.txt</t>
  </si>
  <si>
    <t>7476.txt</t>
  </si>
  <si>
    <t>Full Crates of Lemons #2</t>
  </si>
  <si>
    <t>满箱柠檬#2</t>
  </si>
  <si>
    <t>7477.txt</t>
  </si>
  <si>
    <t>Full Crates of Lemons #3</t>
  </si>
  <si>
    <t>满箱柠檬#3</t>
  </si>
  <si>
    <t>7478.txt</t>
  </si>
  <si>
    <t>Full Crate of Lemons</t>
  </si>
  <si>
    <t>满满一箱柠檬</t>
  </si>
  <si>
    <t>7479.txt</t>
  </si>
  <si>
    <t>Full Crate of Oranges</t>
  </si>
  <si>
    <t>满满一箱橙子</t>
  </si>
  <si>
    <t>7480.txt</t>
  </si>
  <si>
    <t>Full Crates of Oranges #2</t>
  </si>
  <si>
    <t>满箱橙子#2</t>
  </si>
  <si>
    <t>7481.txt</t>
  </si>
  <si>
    <t>Full Crates of Oranges #3</t>
  </si>
  <si>
    <t>满满一箱橙子#3</t>
  </si>
  <si>
    <t>7482.txt</t>
  </si>
  <si>
    <t>@ Crate of Goods</t>
  </si>
  <si>
    <t>7483.txt</t>
  </si>
  <si>
    <t>@ Crate Goods</t>
  </si>
  <si>
    <t>7484.txt</t>
  </si>
  <si>
    <t>@ Full Crate of Goods</t>
  </si>
  <si>
    <t>7485.txt</t>
  </si>
  <si>
    <t>Full Crate of Apples</t>
  </si>
  <si>
    <t>满满一箱苹果</t>
  </si>
  <si>
    <t>7486.txt</t>
  </si>
  <si>
    <t>Full Crates of Apples #2</t>
  </si>
  <si>
    <t>满满一箱苹果#2</t>
  </si>
  <si>
    <t>7487.txt</t>
  </si>
  <si>
    <t>Full Crates of Apples #3</t>
  </si>
  <si>
    <t>满满一箱苹果#3</t>
  </si>
  <si>
    <t>7488.txt</t>
  </si>
  <si>
    <t>Undyed Bowler Hat with Feather</t>
  </si>
  <si>
    <t>羽毛滚球帽</t>
  </si>
  <si>
    <t>7489.txt</t>
  </si>
  <si>
    <t>Black Bowler Hat with Feather</t>
  </si>
  <si>
    <t>羽毛黑色保龄球帽</t>
  </si>
  <si>
    <t>7490.txt</t>
  </si>
  <si>
    <t>Indigo Bowler Hat with Feather</t>
  </si>
  <si>
    <t>靛蓝羽毛保龄球帽</t>
  </si>
  <si>
    <t>7491.txt</t>
  </si>
  <si>
    <t>Yellow Bowler Hat with Feather</t>
  </si>
  <si>
    <t>黄色羽毛保龄球帽</t>
  </si>
  <si>
    <t>7492.txt</t>
  </si>
  <si>
    <t>Red Bowler Hat with Feather</t>
  </si>
  <si>
    <t>红色羽毛滚球帽</t>
  </si>
  <si>
    <t>7493.txt</t>
  </si>
  <si>
    <t>Green Bowler Hat with Feather</t>
  </si>
  <si>
    <t>绿色羽毛保龄球帽</t>
  </si>
  <si>
    <t>7494.txt</t>
  </si>
  <si>
    <t>Dye-Ready Bowler Hat with Feather</t>
  </si>
  <si>
    <t>带羽毛的染色滚球帽</t>
  </si>
  <si>
    <t>7495.txt</t>
  </si>
  <si>
    <t>Small Arrow E Sign</t>
  </si>
  <si>
    <t>小箭头E符号</t>
  </si>
  <si>
    <t>7496.txt</t>
  </si>
  <si>
    <t>Small Arrow W Sign</t>
  </si>
  <si>
    <t>小写箭头W标记</t>
  </si>
  <si>
    <t>7497.txt</t>
  </si>
  <si>
    <t>Small Arrow N Sign</t>
  </si>
  <si>
    <t>小箭头N符号</t>
  </si>
  <si>
    <t>7498.txt</t>
  </si>
  <si>
    <t>Small Arrow S Sign</t>
  </si>
  <si>
    <t>小箭头S标记</t>
  </si>
  <si>
    <t>7499.txt</t>
  </si>
  <si>
    <t>Small Arrow SE Sign</t>
  </si>
  <si>
    <t>小写箭头SE标记</t>
  </si>
  <si>
    <t>7500.txt</t>
  </si>
  <si>
    <t>Small Arrow SW Sign</t>
  </si>
  <si>
    <t>小箭头SW标志</t>
  </si>
  <si>
    <t>7501.txt</t>
  </si>
  <si>
    <t>Small Arrow NW Sign</t>
  </si>
  <si>
    <t>小箭头NW标记</t>
  </si>
  <si>
    <t>7502.txt</t>
  </si>
  <si>
    <t>Small Arrow NE Sign</t>
  </si>
  <si>
    <t>小箭头NE标记</t>
  </si>
  <si>
    <t>7503.txt</t>
  </si>
  <si>
    <t>Loose Small Arrow Sign</t>
  </si>
  <si>
    <t>松散小箭头标志</t>
  </si>
  <si>
    <t>7504.txt</t>
  </si>
  <si>
    <t>Small Sign with Chisel</t>
  </si>
  <si>
    <t>带凿的小标志</t>
  </si>
  <si>
    <t>7505.txt</t>
  </si>
  <si>
    <t>Small Arrow E Sign with Chisel</t>
  </si>
  <si>
    <t>带凿的小箭头E标记</t>
  </si>
  <si>
    <t>7506.txt</t>
  </si>
  <si>
    <t>Full Crate of Tomatoes</t>
  </si>
  <si>
    <t>满满一箱番茄</t>
  </si>
  <si>
    <t>7507.txt</t>
  </si>
  <si>
    <t>Crate of Tomatoes</t>
  </si>
  <si>
    <t>番茄罐头</t>
  </si>
  <si>
    <t>7508.txt</t>
  </si>
  <si>
    <t>Full Crates of Tomatoes #2</t>
  </si>
  <si>
    <t>满满一箱番茄#2</t>
  </si>
  <si>
    <t>7509.txt</t>
  </si>
  <si>
    <t>Full Crates of Tomatoes #3</t>
  </si>
  <si>
    <t>满满一箱番茄#3</t>
  </si>
  <si>
    <t>7510.txt</t>
  </si>
  <si>
    <t>Full Crate of Carrots</t>
  </si>
  <si>
    <t>满满一箱胡萝卜</t>
  </si>
  <si>
    <t>7511.txt</t>
  </si>
  <si>
    <t>Crate of Carrots</t>
  </si>
  <si>
    <t>一盒胡萝卜</t>
  </si>
  <si>
    <t>7512.txt</t>
  </si>
  <si>
    <t>Full Crates of Carrots #2</t>
  </si>
  <si>
    <t>满满一箱胡萝卜#2</t>
  </si>
  <si>
    <t>7513.txt</t>
  </si>
  <si>
    <t>Full Crates of Carrots #3</t>
  </si>
  <si>
    <t>满满一箱胡萝卜#3</t>
  </si>
  <si>
    <t>7514.txt</t>
  </si>
  <si>
    <t>Full Crate of Corn</t>
  </si>
  <si>
    <t>满满一箱玉米</t>
  </si>
  <si>
    <t>7515.txt</t>
  </si>
  <si>
    <t>Crate of Corn</t>
  </si>
  <si>
    <t>一箱玉米</t>
  </si>
  <si>
    <t>7516.txt</t>
  </si>
  <si>
    <t>Full Crates of Corn #2</t>
  </si>
  <si>
    <t>满箱玉米#2</t>
  </si>
  <si>
    <t>7517.txt</t>
  </si>
  <si>
    <t>Full Crates of Corn #3</t>
  </si>
  <si>
    <t>满箱玉米#3</t>
  </si>
  <si>
    <t>7519.txt</t>
  </si>
  <si>
    <t>Full Crate of Eggs</t>
  </si>
  <si>
    <t>满满一箱鸡蛋</t>
  </si>
  <si>
    <t>7520.txt</t>
  </si>
  <si>
    <t>Crate of Eggs</t>
  </si>
  <si>
    <t>一箱鸡蛋</t>
  </si>
  <si>
    <t>7521.txt</t>
  </si>
  <si>
    <t>Full Crates of Eggs #2</t>
  </si>
  <si>
    <t>满满一箱鸡蛋#2</t>
  </si>
  <si>
    <t>7522.txt</t>
  </si>
  <si>
    <t>Full Crates of Eggs #3</t>
  </si>
  <si>
    <t>满满一箱鸡蛋#3</t>
  </si>
  <si>
    <t>7524.txt</t>
  </si>
  <si>
    <t>Full Crate of Peppers</t>
  </si>
  <si>
    <t>满满一盒辣椒</t>
  </si>
  <si>
    <t>7525.txt</t>
  </si>
  <si>
    <t>Crate of Peppers</t>
  </si>
  <si>
    <t>辣椒罐头</t>
  </si>
  <si>
    <t>7526.txt</t>
  </si>
  <si>
    <t>Full Crates of Peppers #2</t>
  </si>
  <si>
    <t>满满一箱辣椒#2</t>
  </si>
  <si>
    <t>7527.txt</t>
  </si>
  <si>
    <t>Full Crates of Peppers #3</t>
  </si>
  <si>
    <t>满满一箱辣椒#3</t>
  </si>
  <si>
    <t>7528.txt</t>
  </si>
  <si>
    <t>Full Crate of Onions</t>
  </si>
  <si>
    <t>满满一箱洋葱</t>
  </si>
  <si>
    <t>7529.txt</t>
  </si>
  <si>
    <t>Crate of Onions</t>
  </si>
  <si>
    <t>一箱洋葱</t>
  </si>
  <si>
    <t>7530.txt</t>
  </si>
  <si>
    <t>Full Crates of Onions #2</t>
  </si>
  <si>
    <t>满满一箱洋葱#2</t>
  </si>
  <si>
    <t>7531.txt</t>
  </si>
  <si>
    <t>Full Crates of Onions #3</t>
  </si>
  <si>
    <t>满满一箱洋葱#3</t>
  </si>
  <si>
    <t>7533.txt</t>
  </si>
  <si>
    <t>Crate of Potatoes</t>
  </si>
  <si>
    <t>一箱土豆</t>
  </si>
  <si>
    <t>7534.txt</t>
  </si>
  <si>
    <t>Full Crate of Potatoes</t>
  </si>
  <si>
    <t>满满一箱土豆</t>
  </si>
  <si>
    <t>7535.txt</t>
  </si>
  <si>
    <t>Full Crates of Potatoes #2</t>
  </si>
  <si>
    <t>满满一箱土豆#2</t>
  </si>
  <si>
    <t>7536.txt</t>
  </si>
  <si>
    <t>Full Crates of Potatoes #3</t>
  </si>
  <si>
    <t>满满一箱土豆#3</t>
  </si>
  <si>
    <t>7537.txt</t>
  </si>
  <si>
    <t>Full Crate of Grapes</t>
  </si>
  <si>
    <t>满满一箱葡萄</t>
  </si>
  <si>
    <t>7538.txt</t>
  </si>
  <si>
    <t>Crate of Grapes</t>
  </si>
  <si>
    <t>葡萄箱</t>
  </si>
  <si>
    <t>7539.txt</t>
  </si>
  <si>
    <t>Full Crates of Grapes #2</t>
  </si>
  <si>
    <t>满满一箱葡萄#2</t>
  </si>
  <si>
    <t>7540.txt</t>
  </si>
  <si>
    <t>Full Crates of Grapes #3</t>
  </si>
  <si>
    <t>满满一箱葡萄#3</t>
  </si>
  <si>
    <t>7541.txt</t>
  </si>
  <si>
    <t>Full Crate of Mangoes</t>
  </si>
  <si>
    <t>满满一箱芒果</t>
  </si>
  <si>
    <t>7542.txt</t>
  </si>
  <si>
    <t>Crate of Mangoes</t>
  </si>
  <si>
    <t>芒果箱</t>
  </si>
  <si>
    <t>7543.txt</t>
  </si>
  <si>
    <t>Full Crates of Mangoes #2</t>
  </si>
  <si>
    <t>满箱芒果#2</t>
  </si>
  <si>
    <t>7544.txt</t>
  </si>
  <si>
    <t>Full Crates of Mangoes #3</t>
  </si>
  <si>
    <t>满箱芒果#3</t>
  </si>
  <si>
    <t>7545.txt</t>
  </si>
  <si>
    <t>Full Crate of Bananas</t>
  </si>
  <si>
    <t>满满一箱香蕉</t>
  </si>
  <si>
    <t>7546.txt</t>
  </si>
  <si>
    <t>Crate of Bananas</t>
  </si>
  <si>
    <t>一箱香蕉</t>
  </si>
  <si>
    <t>7547.txt</t>
  </si>
  <si>
    <t>Full Crates of Bananas #2</t>
  </si>
  <si>
    <t>满满一箱香蕉#2</t>
  </si>
  <si>
    <t>7548.txt</t>
  </si>
  <si>
    <t>Full Crates of Bananas #3</t>
  </si>
  <si>
    <t>满满一箱香蕉#3</t>
  </si>
  <si>
    <t>7549.txt</t>
  </si>
  <si>
    <t>Full Crate of Cabbages</t>
  </si>
  <si>
    <t>满满一箱卷心菜</t>
  </si>
  <si>
    <t>7550.txt</t>
  </si>
  <si>
    <t>Crate of Cabbages</t>
  </si>
  <si>
    <t>一箱箱卷心菜</t>
  </si>
  <si>
    <t>7551.txt</t>
  </si>
  <si>
    <t>Full Crates of Cabbages #2</t>
  </si>
  <si>
    <t>满满一箱2号卷心菜#2</t>
  </si>
  <si>
    <t>7552.txt</t>
  </si>
  <si>
    <t>Full Crates of Cabbages #3</t>
  </si>
  <si>
    <t>满满一箱3号卷心菜#3</t>
  </si>
  <si>
    <t>7553.txt</t>
  </si>
  <si>
    <t>Full Crate of Coconuts</t>
  </si>
  <si>
    <t>满满一箱椰子</t>
  </si>
  <si>
    <t>7554.txt</t>
  </si>
  <si>
    <t>Crate of Coconuts</t>
  </si>
  <si>
    <t>一箱箱椰子</t>
  </si>
  <si>
    <t>7555.txt</t>
  </si>
  <si>
    <t>Full Crates of Coconuts #2</t>
  </si>
  <si>
    <t>满满一箱椰子#2</t>
  </si>
  <si>
    <t>7556.txt</t>
  </si>
  <si>
    <t>Full Crates of Coconuts #3</t>
  </si>
  <si>
    <t>满满一箱椰子#3</t>
  </si>
  <si>
    <t>7557.txt</t>
  </si>
  <si>
    <t>Crate of Goose Eggs</t>
  </si>
  <si>
    <t>一箱鹅蛋</t>
  </si>
  <si>
    <t>7558.txt</t>
  </si>
  <si>
    <t>Full Crate of Goose Eggs</t>
  </si>
  <si>
    <t>满满一箱鹅蛋</t>
  </si>
  <si>
    <t>7559.txt</t>
  </si>
  <si>
    <t>Full Crates of Goose Eggs #2</t>
  </si>
  <si>
    <t>满箱鹅蛋#2</t>
  </si>
  <si>
    <t>7560.txt</t>
  </si>
  <si>
    <t>Full Crates of Goose Eggs #3</t>
  </si>
  <si>
    <t>满箱鹅蛋#3</t>
  </si>
  <si>
    <t>7561.txt</t>
  </si>
  <si>
    <t>Disassembled Knitting Needles</t>
  </si>
  <si>
    <t>分解针织针</t>
  </si>
  <si>
    <t>7562.txt</t>
  </si>
  <si>
    <t>(outdated) Locked Open Pine Door# installed vert $20</t>
  </si>
  <si>
    <t># installed vert $20</t>
  </si>
  <si>
    <t>7563.txt</t>
  </si>
  <si>
    <t>(outdated) Locked Pine Door# installed vert $20</t>
  </si>
  <si>
    <t>7564.txt</t>
  </si>
  <si>
    <t>(outdated) Removed Lock Open Pine Door# installed vert $20</t>
  </si>
  <si>
    <t>7565.txt</t>
  </si>
  <si>
    <t>7566.txt</t>
  </si>
  <si>
    <t>7567.txt</t>
  </si>
  <si>
    <t>7568.txt</t>
  </si>
  <si>
    <t>7569.txt</t>
  </si>
  <si>
    <t>7570.txt</t>
  </si>
  <si>
    <t>7571.txt</t>
  </si>
  <si>
    <t>Open Password Locked Pine Door# vert +password-protectable</t>
  </si>
  <si>
    <t>打开密码锁定的松门# vert +password-protectable</t>
  </si>
  <si>
    <t>7572.txt</t>
  </si>
  <si>
    <t>Password Locked Pine Door# vert +password-protectable</t>
  </si>
  <si>
    <t>密码锁定松门# vert +password-protectable</t>
  </si>
  <si>
    <t>7573.txt</t>
  </si>
  <si>
    <t>Empty Sack</t>
  </si>
  <si>
    <t>空袋子</t>
  </si>
  <si>
    <t>7574.txt</t>
  </si>
  <si>
    <t>Sack of Wheat #2</t>
  </si>
  <si>
    <t>袋装小麦#2</t>
  </si>
  <si>
    <t>7575.txt</t>
  </si>
  <si>
    <t>Sack of Wheat #3</t>
  </si>
  <si>
    <t>袋装小麦#3</t>
  </si>
  <si>
    <t>7576.txt</t>
  </si>
  <si>
    <t>Sack of Wheat #4</t>
  </si>
  <si>
    <t>4号小麦袋#4</t>
  </si>
  <si>
    <t>7577.txt</t>
  </si>
  <si>
    <t>Sack of Wheat #5</t>
  </si>
  <si>
    <t>袋装小麦#5</t>
  </si>
  <si>
    <t>7578.txt</t>
  </si>
  <si>
    <t>Sack of Wheat #1</t>
  </si>
  <si>
    <t>1号小麦袋#1</t>
  </si>
  <si>
    <t>7579.txt</t>
  </si>
  <si>
    <t>Sack of Flour #1</t>
  </si>
  <si>
    <t>1号面粉袋#1</t>
  </si>
  <si>
    <t>7580.txt</t>
  </si>
  <si>
    <t>Sack of Flour #2</t>
  </si>
  <si>
    <t>2号面粉袋#2</t>
  </si>
  <si>
    <t>7581.txt</t>
  </si>
  <si>
    <t>Sack of Flour #3</t>
  </si>
  <si>
    <t>面粉袋#3</t>
  </si>
  <si>
    <t>7582.txt</t>
  </si>
  <si>
    <t>Sack of Flour #4</t>
  </si>
  <si>
    <t>4号面粉袋#4</t>
  </si>
  <si>
    <t>7583.txt</t>
  </si>
  <si>
    <t>Sack of Flour #5</t>
  </si>
  <si>
    <t>5号面粉袋#5</t>
  </si>
  <si>
    <t>7584.txt</t>
  </si>
  <si>
    <t>Sack of Corn #1</t>
  </si>
  <si>
    <t>1号玉米袋#1</t>
  </si>
  <si>
    <t>7585.txt</t>
  </si>
  <si>
    <t>Sack of Corn #2</t>
  </si>
  <si>
    <t>2号玉米袋#2</t>
  </si>
  <si>
    <t>7586.txt</t>
  </si>
  <si>
    <t>Sack of Corn #3</t>
  </si>
  <si>
    <t>3号玉米袋#3</t>
  </si>
  <si>
    <t>7587.txt</t>
  </si>
  <si>
    <t>Sack of Corn #4</t>
  </si>
  <si>
    <t>4号玉米袋#4</t>
  </si>
  <si>
    <t>7588.txt</t>
  </si>
  <si>
    <t>Sack of Corn #5</t>
  </si>
  <si>
    <t>5号玉米袋#5</t>
  </si>
  <si>
    <t>7589.txt</t>
  </si>
  <si>
    <t>Bowl with Corn Kernels #just scooped</t>
  </si>
  <si>
    <t>刚刚舀好的玉米粒碗#just scooped</t>
  </si>
  <si>
    <t>7590.txt</t>
  </si>
  <si>
    <t>Bowl of Flour #just scooped</t>
  </si>
  <si>
    <t>刚刚舀的一碗面粉#just scooped</t>
  </si>
  <si>
    <t>7591.txt</t>
  </si>
  <si>
    <t>Pile of Cut Sandstones</t>
  </si>
  <si>
    <t>切割的砂石堆</t>
  </si>
  <si>
    <t>7593.txt</t>
  </si>
  <si>
    <t>Caged Turkey</t>
  </si>
  <si>
    <t>笼状土耳其</t>
  </si>
  <si>
    <t>7594.txt</t>
  </si>
  <si>
    <t>Cooked Chicken on Plate</t>
  </si>
  <si>
    <t>烤鸡</t>
  </si>
  <si>
    <t>7595.txt</t>
  </si>
  <si>
    <t>Red Top Hat with Feather</t>
  </si>
  <si>
    <t>红色羽毛礼帽</t>
  </si>
  <si>
    <t>7596.txt</t>
  </si>
  <si>
    <t>Black Top Hat with Feather</t>
  </si>
  <si>
    <t>黑色羽毛礼帽</t>
  </si>
  <si>
    <t>7597.txt</t>
  </si>
  <si>
    <t>Indigo Top Hat with Feather</t>
  </si>
  <si>
    <t>靛蓝羽毛礼帽</t>
  </si>
  <si>
    <t>7598.txt</t>
  </si>
  <si>
    <t>Dye-Ready Top Hat with Feather</t>
  </si>
  <si>
    <t>可染色羽毛礼帽</t>
  </si>
  <si>
    <t>7599.txt</t>
  </si>
  <si>
    <t>Undyed Top Hat with Feather</t>
  </si>
  <si>
    <t>带羽毛的未脱礼帽</t>
  </si>
  <si>
    <t>7600.txt</t>
  </si>
  <si>
    <t>Green Top Hat with Feather</t>
  </si>
  <si>
    <t>绿色羽毛礼帽</t>
  </si>
  <si>
    <t>7601.txt</t>
  </si>
  <si>
    <t>Yellow Top Hat with Feather</t>
  </si>
  <si>
    <t>黄色羽毛礼帽</t>
  </si>
  <si>
    <t>7602.txt</t>
  </si>
  <si>
    <t>Stacks of Bamboo Stalks</t>
  </si>
  <si>
    <t>成堆的竹竿</t>
  </si>
  <si>
    <t>7604.txt</t>
  </si>
  <si>
    <t>Fence Kit Stack</t>
  </si>
  <si>
    <t>围栏套件堆叠</t>
  </si>
  <si>
    <t>7605.txt</t>
  </si>
  <si>
    <t>Stack of Shafts</t>
  </si>
  <si>
    <t>轴的堆叠</t>
  </si>
  <si>
    <t>7606.txt</t>
  </si>
  <si>
    <t>Pile of Peppers</t>
  </si>
  <si>
    <t>7607.txt</t>
  </si>
  <si>
    <t>Pile of Letter Stocks</t>
  </si>
  <si>
    <t>成堆的信件库存</t>
  </si>
  <si>
    <t>7608.txt</t>
  </si>
  <si>
    <t>Pile of Letter Stocks #just made</t>
  </si>
  <si>
    <t>一堆字母库存#just made</t>
  </si>
  <si>
    <t>7609.txt</t>
  </si>
  <si>
    <t>Crate of Wild Carrots</t>
  </si>
  <si>
    <t>7610.txt</t>
  </si>
  <si>
    <t>Full Crate of Wild Carrots</t>
  </si>
  <si>
    <t>满满一箱野生胡萝卜</t>
  </si>
  <si>
    <t>7611.txt</t>
  </si>
  <si>
    <t>Full Crates of Wild Carrots #2</t>
  </si>
  <si>
    <t>满满一箱野生胡萝卜#2</t>
  </si>
  <si>
    <t>7612.txt</t>
  </si>
  <si>
    <t>Full Crates of Wild Carrots #3</t>
  </si>
  <si>
    <t>满满一箱野生胡萝卜#3</t>
  </si>
  <si>
    <t>7613.txt</t>
  </si>
  <si>
    <t>Full Crate of Wild Onions</t>
  </si>
  <si>
    <t>满满一箱野洋葱</t>
  </si>
  <si>
    <t>7614.txt</t>
  </si>
  <si>
    <t>Crate of Wild Onions</t>
  </si>
  <si>
    <t>一箱箱野洋葱</t>
  </si>
  <si>
    <t>7615.txt</t>
  </si>
  <si>
    <t>Full Crates of Wild Onions #2</t>
  </si>
  <si>
    <t>满满一箱野生洋葱#2</t>
  </si>
  <si>
    <t>7616.txt</t>
  </si>
  <si>
    <t>Full Crates of Wild Onions #3</t>
  </si>
  <si>
    <t>满满一箱野生洋葱#3</t>
  </si>
  <si>
    <t>7617.txt</t>
  </si>
  <si>
    <t>Full Crate of Burdock</t>
  </si>
  <si>
    <t>满满一箱牛蒡</t>
  </si>
  <si>
    <t>7618.txt</t>
  </si>
  <si>
    <t>Crate of Burdock</t>
  </si>
  <si>
    <t>牛蒡板条箱</t>
  </si>
  <si>
    <t>7619.txt</t>
  </si>
  <si>
    <t>Full Crates of Burdock #2</t>
  </si>
  <si>
    <t>牛蒡#2</t>
  </si>
  <si>
    <t>7620.txt</t>
  </si>
  <si>
    <t>Full Crates of Burdock #3</t>
  </si>
  <si>
    <t>3号牛蒡满箱#3</t>
  </si>
  <si>
    <t>7621.txt</t>
  </si>
  <si>
    <t>Full Crate of Cactus Fruit</t>
  </si>
  <si>
    <t>满满一箱仙人掌果</t>
  </si>
  <si>
    <t>7622.txt</t>
  </si>
  <si>
    <t>Crate of Cactus Fruit</t>
  </si>
  <si>
    <t>仙人掌果箱</t>
  </si>
  <si>
    <t>7623.txt</t>
  </si>
  <si>
    <t>Full Crates of Cactus Fruit #2</t>
  </si>
  <si>
    <t>满满一箱仙人掌果#2</t>
  </si>
  <si>
    <t>7624.txt</t>
  </si>
  <si>
    <t>Full Crates of Cactus Fruit #3</t>
  </si>
  <si>
    <t>满满一箱仙人掌果#3</t>
  </si>
  <si>
    <t>7627.txt</t>
  </si>
  <si>
    <t>@ Red Rose Hat Pattern</t>
  </si>
  <si>
    <t>7628.txt</t>
  </si>
  <si>
    <t>@ Pink Rose Hat Pattern</t>
  </si>
  <si>
    <t>7629.txt</t>
  </si>
  <si>
    <t>@ White Rose Hat Pattern</t>
  </si>
  <si>
    <t>7630.txt</t>
  </si>
  <si>
    <t>Empty Seed Bag</t>
  </si>
  <si>
    <t>空种子袋</t>
  </si>
  <si>
    <t>7631.txt</t>
  </si>
  <si>
    <t>Tomato Seed Bag</t>
  </si>
  <si>
    <t>番茄种子袋</t>
  </si>
  <si>
    <t>7632.txt</t>
  </si>
  <si>
    <t>Corn Seed Bag</t>
  </si>
  <si>
    <t>玉米种子袋</t>
  </si>
  <si>
    <t>7633.txt</t>
  </si>
  <si>
    <t>Wheat Seed Bag</t>
  </si>
  <si>
    <t>小麦种子袋</t>
  </si>
  <si>
    <t>7634.txt</t>
  </si>
  <si>
    <t>Onion Seed Bag</t>
  </si>
  <si>
    <t>洋葱籽袋</t>
  </si>
  <si>
    <t>7635.txt</t>
  </si>
  <si>
    <t>Pepper Seed Bag</t>
  </si>
  <si>
    <t>辣椒籽袋</t>
  </si>
  <si>
    <t>7636.txt</t>
  </si>
  <si>
    <t>Squash Seed Bag</t>
  </si>
  <si>
    <t>南瓜籽袋</t>
  </si>
  <si>
    <t>7637.txt</t>
  </si>
  <si>
    <t>Cabbage Seed Bag</t>
  </si>
  <si>
    <t>卷心菜种子袋</t>
  </si>
  <si>
    <t>7638.txt</t>
  </si>
  <si>
    <t>Carrot Seed Bag</t>
  </si>
  <si>
    <t>胡萝卜籽袋</t>
  </si>
  <si>
    <t>7639.txt</t>
  </si>
  <si>
    <t>Crock with Pig Bones</t>
  </si>
  <si>
    <t>猪骨鳄鱼</t>
  </si>
  <si>
    <t>7640.txt</t>
  </si>
  <si>
    <t>Soaking Pig Bones</t>
  </si>
  <si>
    <t>浸泡的猪骨头</t>
  </si>
  <si>
    <t>7641.txt</t>
  </si>
  <si>
    <t>Bone Glue</t>
  </si>
  <si>
    <t>骨胶</t>
  </si>
  <si>
    <t>7642.txt</t>
  </si>
  <si>
    <t>Cooking Pig Bones</t>
  </si>
  <si>
    <t>烹饪猪骨</t>
  </si>
  <si>
    <t>7643.txt</t>
  </si>
  <si>
    <t>Bowl of Glue</t>
  </si>
  <si>
    <t>碗状胶水</t>
  </si>
  <si>
    <t>7644.txt</t>
  </si>
  <si>
    <t>Glued Paper</t>
  </si>
  <si>
    <t>胶粘纸</t>
  </si>
  <si>
    <t>7645.txt</t>
  </si>
  <si>
    <t>Wet Paper</t>
  </si>
  <si>
    <t>湿纸</t>
  </si>
  <si>
    <t>7646.txt</t>
  </si>
  <si>
    <t>Bowl of Dirty Water</t>
  </si>
  <si>
    <t>一碗脏水</t>
  </si>
  <si>
    <t>7647.txt</t>
  </si>
  <si>
    <t>Cotton Seed Bag</t>
  </si>
  <si>
    <t>棉花种子袋</t>
  </si>
  <si>
    <t>7648.txt</t>
  </si>
  <si>
    <t>Sack of Bone Meal #1</t>
  </si>
  <si>
    <t>袋装骨粉#1</t>
  </si>
  <si>
    <t>7649.txt</t>
  </si>
  <si>
    <t>Sack of Bone Meal #2</t>
  </si>
  <si>
    <t>袋装骨粉#2</t>
  </si>
  <si>
    <t>7650.txt</t>
  </si>
  <si>
    <t>Sack of Bone Meal #3</t>
  </si>
  <si>
    <t>袋装骨粉#3</t>
  </si>
  <si>
    <t>7651.txt</t>
  </si>
  <si>
    <t>Sack of Bone Meal #4</t>
  </si>
  <si>
    <t>袋装骨粉#4</t>
  </si>
  <si>
    <t>7652.txt</t>
  </si>
  <si>
    <t>Sack of Bone Meal #5</t>
  </si>
  <si>
    <t>袋装骨粉#5</t>
  </si>
  <si>
    <t>7653.txt</t>
  </si>
  <si>
    <t>Bone meal in Bowl #just scooped</t>
  </si>
  <si>
    <t>碗里的骨粉#just scooped</t>
  </si>
  <si>
    <t>7654.txt</t>
  </si>
  <si>
    <t>Goose On Stump #light</t>
  </si>
  <si>
    <t>树桩上的鹅#light</t>
  </si>
  <si>
    <t>7655.txt</t>
  </si>
  <si>
    <t>Beheaded Goose On Stump #light</t>
  </si>
  <si>
    <t>树桩上的头雁#light</t>
  </si>
  <si>
    <t>7656.txt</t>
  </si>
  <si>
    <t>Stump# goose just left #light</t>
  </si>
  <si>
    <t>树桩# goose just left #light</t>
  </si>
  <si>
    <t>7657.txt</t>
  </si>
  <si>
    <t>Stump with Goose Head# just left light</t>
  </si>
  <si>
    <t>鹅头树桩# just left light</t>
  </si>
  <si>
    <t>7658.txt</t>
  </si>
  <si>
    <t>Stump with Goose Head #light</t>
  </si>
  <si>
    <t>鹅头树桩#light</t>
  </si>
  <si>
    <t>7659.txt</t>
  </si>
  <si>
    <t>Stump# goose just left #dark</t>
  </si>
  <si>
    <t>7660.txt</t>
  </si>
  <si>
    <t>Beheaded Goose On Stump #dark</t>
  </si>
  <si>
    <t>树桩上的头雁#dark</t>
  </si>
  <si>
    <t>7661.txt</t>
  </si>
  <si>
    <t>Goose On Stump #dark</t>
  </si>
  <si>
    <t>树桩上的鹅#dark</t>
  </si>
  <si>
    <t>7662.txt</t>
  </si>
  <si>
    <t>Stump with Goose Head# just left dark</t>
  </si>
  <si>
    <t>鹅头树桩# just left dark</t>
  </si>
  <si>
    <t>7663.txt</t>
  </si>
  <si>
    <t>Stump with Goose Head #dark</t>
  </si>
  <si>
    <t>鹅头树桩#dark</t>
  </si>
  <si>
    <t>7664.txt</t>
  </si>
  <si>
    <t>Wooden Crate #2</t>
  </si>
  <si>
    <t>木箱#2</t>
  </si>
  <si>
    <t>7665.txt</t>
  </si>
  <si>
    <t>Wooden Crate #3</t>
  </si>
  <si>
    <t>木箱#3</t>
  </si>
  <si>
    <t>7666.txt</t>
  </si>
  <si>
    <t>一堆挖出来的树桩</t>
  </si>
  <si>
    <t>7667.txt</t>
  </si>
  <si>
    <t>Pile of Dug Stumps #light</t>
  </si>
  <si>
    <t>一堆挖出的树桩#light</t>
  </si>
  <si>
    <t>7668.txt</t>
  </si>
  <si>
    <t>Pile of Dug Stumps #dark</t>
  </si>
  <si>
    <t>一堆挖出的树桩#dark</t>
  </si>
  <si>
    <t>7669.txt</t>
  </si>
  <si>
    <t>Cooked Beef</t>
  </si>
  <si>
    <t>熟牛肉</t>
  </si>
  <si>
    <t>7670.txt</t>
  </si>
  <si>
    <t>Stack Hot Piston Blank</t>
  </si>
  <si>
    <t>堆叠热活塞坯料</t>
  </si>
  <si>
    <t>7671.txt</t>
  </si>
  <si>
    <t>Stack Piston Blanks</t>
  </si>
  <si>
    <t>堆叠活塞坯料</t>
  </si>
  <si>
    <t>7672.txt</t>
  </si>
  <si>
    <t>7673.txt</t>
  </si>
  <si>
    <t>Stack of Hot Thin Steel Rod</t>
  </si>
  <si>
    <t>热薄钢条的堆叠</t>
  </si>
  <si>
    <t>7674.txt</t>
  </si>
  <si>
    <t>Hot Thin Rod in Wooden Tongs #grabbed</t>
  </si>
  <si>
    <t>木钳中的热细棒#grabbed</t>
  </si>
  <si>
    <t>7675.txt</t>
  </si>
  <si>
    <t>Stack of Thin Steel Rod</t>
  </si>
  <si>
    <t>一堆细钢棒</t>
  </si>
  <si>
    <t>7676.txt</t>
  </si>
  <si>
    <t>Wattle Wall# +useOnContained</t>
  </si>
  <si>
    <t>荆棘墙# +useOnContained</t>
  </si>
  <si>
    <t>7677.txt</t>
  </si>
  <si>
    <t>7678.txt</t>
  </si>
  <si>
    <t>7679.txt</t>
  </si>
  <si>
    <t>7680.txt</t>
  </si>
  <si>
    <t>7681.txt</t>
  </si>
  <si>
    <t>7682.txt</t>
  </si>
  <si>
    <t>Wattle Wall</t>
  </si>
  <si>
    <t>荆棘墙</t>
  </si>
  <si>
    <t>7683.txt</t>
  </si>
  <si>
    <t>7684.txt</t>
  </si>
  <si>
    <t>7685.txt</t>
  </si>
  <si>
    <t>7686.txt</t>
  </si>
  <si>
    <t>7687.txt</t>
  </si>
  <si>
    <t>Wattle Wall with Two Shafts</t>
  </si>
  <si>
    <t>有两根轴的荆墙</t>
  </si>
  <si>
    <t>7688.txt</t>
  </si>
  <si>
    <t>7689.txt</t>
  </si>
  <si>
    <t>Wattle Wall with Shaft</t>
  </si>
  <si>
    <t>带轴的荆墙</t>
  </si>
  <si>
    <t>7690.txt</t>
  </si>
  <si>
    <t>Wattle Wall with Three Shafts</t>
  </si>
  <si>
    <t>三轴荆墙</t>
  </si>
  <si>
    <t>7692.txt</t>
  </si>
  <si>
    <t>Molten Glass on Flat Rock</t>
  </si>
  <si>
    <t>扁平岩石上的熔融玻璃</t>
  </si>
  <si>
    <t>7693.txt</t>
  </si>
  <si>
    <t>Pressurised Molten Glass on Flat Rock</t>
  </si>
  <si>
    <t>平坦岩石上的加压熔融玻璃</t>
  </si>
  <si>
    <t>7694.txt</t>
  </si>
  <si>
    <t>Glass Pane on Flat Rock</t>
  </si>
  <si>
    <t>平坦岩石上的玻璃板</t>
  </si>
  <si>
    <t>7695.txt</t>
  </si>
  <si>
    <t>Windowed Plaster Wall</t>
  </si>
  <si>
    <t>带窗石膏墙</t>
  </si>
  <si>
    <t>7696.txt</t>
  </si>
  <si>
    <t>Windowed Ancient Sandstone Wall</t>
  </si>
  <si>
    <t>带窗的古砂岩墙</t>
  </si>
  <si>
    <t>7697.txt</t>
  </si>
  <si>
    <t>Windowed Wooden Wall</t>
  </si>
  <si>
    <t>带窗的木墙</t>
  </si>
  <si>
    <t>7698.txt</t>
  </si>
  <si>
    <t>Windowed Stone Wall</t>
  </si>
  <si>
    <t>带窗的石墙</t>
  </si>
  <si>
    <t>7699.txt</t>
  </si>
  <si>
    <t>Windowed Hedge Wall</t>
  </si>
  <si>
    <t>开窗树篱墙</t>
  </si>
  <si>
    <t>7700.txt</t>
  </si>
  <si>
    <t>Windowed Pine Wall</t>
  </si>
  <si>
    <t>带窗的松墙</t>
  </si>
  <si>
    <t>7701.txt</t>
  </si>
  <si>
    <t>Glass Pane</t>
  </si>
  <si>
    <t>玻璃板</t>
  </si>
  <si>
    <t>7702.txt</t>
  </si>
  <si>
    <t>Empty Apple Tree #picked</t>
  </si>
  <si>
    <t>空苹果树#picked</t>
  </si>
  <si>
    <t>7703.txt</t>
  </si>
  <si>
    <t>Empty Orange Tree #picked</t>
  </si>
  <si>
    <t>空橙树#picked</t>
  </si>
  <si>
    <t>7704.txt</t>
  </si>
  <si>
    <t>Empty Lemon Tree #picked</t>
  </si>
  <si>
    <t>空柠檬树#picked</t>
  </si>
  <si>
    <t>7705.txt</t>
  </si>
  <si>
    <t>Sack of Salt #1</t>
  </si>
  <si>
    <t>一袋盐 #1</t>
  </si>
  <si>
    <t>7706.txt</t>
  </si>
  <si>
    <t>Sack of Salt #2</t>
  </si>
  <si>
    <t>一袋盐 #2</t>
  </si>
  <si>
    <t>7707.txt</t>
  </si>
  <si>
    <t>Sack of Salt #3</t>
  </si>
  <si>
    <t>一袋盐 #3</t>
  </si>
  <si>
    <t>7708.txt</t>
  </si>
  <si>
    <t>Sack of Salt #4</t>
  </si>
  <si>
    <t>一袋盐 #4</t>
  </si>
  <si>
    <t>7709.txt</t>
  </si>
  <si>
    <t>Sack of Salt #5</t>
  </si>
  <si>
    <t>一袋盐 #5</t>
  </si>
  <si>
    <t>7710.txt</t>
  </si>
  <si>
    <t>Sack of Sugar #1</t>
  </si>
  <si>
    <t>一袋糖 #1</t>
  </si>
  <si>
    <t>7711.txt</t>
  </si>
  <si>
    <t>Sack of Sugar #2</t>
  </si>
  <si>
    <t>一袋糖 #2</t>
  </si>
  <si>
    <t>7712.txt</t>
  </si>
  <si>
    <t>Sack of Sugar #3</t>
  </si>
  <si>
    <t>一袋糖 #3</t>
  </si>
  <si>
    <t>7713.txt</t>
  </si>
  <si>
    <t>Sack of Sugar #4</t>
  </si>
  <si>
    <t>一袋糖 #4</t>
  </si>
  <si>
    <t>7714.txt</t>
  </si>
  <si>
    <t>Sack of Sugar #5</t>
  </si>
  <si>
    <t>一袋糖 #5</t>
  </si>
  <si>
    <t>7715.txt</t>
  </si>
  <si>
    <t>Bowl of Salt #just scooped</t>
  </si>
  <si>
    <t>一碗盐#just scooped</t>
  </si>
  <si>
    <t>7716.txt</t>
  </si>
  <si>
    <t>Bowl of Raw Sugar #just scooped</t>
  </si>
  <si>
    <t>一碗原糖#just scooped</t>
  </si>
  <si>
    <t>7717.txt</t>
  </si>
  <si>
    <t>Stone Fireplace with Burning Tinder #eveHomeMarker</t>
  </si>
  <si>
    <t>石制壁炉与燃烧的火种#eveHomeMarker</t>
  </si>
  <si>
    <t>7718.txt</t>
  </si>
  <si>
    <t>Stone Fireplace with Kindling Tinder #eveHomeMarker</t>
  </si>
  <si>
    <t>带 Kindling Tinder 的石制壁炉 #eveHomeMarker</t>
  </si>
  <si>
    <t>7719.txt</t>
  </si>
  <si>
    <t>Stone Fireplace with Smoldering Tinder #eveHomeMarker</t>
  </si>
  <si>
    <t>带有阴燃火种的石头壁炉#eveHomeMarker</t>
  </si>
  <si>
    <t>7720.txt</t>
  </si>
  <si>
    <t>Stone Kiln with Burning Tinder</t>
  </si>
  <si>
    <t>石窑与燃烧的火种</t>
  </si>
  <si>
    <t>7721.txt</t>
  </si>
  <si>
    <t>Stone Kiln with Kindling Tinder</t>
  </si>
  <si>
    <t>带 Kindling Tinder 的石窑</t>
  </si>
  <si>
    <t>7722.txt</t>
  </si>
  <si>
    <t>Stone Kiln with Smoldering Tinder</t>
  </si>
  <si>
    <t>带有阴燃火种的石窑</t>
  </si>
  <si>
    <t>7723.txt</t>
  </si>
  <si>
    <t>Pressurised Cool Glass on Flat Rock</t>
  </si>
  <si>
    <t>平板岩石上的加压冷玻璃</t>
  </si>
  <si>
    <t>7724.txt</t>
  </si>
  <si>
    <t>Cool Glass on Flat Rock</t>
  </si>
  <si>
    <t>平坦岩石上的酷玻璃</t>
  </si>
  <si>
    <t>7725.txt</t>
  </si>
  <si>
    <t>Leprechaun Hat</t>
  </si>
  <si>
    <t>妖精帽子</t>
  </si>
  <si>
    <t>7726.txt</t>
  </si>
  <si>
    <t>Dye Merchante Hat</t>
  </si>
  <si>
    <t>染色商人帽子</t>
  </si>
  <si>
    <t>7727.txt</t>
  </si>
  <si>
    <t>Merchant Hat</t>
  </si>
  <si>
    <t>商人帽子</t>
  </si>
  <si>
    <t>7728.txt</t>
  </si>
  <si>
    <t>Merchant Shirt</t>
  </si>
  <si>
    <t>商人衬衫</t>
  </si>
  <si>
    <t>7731.txt</t>
  </si>
  <si>
    <t>Scarecrow Tapout# +tapoutTrigger,1,1,5,5</t>
  </si>
  <si>
    <t>稻草人 Tapout# +tapoutTrigger,1,1,5,5</t>
  </si>
  <si>
    <t>7732.txt</t>
  </si>
  <si>
    <t>Scarecrow</t>
  </si>
  <si>
    <t>稻草人</t>
  </si>
  <si>
    <t>7733.txt</t>
  </si>
  <si>
    <t>Ripe Wheat #crow #eating +tapoutTrigger,1,1,3,3</t>
  </si>
  <si>
    <t>成熟的小麦 #crow #eating +tapoutTrigger,1,1,3,3</t>
  </si>
  <si>
    <t>7735.txt</t>
  </si>
  <si>
    <t>Ripe Wheat #crow #flee +tapoutTrigger,1,1,3,3</t>
  </si>
  <si>
    <t>成熟的小麦 #crow #flee +tapoutTrigger,1,1,3,3</t>
  </si>
  <si>
    <t>7736.txt</t>
  </si>
  <si>
    <t>Tapout Ripe Wheat #crow #landing +tapoutTrigger,1,1,5,5</t>
  </si>
  <si>
    <t>Tapout 成熟小麦 #crow #landing +tapoutTrigger,1,1,5,5</t>
  </si>
  <si>
    <t>7737.txt</t>
  </si>
  <si>
    <t>Perhaps a Crow #wheat</t>
  </si>
  <si>
    <t>也许是一只乌鸦#wheat</t>
  </si>
  <si>
    <t>7738.txt</t>
  </si>
  <si>
    <t>Perhaps a Crow</t>
  </si>
  <si>
    <t>也许是一只乌鸦</t>
  </si>
  <si>
    <t>7739.txt</t>
  </si>
  <si>
    <t>Scarecrow #crow #eating +tapoutTrigger,1,1,3,3</t>
  </si>
  <si>
    <t>稻草人 #crow #eating +tapoutTrigger,1,1,3,3</t>
  </si>
  <si>
    <t>7740.txt</t>
  </si>
  <si>
    <t>Ate Scarecrow #crow</t>
  </si>
  <si>
    <t>吃了稻草人#crow</t>
  </si>
  <si>
    <t>7741.txt</t>
  </si>
  <si>
    <t>Ate Scarecrow #just ate crow</t>
  </si>
  <si>
    <t>吃了稻草人#just ate crow</t>
  </si>
  <si>
    <t>7742.txt</t>
  </si>
  <si>
    <t>Perhaps a Crow #scarecrow</t>
  </si>
  <si>
    <t>也许是乌鸦#scarecrow</t>
  </si>
  <si>
    <t>7743.txt</t>
  </si>
  <si>
    <t>Scarecrow #crow #landing</t>
  </si>
  <si>
    <t>稻草人#crow #landing</t>
  </si>
  <si>
    <t>7744.txt</t>
  </si>
  <si>
    <t>Scarecrow #crow #flee +tapoutTrigger,1,1,3,3</t>
  </si>
  <si>
    <t>稻草人 #crow #flee +tapoutTrigger,1,1,3,3</t>
  </si>
  <si>
    <t>7745.txt</t>
  </si>
  <si>
    <t>Ate Scarecrow #crow flee</t>
  </si>
  <si>
    <t>吃了稻草人#crow flee</t>
  </si>
  <si>
    <t>7746.txt</t>
  </si>
  <si>
    <t>Ate Scarecrow</t>
  </si>
  <si>
    <t>吃了稻草人</t>
  </si>
  <si>
    <t>7747.txt</t>
  </si>
  <si>
    <t>Stand with Wheat</t>
  </si>
  <si>
    <t>与小麦站在一起</t>
  </si>
  <si>
    <t>7748.txt</t>
  </si>
  <si>
    <t>Stand with Wheat #2</t>
  </si>
  <si>
    <t>与小麦站在一起 #2</t>
  </si>
  <si>
    <t>7749.txt</t>
  </si>
  <si>
    <t>Stand with Wheat #3</t>
  </si>
  <si>
    <t>与小麦站在一起 #3</t>
  </si>
  <si>
    <t>7750.txt</t>
  </si>
  <si>
    <t>Stand with Wheat #4</t>
  </si>
  <si>
    <t>与小麦站在一起 #4</t>
  </si>
  <si>
    <t>7751.txt</t>
  </si>
  <si>
    <t>Headless Scarecrow</t>
  </si>
  <si>
    <t>无头稻草人</t>
  </si>
  <si>
    <t>7752.txt</t>
  </si>
  <si>
    <t>Hatless Scarecrow</t>
  </si>
  <si>
    <t>不戴帽子的稻草人</t>
  </si>
  <si>
    <t>7753.txt</t>
  </si>
  <si>
    <t>Scarecrow #buffer delay</t>
  </si>
  <si>
    <t>稻草人#buffer delay</t>
  </si>
  <si>
    <t>7754.txt</t>
  </si>
  <si>
    <t>Milkweed Seed Bag</t>
  </si>
  <si>
    <t>马利筋种子袋</t>
  </si>
  <si>
    <t>7755.txt</t>
  </si>
  <si>
    <t>Gooseberry Seed Bag</t>
  </si>
  <si>
    <t>醋栗种子袋</t>
  </si>
  <si>
    <t>7756.txt</t>
  </si>
  <si>
    <t>Copper Ingot in Wooden Tongs</t>
  </si>
  <si>
    <t>木钳铜锭</t>
  </si>
  <si>
    <t>7760.txt</t>
  </si>
  <si>
    <t>Fill Station #N #full</t>
  </si>
  <si>
    <t>加油站 #N #full</t>
  </si>
  <si>
    <t>7761.txt</t>
  </si>
  <si>
    <t>Fill Station #N #empty</t>
  </si>
  <si>
    <t>加油站 #N #empty</t>
  </si>
  <si>
    <t>7762.txt</t>
  </si>
  <si>
    <t>Fill Station #N #empty #on</t>
  </si>
  <si>
    <t>加油站#N #empty #on</t>
  </si>
  <si>
    <t>7763.txt</t>
  </si>
  <si>
    <t>Fill Station #N #full #flow</t>
  </si>
  <si>
    <t>加油站#N #full #flow</t>
  </si>
  <si>
    <t>7764.txt</t>
  </si>
  <si>
    <t>Ripe Domestic Wheat</t>
  </si>
  <si>
    <t>成熟的国产小麦</t>
  </si>
  <si>
    <t>7765.txt</t>
  </si>
  <si>
    <t>7766.txt</t>
  </si>
  <si>
    <t>Crown Blank with Rose</t>
  </si>
  <si>
    <t>皇冠空白与玫瑰</t>
  </si>
  <si>
    <t>7767.txt</t>
  </si>
  <si>
    <t>Rose Crown with Rose</t>
  </si>
  <si>
    <t>玫瑰花冠与玫瑰</t>
  </si>
  <si>
    <t>7769.txt</t>
  </si>
  <si>
    <t>Wet Diesel Water Pump with Pipe</t>
  </si>
  <si>
    <t>带管湿式柴油水泵</t>
  </si>
  <si>
    <t>7770.txt</t>
  </si>
  <si>
    <t>Hay Bale</t>
  </si>
  <si>
    <t>干草捆</t>
  </si>
  <si>
    <t>7771.txt</t>
  </si>
  <si>
    <t>Hay Bale #2</t>
  </si>
  <si>
    <t>干草捆#2</t>
  </si>
  <si>
    <t>7772.txt</t>
  </si>
  <si>
    <t>Hay Bale #3</t>
  </si>
  <si>
    <t>干草捆#3</t>
  </si>
  <si>
    <t>7773.txt</t>
  </si>
  <si>
    <t>Pitchfork</t>
  </si>
  <si>
    <t>叉</t>
  </si>
  <si>
    <t>7774.txt</t>
  </si>
  <si>
    <t>Pitchfork with Straw</t>
  </si>
  <si>
    <t>带稻草的干草叉</t>
  </si>
  <si>
    <t>7775.txt</t>
  </si>
  <si>
    <t>Hay Bale Pile</t>
  </si>
  <si>
    <t>干草捆堆</t>
  </si>
  <si>
    <t>7779.txt</t>
  </si>
  <si>
    <t>Paint Brush</t>
  </si>
  <si>
    <t>油漆刷</t>
  </si>
  <si>
    <t>7780.txt</t>
  </si>
  <si>
    <t>Shears with Horse Hair</t>
  </si>
  <si>
    <t>马毛剪刀</t>
  </si>
  <si>
    <t>7781.txt</t>
  </si>
  <si>
    <t>Horse Hair</t>
  </si>
  <si>
    <t>马毛</t>
  </si>
  <si>
    <t>7782.txt</t>
  </si>
  <si>
    <t>Paint Brush Bristle</t>
  </si>
  <si>
    <t>油漆刷毛</t>
  </si>
  <si>
    <t>7783.txt</t>
  </si>
  <si>
    <t>Mallet with Glue</t>
  </si>
  <si>
    <t>带胶水的木槌</t>
  </si>
  <si>
    <t>7784.txt</t>
  </si>
  <si>
    <t>Paint Brush with Paint #red</t>
  </si>
  <si>
    <t>油漆刷#red</t>
  </si>
  <si>
    <t>7785.txt</t>
  </si>
  <si>
    <t>Paint Brush with Paint #blue</t>
  </si>
  <si>
    <t>油漆刷#blue</t>
  </si>
  <si>
    <t>7786.txt</t>
  </si>
  <si>
    <t>Paint Brush with Paint #black</t>
  </si>
  <si>
    <t>油漆刷#black</t>
  </si>
  <si>
    <t>7787.txt</t>
  </si>
  <si>
    <t>Paint Brush with Paint #yellow</t>
  </si>
  <si>
    <t>油漆刷#yellow</t>
  </si>
  <si>
    <t>7788.txt</t>
  </si>
  <si>
    <t>Hot Steel Pitchfork on Anvil</t>
  </si>
  <si>
    <t>铁砧上的热钢护坡</t>
  </si>
  <si>
    <t>7789.txt</t>
  </si>
  <si>
    <t>Steel Pitchfork on Anvil</t>
  </si>
  <si>
    <t>铁砧上的钢制护坡</t>
  </si>
  <si>
    <t>7790.txt</t>
  </si>
  <si>
    <t>Steel Pitchfork Head</t>
  </si>
  <si>
    <t>钢制护坡头</t>
  </si>
  <si>
    <t>7791.txt</t>
  </si>
  <si>
    <t>7792.txt</t>
  </si>
  <si>
    <t>7793.txt</t>
  </si>
  <si>
    <t>Shaft with Pine Needles</t>
  </si>
  <si>
    <t>带松针的轴</t>
  </si>
  <si>
    <t>7794.txt</t>
  </si>
  <si>
    <t>Shaft with Reed Bundle</t>
  </si>
  <si>
    <t>带簧片束的轴</t>
  </si>
  <si>
    <t>7795.txt</t>
  </si>
  <si>
    <t>Wattle Panel</t>
  </si>
  <si>
    <t>Wattle面板</t>
  </si>
  <si>
    <t>7798.txt</t>
  </si>
  <si>
    <t>Dry Diesel Water Pump with Pipe</t>
  </si>
  <si>
    <t>带管道的干式柴油水泵</t>
  </si>
  <si>
    <t>7799.txt</t>
  </si>
  <si>
    <t>Cod</t>
  </si>
  <si>
    <t>鳕鱼</t>
  </si>
  <si>
    <t>7800.txt</t>
  </si>
  <si>
    <t>Cod# alive</t>
  </si>
  <si>
    <t>代码# alive</t>
  </si>
  <si>
    <t>7801.txt</t>
  </si>
  <si>
    <t>Bass</t>
  </si>
  <si>
    <t>低音的</t>
  </si>
  <si>
    <t>7802.txt</t>
  </si>
  <si>
    <t>Bass# alive</t>
  </si>
  <si>
    <t>低音# alive</t>
  </si>
  <si>
    <t>7803.txt</t>
  </si>
  <si>
    <t>Fishing Pole with Cod# just caught</t>
  </si>
  <si>
    <t>刚刚捕获的鳕鱼# just caught</t>
  </si>
  <si>
    <t>7804.txt</t>
  </si>
  <si>
    <t>Fishing Pole with Cod</t>
  </si>
  <si>
    <t>鳕鱼钓竿</t>
  </si>
  <si>
    <t>7805.txt</t>
  </si>
  <si>
    <t>Fishing Pole with Bass# just caught</t>
  </si>
  <si>
    <t>刚刚捕获的带Bass# just caught</t>
  </si>
  <si>
    <t>7806.txt</t>
  </si>
  <si>
    <t>Fishing Pole with Bass</t>
  </si>
  <si>
    <t>带低音的钓鱼竿</t>
  </si>
  <si>
    <t>7807.txt</t>
  </si>
  <si>
    <t>Trout</t>
  </si>
  <si>
    <t>鳟鱼</t>
  </si>
  <si>
    <t>7808.txt</t>
  </si>
  <si>
    <t>Trout# alive</t>
  </si>
  <si>
    <t>鳟鱼# alive</t>
  </si>
  <si>
    <t>7809.txt</t>
  </si>
  <si>
    <t>Fishing Pole with Trout</t>
  </si>
  <si>
    <t>鳟鱼钓竿</t>
  </si>
  <si>
    <t>7810.txt</t>
  </si>
  <si>
    <t>Fishing Pole with Trout# just caught</t>
  </si>
  <si>
    <t>刚刚捕获的带鳟鱼# just caught</t>
  </si>
  <si>
    <t>7811.txt</t>
  </si>
  <si>
    <t>Pike</t>
  </si>
  <si>
    <t>梭子鱼</t>
  </si>
  <si>
    <t>7812.txt</t>
  </si>
  <si>
    <t>Pike# alive</t>
  </si>
  <si>
    <t>派克# alive</t>
  </si>
  <si>
    <t>7813.txt</t>
  </si>
  <si>
    <t>Fishing Pole with Pike</t>
  </si>
  <si>
    <t>派克钓鱼竿</t>
  </si>
  <si>
    <t>7814.txt</t>
  </si>
  <si>
    <t>Fishing Pole with Pike# just caught</t>
  </si>
  <si>
    <t>刚刚抓到带派克# just caught</t>
  </si>
  <si>
    <t>7815.txt</t>
  </si>
  <si>
    <t>Net of Sardines #just caught</t>
  </si>
  <si>
    <t>刚刚捕获的沙丁鱼网#just caught</t>
  </si>
  <si>
    <t>7816.txt</t>
  </si>
  <si>
    <t>Net of Sardines</t>
  </si>
  <si>
    <t>沙丁鱼网</t>
  </si>
  <si>
    <t>7817.txt</t>
  </si>
  <si>
    <t>Live Sardines</t>
  </si>
  <si>
    <t>活沙丁鱼</t>
  </si>
  <si>
    <t>7818.txt</t>
  </si>
  <si>
    <t>Fill Station #S #partial</t>
  </si>
  <si>
    <t>加油站#S #partial</t>
  </si>
  <si>
    <t>7819.txt</t>
  </si>
  <si>
    <t>Fill Station #S #partial #on</t>
  </si>
  <si>
    <t>加油站#S #partial #on</t>
  </si>
  <si>
    <t>7820.txt</t>
  </si>
  <si>
    <t>Fill Station #S #partial #flow</t>
  </si>
  <si>
    <t>加油站#S #partial #flow</t>
  </si>
  <si>
    <t>7821.txt</t>
  </si>
  <si>
    <t>Fill Station #S #full #flow</t>
  </si>
  <si>
    <t>加油站#S #full #flow</t>
  </si>
  <si>
    <t>7822.txt</t>
  </si>
  <si>
    <t>Fill Station #S #full</t>
  </si>
  <si>
    <t>加油站#S #full</t>
  </si>
  <si>
    <t>7823.txt</t>
  </si>
  <si>
    <t>Fill Station #S #empty #on</t>
  </si>
  <si>
    <t>加油站#S #empty #on</t>
  </si>
  <si>
    <t>7825.txt</t>
  </si>
  <si>
    <t>Pile of Pike</t>
  </si>
  <si>
    <t>派克桩</t>
  </si>
  <si>
    <t>7826.txt</t>
  </si>
  <si>
    <t>Pile of Trout</t>
  </si>
  <si>
    <t>鳟鱼堆</t>
  </si>
  <si>
    <t>7827.txt</t>
  </si>
  <si>
    <t>Pile of Bass</t>
  </si>
  <si>
    <t>一堆低音</t>
  </si>
  <si>
    <t>7828.txt</t>
  </si>
  <si>
    <t>Pile of Cod</t>
  </si>
  <si>
    <t>鳕鱼堆</t>
  </si>
  <si>
    <t>7829.txt</t>
  </si>
  <si>
    <t>Fish Leftovers #pike</t>
  </si>
  <si>
    <t>鱼剩#pike</t>
  </si>
  <si>
    <t>7830.txt</t>
  </si>
  <si>
    <t>Fish Leftovers #trout</t>
  </si>
  <si>
    <t>鱼剩#trout</t>
  </si>
  <si>
    <t>7831.txt</t>
  </si>
  <si>
    <t>Fish Leftovers #bass</t>
  </si>
  <si>
    <t>鱼剩#bass</t>
  </si>
  <si>
    <t>7832.txt</t>
  </si>
  <si>
    <t>Fish Leftovers #cod</t>
  </si>
  <si>
    <t>鱼剩#cod</t>
  </si>
  <si>
    <t>7833.txt</t>
  </si>
  <si>
    <t>Fish Leftovers on Flat Rock #pike</t>
  </si>
  <si>
    <t>平石狗鱼#pike</t>
  </si>
  <si>
    <t>7834.txt</t>
  </si>
  <si>
    <t>Fish Leftovers on Flat Rock #trout</t>
  </si>
  <si>
    <t>平石上剩下的鱼#trout</t>
  </si>
  <si>
    <t>7835.txt</t>
  </si>
  <si>
    <t>Fish Leftovers on Flat Rock #bass</t>
  </si>
  <si>
    <t>平底石首鱼#bass</t>
  </si>
  <si>
    <t>7836.txt</t>
  </si>
  <si>
    <t>Fish Leftovers on Flat Rock #cod</t>
  </si>
  <si>
    <t>平石上剩下的鱼#cod</t>
  </si>
  <si>
    <t>7837.txt</t>
  </si>
  <si>
    <t>Filleted Fish on Flat Rock #cod</t>
  </si>
  <si>
    <t>平石鱼片#cod</t>
  </si>
  <si>
    <t>7838.txt</t>
  </si>
  <si>
    <t>Filleted Fish on Flat Rock #bass</t>
  </si>
  <si>
    <t>平石鱼片#bass</t>
  </si>
  <si>
    <t>7839.txt</t>
  </si>
  <si>
    <t>Filleted Fish on Flat Rock #trout</t>
  </si>
  <si>
    <t>平石鱼片#trout</t>
  </si>
  <si>
    <t>7840.txt</t>
  </si>
  <si>
    <t>Filleted Fish on Flat Rock #pike</t>
  </si>
  <si>
    <t>平石鱼片#pike</t>
  </si>
  <si>
    <t>7841.txt</t>
  </si>
  <si>
    <t>Cod on Flat Rock</t>
  </si>
  <si>
    <t>平坦岩石上的鳕鱼</t>
  </si>
  <si>
    <t>7842.txt</t>
  </si>
  <si>
    <t>Bass on Flat Rock</t>
  </si>
  <si>
    <t>平石低音</t>
  </si>
  <si>
    <t>7843.txt</t>
  </si>
  <si>
    <t>Trout on Flat Rock</t>
  </si>
  <si>
    <t>平石鳟鱼</t>
  </si>
  <si>
    <t>7844.txt</t>
  </si>
  <si>
    <t>Pike on Flat Rock</t>
  </si>
  <si>
    <t>平地上的派克</t>
  </si>
  <si>
    <t>7845.txt</t>
  </si>
  <si>
    <t>Skewered Cod Fillets</t>
  </si>
  <si>
    <t>斜鳕鱼片</t>
  </si>
  <si>
    <t>7846.txt</t>
  </si>
  <si>
    <t>Burnt Skewered Cod Fillets</t>
  </si>
  <si>
    <t>烧焦的斜鳕鱼片</t>
  </si>
  <si>
    <t>7847.txt</t>
  </si>
  <si>
    <t>Cooked Skewered Cod Fillets</t>
  </si>
  <si>
    <t>熟鳕鱼片</t>
  </si>
  <si>
    <t>7848.txt</t>
  </si>
  <si>
    <t>Skewered Bass Fillets</t>
  </si>
  <si>
    <t>倾斜低音菲勒斯</t>
  </si>
  <si>
    <t>7849.txt</t>
  </si>
  <si>
    <t>Burnt Skewered Bass Fillets</t>
  </si>
  <si>
    <t>烧焦的斜交低音片</t>
  </si>
  <si>
    <t>7850.txt</t>
  </si>
  <si>
    <t>Cooked Skewered Bass Fillets</t>
  </si>
  <si>
    <t>熟斜交低音片</t>
  </si>
  <si>
    <t>7851.txt</t>
  </si>
  <si>
    <t>Skewered Pike Fillets</t>
  </si>
  <si>
    <t>倾斜派克填料</t>
  </si>
  <si>
    <t>7852.txt</t>
  </si>
  <si>
    <t>Burnt Skewered Pike Fillets</t>
  </si>
  <si>
    <t>烧焦的倾斜派克填料</t>
  </si>
  <si>
    <t>7853.txt</t>
  </si>
  <si>
    <t>Cooked Skewered Pike Fillets</t>
  </si>
  <si>
    <t>熟斜烤派克肉馅</t>
  </si>
  <si>
    <t>7854.txt</t>
  </si>
  <si>
    <t>Skewered Trout Fillets</t>
  </si>
  <si>
    <t>斜鳟鱼片</t>
  </si>
  <si>
    <t>7855.txt</t>
  </si>
  <si>
    <t>Burnt Skewered Trout Fillets</t>
  </si>
  <si>
    <t>烧焦的斜鳟鱼片</t>
  </si>
  <si>
    <t>7856.txt</t>
  </si>
  <si>
    <t>Cooked Skewered Trout Fillets</t>
  </si>
  <si>
    <t>烤串鳟鱼鱼片</t>
  </si>
  <si>
    <t>7857.txt</t>
  </si>
  <si>
    <t>Two Coconut Bowls</t>
  </si>
  <si>
    <t>两个椰子碗</t>
  </si>
  <si>
    <t>7858.txt</t>
  </si>
  <si>
    <t>Coconut Bra</t>
  </si>
  <si>
    <t>椰子文胸</t>
  </si>
  <si>
    <t>7859.txt</t>
  </si>
  <si>
    <t>Try Traveling Water #N</t>
  </si>
  <si>
    <t>试试游水#N</t>
  </si>
  <si>
    <t>7861.txt</t>
  </si>
  <si>
    <t>Copper Pipe #just removed</t>
  </si>
  <si>
    <t>刚刚拆除的铜管#just removed</t>
  </si>
  <si>
    <t>7869.txt</t>
  </si>
  <si>
    <t>Copper Pipe #NE #justInstalled</t>
  </si>
  <si>
    <t>铜管#NE #justInstalled</t>
  </si>
  <si>
    <t>7870.txt</t>
  </si>
  <si>
    <t>Copper Pipe #NW #justInstalled</t>
  </si>
  <si>
    <t>铜管#NW #justInstalled</t>
  </si>
  <si>
    <t>7871.txt</t>
  </si>
  <si>
    <t>Copper Pipe #SE #justInstalled</t>
  </si>
  <si>
    <t>铜管#SE #justInstalled</t>
  </si>
  <si>
    <t>7872.txt</t>
  </si>
  <si>
    <t>Copper Pipe #SW #justInstalled</t>
  </si>
  <si>
    <t>铜管#SW #justInstalled</t>
  </si>
  <si>
    <t>7873.txt</t>
  </si>
  <si>
    <t>Copper Pipe #NS loose</t>
  </si>
  <si>
    <t>NS号铜管松动#NS loose</t>
  </si>
  <si>
    <t>7874.txt</t>
  </si>
  <si>
    <t>Copper Pipe #EW loose</t>
  </si>
  <si>
    <t>EW号铜管松动#EW loose</t>
  </si>
  <si>
    <t>7875.txt</t>
  </si>
  <si>
    <t>Copper Pipe #NE loose</t>
  </si>
  <si>
    <t>NE号铜管松动#NE loose</t>
  </si>
  <si>
    <t>7876.txt</t>
  </si>
  <si>
    <t>Copper Pipe #NW loose</t>
  </si>
  <si>
    <t>铜管#NW loose</t>
  </si>
  <si>
    <t>7877.txt</t>
  </si>
  <si>
    <t>Copper Pipe #SE loose</t>
  </si>
  <si>
    <t>铜管#SE loose</t>
  </si>
  <si>
    <t>7878.txt</t>
  </si>
  <si>
    <t>Copper Pipe #SW loose</t>
  </si>
  <si>
    <t>铜管#SW loose</t>
  </si>
  <si>
    <t>7880.txt</t>
  </si>
  <si>
    <t>@ Loose Corner Pattern</t>
  </si>
  <si>
    <t>7881.txt</t>
  </si>
  <si>
    <t>@ Pipe Corner Pattern</t>
  </si>
  <si>
    <t>7883.txt</t>
  </si>
  <si>
    <t>@ Installed Corner Pattern</t>
  </si>
  <si>
    <t>7884.txt</t>
  </si>
  <si>
    <t>Copper Pipe #EW #justInstalled</t>
  </si>
  <si>
    <t>铜管#EW #justInstalled</t>
  </si>
  <si>
    <t>7885.txt</t>
  </si>
  <si>
    <t>Copper Pipe #NS #justInstalled</t>
  </si>
  <si>
    <t>铜管#NS #justInstalled</t>
  </si>
  <si>
    <t>7886.txt</t>
  </si>
  <si>
    <t>Try Traveling Water #E</t>
  </si>
  <si>
    <t>试试游水#E</t>
  </si>
  <si>
    <t>7887.txt</t>
  </si>
  <si>
    <t>Try Traveling Water #S</t>
  </si>
  <si>
    <t>试试旅行水#S</t>
  </si>
  <si>
    <t>7888.txt</t>
  </si>
  <si>
    <t>Try Traveling Water #W</t>
  </si>
  <si>
    <t>试试旅行水#W</t>
  </si>
  <si>
    <t>7900.txt</t>
  </si>
  <si>
    <t>Running Diesel Water Pump with Pipe</t>
  </si>
  <si>
    <t>带管道运行柴油水泵</t>
  </si>
  <si>
    <t>7902.txt</t>
  </si>
  <si>
    <t>Large Tank</t>
  </si>
  <si>
    <t>大型储罐</t>
  </si>
  <si>
    <t>7903.txt</t>
  </si>
  <si>
    <t>Tank with Fractional Distiller</t>
  </si>
  <si>
    <t>带有分馏器的储罐</t>
  </si>
  <si>
    <t>7905.txt</t>
  </si>
  <si>
    <t>Dry Diesel Water Pump With Pipe</t>
  </si>
  <si>
    <t>7906.txt</t>
  </si>
  <si>
    <t>Pitchfork on Poipack</t>
  </si>
  <si>
    <t>Poipack上的干草叉</t>
  </si>
  <si>
    <t>7907.txt</t>
  </si>
  <si>
    <t>Stone Wall with Double Shelf# +noBackAccess +useOnContained</t>
  </si>
  <si>
    <t>带双搁板的石墙# +noBackAccess +useOnContained</t>
  </si>
  <si>
    <t>7908.txt</t>
  </si>
  <si>
    <t>7909.txt</t>
  </si>
  <si>
    <t>Stone Wall with Big Stack of Boards</t>
  </si>
  <si>
    <t>大叠板石墙</t>
  </si>
  <si>
    <t>7910.txt</t>
  </si>
  <si>
    <t>Ancient Stone Wall with Boards</t>
  </si>
  <si>
    <t>古板石墙</t>
  </si>
  <si>
    <t>7911.txt</t>
  </si>
  <si>
    <t>Ancient Stone Wall with Big Stack of Boards</t>
  </si>
  <si>
    <t>叠板古石墙</t>
  </si>
  <si>
    <t>7912.txt</t>
  </si>
  <si>
    <t>Ancient Stone Wall with Shelf# +noBackAccess +useOnContained</t>
  </si>
  <si>
    <t>带搁板的古石墙# +noBackAccess +useOnContained</t>
  </si>
  <si>
    <t>7913.txt</t>
  </si>
  <si>
    <t>Ancient Stone Wall with Double Shelf# +noBackAccess +useOnContained</t>
  </si>
  <si>
    <t>双搁板古石墙# +noBackAccess +useOnContained</t>
  </si>
  <si>
    <t>7914.txt</t>
  </si>
  <si>
    <t>Jack O' Lantern</t>
  </si>
  <si>
    <t>杰克灯笼</t>
  </si>
  <si>
    <t>7915.txt</t>
  </si>
  <si>
    <t>Paint Brush with Paint #white</t>
  </si>
  <si>
    <t>油漆刷#white</t>
  </si>
  <si>
    <t>7917.txt</t>
  </si>
  <si>
    <t>Copper Pipe in Wooden Tongs</t>
  </si>
  <si>
    <t>木钳中的铜管</t>
  </si>
  <si>
    <t>7919.txt</t>
  </si>
  <si>
    <t>Stack of Copper Pipes</t>
  </si>
  <si>
    <t>铜管堆栈</t>
  </si>
  <si>
    <t>7920.txt</t>
  </si>
  <si>
    <t>Water puddle #S</t>
  </si>
  <si>
    <t>水坑#S</t>
  </si>
  <si>
    <t>7921.txt</t>
  </si>
  <si>
    <t>Water puddle #N</t>
  </si>
  <si>
    <t>水坑#N</t>
  </si>
  <si>
    <t>7922.txt</t>
  </si>
  <si>
    <t>Water puddle #E</t>
  </si>
  <si>
    <t>水坑#E</t>
  </si>
  <si>
    <t>7923.txt</t>
  </si>
  <si>
    <t>Water puddle #W</t>
  </si>
  <si>
    <t>水坑#W</t>
  </si>
  <si>
    <t>7924.txt</t>
  </si>
  <si>
    <t>Sardines</t>
  </si>
  <si>
    <t>沙丁鱼</t>
  </si>
  <si>
    <t>7925.txt</t>
  </si>
  <si>
    <t>Plate of Sardines</t>
  </si>
  <si>
    <t>一盘沙丁鱼</t>
  </si>
  <si>
    <t>7926.txt</t>
  </si>
  <si>
    <t>Skewered Sardines</t>
  </si>
  <si>
    <t>串烧沙丁鱼</t>
  </si>
  <si>
    <t>7927.txt</t>
  </si>
  <si>
    <t>Skewered Cooked Sardines</t>
  </si>
  <si>
    <t>7928.txt</t>
  </si>
  <si>
    <t>Plastered Floor# groundOnly</t>
  </si>
  <si>
    <t>抹灰地板# groundOnly</t>
  </si>
  <si>
    <t>7929.txt</t>
  </si>
  <si>
    <t>Adobe Floor# groundOnly</t>
  </si>
  <si>
    <t>7930.txt</t>
  </si>
  <si>
    <t>Painted Plastered Floor# black groundOnly</t>
  </si>
  <si>
    <t>彩绘抹灰地板# black groundOnly</t>
  </si>
  <si>
    <t>7931.txt</t>
  </si>
  <si>
    <t>Painted Plastered Floor# red groundOnly</t>
  </si>
  <si>
    <t>彩绘抹灰地板# red groundOnly</t>
  </si>
  <si>
    <t>7932.txt</t>
  </si>
  <si>
    <t>Painted Plastered Floor# blue groundOnly</t>
  </si>
  <si>
    <t>彩绘抹灰地板# blue groundOnly</t>
  </si>
  <si>
    <t>7933.txt</t>
  </si>
  <si>
    <t>Painted Plastered Floor# yellow groundOnly</t>
  </si>
  <si>
    <t>彩绘抹灰地板# yellow groundOnly</t>
  </si>
  <si>
    <t>7934.txt</t>
  </si>
  <si>
    <t>Painted Plastered Floor# green groundOnly</t>
  </si>
  <si>
    <t>彩绘抹灰地板# green groundOnly</t>
  </si>
  <si>
    <t>7935.txt</t>
  </si>
  <si>
    <t>7936.txt</t>
  </si>
  <si>
    <t>Paint Brush with Paint #green</t>
  </si>
  <si>
    <t>油漆刷#green</t>
  </si>
  <si>
    <t>7937.txt</t>
  </si>
  <si>
    <t>Green Plaster Wall# +useOnContained</t>
  </si>
  <si>
    <t>绿色石膏墙# +useOnContained</t>
  </si>
  <si>
    <t>7938.txt</t>
  </si>
  <si>
    <t>Green Plaster Wall</t>
  </si>
  <si>
    <t>绿色石膏墙</t>
  </si>
  <si>
    <t>7939.txt</t>
  </si>
  <si>
    <t>7940.txt</t>
  </si>
  <si>
    <t>Black Plaster Wall</t>
  </si>
  <si>
    <t>黑色石膏墙</t>
  </si>
  <si>
    <t>7941.txt</t>
  </si>
  <si>
    <t>Black Plaster Wall# +useOnContained</t>
  </si>
  <si>
    <t>黑色石膏墙# +useOnContained</t>
  </si>
  <si>
    <t>7942.txt</t>
  </si>
  <si>
    <t>7943.txt</t>
  </si>
  <si>
    <t>Wooden Floor# light groundOnly</t>
  </si>
  <si>
    <t>木地板# light groundOnly</t>
  </si>
  <si>
    <t>7944.txt</t>
  </si>
  <si>
    <t>Wooden Floor# dark groundOnly</t>
  </si>
  <si>
    <t>木地板# dark groundOnly</t>
  </si>
  <si>
    <t>7945.txt</t>
  </si>
  <si>
    <t>Boards #dark</t>
  </si>
  <si>
    <t>板#dark</t>
  </si>
  <si>
    <t>7946.txt</t>
  </si>
  <si>
    <t>Boards #light</t>
  </si>
  <si>
    <t>板#light</t>
  </si>
  <si>
    <t>7947.txt</t>
  </si>
  <si>
    <t>Big Stack of Boards #light</t>
  </si>
  <si>
    <t>大堆木板#light</t>
  </si>
  <si>
    <t>7948.txt</t>
  </si>
  <si>
    <t>Big Stack of Boards #dark</t>
  </si>
  <si>
    <t>大堆木板#dark</t>
  </si>
  <si>
    <t>7949.txt</t>
  </si>
  <si>
    <t>Boards with Froe #dark</t>
  </si>
  <si>
    <t>钢楔刀和深色木板#dark</t>
  </si>
  <si>
    <t>7950.txt</t>
  </si>
  <si>
    <t>Boards with Froe #light</t>
  </si>
  <si>
    <t>钢楔刀和浅色木板#light</t>
  </si>
  <si>
    <t>7951.txt</t>
  </si>
  <si>
    <t>Bald Cypress Tree with Fallen Hive #bees</t>
  </si>
  <si>
    <t>秃头柏树和倒下的蜂巢#bees</t>
  </si>
  <si>
    <t>7952.txt</t>
  </si>
  <si>
    <t>Bald Cypress Tree with Fallen Hive #just left</t>
  </si>
  <si>
    <t>秃头柏树与倒下的蜂巢#just left</t>
  </si>
  <si>
    <t>7953.txt</t>
  </si>
  <si>
    <t>Candles on plate</t>
  </si>
  <si>
    <t>盘子里的蜡烛</t>
  </si>
  <si>
    <t>7954.txt</t>
  </si>
  <si>
    <t>Lit Candle</t>
  </si>
  <si>
    <t>点燃蜡烛</t>
  </si>
  <si>
    <t>7955.txt</t>
  </si>
  <si>
    <t>Lit Candles on plate</t>
  </si>
  <si>
    <t>盘子上点燃蜡烛</t>
  </si>
  <si>
    <t>7956.txt</t>
  </si>
  <si>
    <t>Bowl of Pumpkin Seeds</t>
  </si>
  <si>
    <t>一碗南瓜籽</t>
  </si>
  <si>
    <t>7957.txt</t>
  </si>
  <si>
    <t>Pumpkin Seed Bag</t>
  </si>
  <si>
    <t>7958.txt</t>
  </si>
  <si>
    <t>Pumpkin Stack</t>
  </si>
  <si>
    <t>南瓜堆</t>
  </si>
  <si>
    <t>7959.txt</t>
  </si>
  <si>
    <t>Dark Wooden Wall# +useOnContained</t>
  </si>
  <si>
    <t>深色木墙# +useOnContained</t>
  </si>
  <si>
    <t>7960.txt</t>
  </si>
  <si>
    <t>Light Wooden Wall# +useOnContained</t>
  </si>
  <si>
    <t>浅色木墙# +useOnContained</t>
  </si>
  <si>
    <t>7961.txt</t>
  </si>
  <si>
    <t>7962.txt</t>
  </si>
  <si>
    <t>7963.txt</t>
  </si>
  <si>
    <t>Dark Wooden Wall</t>
  </si>
  <si>
    <t>深色木墙</t>
  </si>
  <si>
    <t>7964.txt</t>
  </si>
  <si>
    <t>Light Wooden Wall</t>
  </si>
  <si>
    <t>浅色木墙</t>
  </si>
  <si>
    <t>7965.txt</t>
  </si>
  <si>
    <t>7966.txt</t>
  </si>
  <si>
    <t>7967.txt</t>
  </si>
  <si>
    <t>Locked Pirate Chest</t>
  </si>
  <si>
    <t>上锁的海盗宝箱</t>
  </si>
  <si>
    <t>7968.txt</t>
  </si>
  <si>
    <t>Open Pirate Chest</t>
  </si>
  <si>
    <t>打开海盗宝箱</t>
  </si>
  <si>
    <t>7969.txt</t>
  </si>
  <si>
    <t>Skull Key</t>
  </si>
  <si>
    <t>骷髅钥匙</t>
  </si>
  <si>
    <t>7970.txt</t>
  </si>
  <si>
    <t>7971.txt</t>
  </si>
  <si>
    <t>7972.txt</t>
  </si>
  <si>
    <t>Squash Seeds #just harvested</t>
  </si>
  <si>
    <t>南瓜种子#just harvested</t>
  </si>
  <si>
    <t>7973.txt</t>
  </si>
  <si>
    <t>Bald Cypress Tree with Fallen Hive</t>
  </si>
  <si>
    <t>秃头柏树与倒下的蜂巢</t>
  </si>
  <si>
    <t>7974.txt</t>
  </si>
  <si>
    <t>Filled Pond</t>
  </si>
  <si>
    <t>填满的池塘</t>
  </si>
  <si>
    <t>7975.txt</t>
  </si>
  <si>
    <t>Domestic Gooseberry Bush #sparrow #landing +tapoutTrigger,1,1,5,5</t>
  </si>
  <si>
    <t>国内醋栗丛 #sparrow #landing +tapoutTrigger,1,1,5,5</t>
  </si>
  <si>
    <t>7976.txt</t>
  </si>
  <si>
    <t>Domestic Gooseberry Bush #sparrow #eating +tapoutTrigger,1,1,3,3</t>
  </si>
  <si>
    <t>国内醋栗丛 #sparrow #eating +tapoutTrigger,1,1,3,3</t>
  </si>
  <si>
    <t>7977.txt</t>
  </si>
  <si>
    <t>Domestic Gooseberry Bush #sparrow #flee +tapoutTrigger,1,1,3,3</t>
  </si>
  <si>
    <t>国内醋栗丛 #sparrow #flee +tapoutTrigger,1,1,3,3</t>
  </si>
  <si>
    <t>7978.txt</t>
  </si>
  <si>
    <t>Perhaps a Sparrow</t>
  </si>
  <si>
    <t>也许是一只麻雀</t>
  </si>
  <si>
    <t>7979.txt</t>
  </si>
  <si>
    <t>Empty Domestic Gooseberry Bush #sparrow flee</t>
  </si>
  <si>
    <t>空荡荡的国内醋栗丛#sparrow flee</t>
  </si>
  <si>
    <t>7980.txt</t>
  </si>
  <si>
    <t>Stone Arch #flowers</t>
  </si>
  <si>
    <t>石拱门#flowers</t>
  </si>
  <si>
    <t>7982.txt</t>
  </si>
  <si>
    <t>Bucket of Plaster</t>
  </si>
  <si>
    <t>一桶石膏</t>
  </si>
  <si>
    <t>7983.txt</t>
  </si>
  <si>
    <t>Sack of Quicklime #1</t>
  </si>
  <si>
    <t>一袋生石灰 #1</t>
  </si>
  <si>
    <t>7984.txt</t>
  </si>
  <si>
    <t>Sack of Quicklime #2</t>
  </si>
  <si>
    <t>一袋生石灰 #2</t>
  </si>
  <si>
    <t>7985.txt</t>
  </si>
  <si>
    <t>Sack of Quicklime #3</t>
  </si>
  <si>
    <t>一袋生石灰 #3</t>
  </si>
  <si>
    <t>7986.txt</t>
  </si>
  <si>
    <t>Sack of Quicklime #4</t>
  </si>
  <si>
    <t>一袋生石灰 #4</t>
  </si>
  <si>
    <t>7987.txt</t>
  </si>
  <si>
    <t>Sack of Quicklime #5</t>
  </si>
  <si>
    <t>一袋生石灰 #5</t>
  </si>
  <si>
    <t>7988.txt</t>
  </si>
  <si>
    <t>Bowl of Quicklime #just scooped</t>
  </si>
  <si>
    <t>一碗生石灰#just scooped</t>
  </si>
  <si>
    <t>7989.txt</t>
  </si>
  <si>
    <t>Sack of Sand #1</t>
  </si>
  <si>
    <t>一袋沙#1</t>
  </si>
  <si>
    <t>7990.txt</t>
  </si>
  <si>
    <t>Sack of Sand #2</t>
  </si>
  <si>
    <t>一袋沙 #2</t>
  </si>
  <si>
    <t>7991.txt</t>
  </si>
  <si>
    <t>Sack of Sand #3</t>
  </si>
  <si>
    <t>一袋沙 #3</t>
  </si>
  <si>
    <t>7992.txt</t>
  </si>
  <si>
    <t>Sack of Sand #4</t>
  </si>
  <si>
    <t>一袋沙 #4</t>
  </si>
  <si>
    <t>7993.txt</t>
  </si>
  <si>
    <t>Sack of Sand #5</t>
  </si>
  <si>
    <t>一袋沙#5</t>
  </si>
  <si>
    <t>7995.txt</t>
  </si>
  <si>
    <t>Burnt Sardines</t>
  </si>
  <si>
    <t>烧焦的沙丁鱼</t>
  </si>
  <si>
    <t>7997.txt</t>
  </si>
  <si>
    <t>Bucket of Worms</t>
  </si>
  <si>
    <t>一桶蠕虫</t>
  </si>
  <si>
    <t>7998.txt</t>
  </si>
  <si>
    <t>Dry Fertile Banana Tree</t>
  </si>
  <si>
    <t>干燥肥沃的香蕉树</t>
  </si>
  <si>
    <t>7999.txt</t>
  </si>
  <si>
    <t>Wet Fertile Banana Tree</t>
  </si>
  <si>
    <t>潮湿肥沃的香蕉树</t>
  </si>
  <si>
    <t>8000.txt</t>
  </si>
  <si>
    <t>Hedge Wall with Glass Pane</t>
  </si>
  <si>
    <t>带玻璃板的树篱墙</t>
  </si>
  <si>
    <t>8001.txt</t>
  </si>
  <si>
    <t>Pine Wall with Glass Pane</t>
  </si>
  <si>
    <t>带玻璃板的松木墙</t>
  </si>
  <si>
    <t>8002.txt</t>
  </si>
  <si>
    <t>Ancient Sandstone Wall with Glass Pane</t>
  </si>
  <si>
    <t>带玻璃板的古砂岩墙</t>
  </si>
  <si>
    <t>8003.txt</t>
  </si>
  <si>
    <t>Stone Wall with Glass Pane</t>
  </si>
  <si>
    <t>带玻璃板的石墙</t>
  </si>
  <si>
    <t>8004.txt</t>
  </si>
  <si>
    <t>Dark Wooden Wall with Glass Pane</t>
  </si>
  <si>
    <t>带玻璃板的深色木墙</t>
  </si>
  <si>
    <t>8005.txt</t>
  </si>
  <si>
    <t>Wooden Wall with Glass Pane</t>
  </si>
  <si>
    <t>带玻璃板的木墙</t>
  </si>
  <si>
    <t>8006.txt</t>
  </si>
  <si>
    <t>Light Wooden Wall with Glass Pane</t>
  </si>
  <si>
    <t>带玻璃板的浅色木墙</t>
  </si>
  <si>
    <t>8007.txt</t>
  </si>
  <si>
    <t>Plaster Wall with Glass Pane</t>
  </si>
  <si>
    <t>带玻璃板的石膏墙</t>
  </si>
  <si>
    <t>8008.txt</t>
  </si>
  <si>
    <t>Windowed Ancient Stone Wall</t>
  </si>
  <si>
    <t>带窗的古石墙</t>
  </si>
  <si>
    <t>8009.txt</t>
  </si>
  <si>
    <t>Ancient Stone Wall with Glass Pane</t>
  </si>
  <si>
    <t>有玻璃板的古老石墙</t>
  </si>
  <si>
    <t>8013.txt</t>
  </si>
  <si>
    <t>Sack of Sulfur #1</t>
  </si>
  <si>
    <t>一袋硫磺 #1</t>
  </si>
  <si>
    <t>8014.txt</t>
  </si>
  <si>
    <t>Sack of Sulfur #2</t>
  </si>
  <si>
    <t>一袋硫磺 #2</t>
  </si>
  <si>
    <t>8015.txt</t>
  </si>
  <si>
    <t>Sack of Sulfur #3</t>
  </si>
  <si>
    <t>一袋硫磺 #3</t>
  </si>
  <si>
    <t>8016.txt</t>
  </si>
  <si>
    <t>Sack of Sulfur #4</t>
  </si>
  <si>
    <t>一袋硫磺 #4</t>
  </si>
  <si>
    <t>8017.txt</t>
  </si>
  <si>
    <t>Sack of Sulfur #5</t>
  </si>
  <si>
    <t>一袋硫磺 #5</t>
  </si>
  <si>
    <t>8018.txt</t>
  </si>
  <si>
    <t>Soil</t>
  </si>
  <si>
    <t>土壤</t>
  </si>
  <si>
    <t>8019.txt</t>
  </si>
  <si>
    <t>Ripe Pumpkin Plant test</t>
  </si>
  <si>
    <t>成熟南瓜植株测试</t>
  </si>
  <si>
    <t>8020.txt</t>
  </si>
  <si>
    <t>8021.txt</t>
  </si>
  <si>
    <t>Soil Plough</t>
  </si>
  <si>
    <t>土壤犁</t>
  </si>
  <si>
    <t>8022.txt</t>
  </si>
  <si>
    <t>Soil Hardened</t>
  </si>
  <si>
    <t>土壤硬化</t>
  </si>
  <si>
    <t>8023.txt</t>
  </si>
  <si>
    <t>Tobacco Seed Bag</t>
  </si>
  <si>
    <t>烟草种子袋</t>
  </si>
  <si>
    <t>8024.txt</t>
  </si>
  <si>
    <t>Windowed Sandstone Wall</t>
  </si>
  <si>
    <t>带窗砂岩墙</t>
  </si>
  <si>
    <t>8025.txt</t>
  </si>
  <si>
    <t>Sandstone Wall with Glass Pane</t>
  </si>
  <si>
    <t>带玻璃板的砂岩墙</t>
  </si>
  <si>
    <t>8026.txt</t>
  </si>
  <si>
    <t>@ Paintable Item</t>
  </si>
  <si>
    <t>8027.txt</t>
  </si>
  <si>
    <t>@ Paint brush with Paint</t>
  </si>
  <si>
    <t>8028.txt</t>
  </si>
  <si>
    <t>@ Paint Bucket</t>
  </si>
  <si>
    <t>8029.txt</t>
  </si>
  <si>
    <t>桌子上放着玛莎面团</t>
  </si>
  <si>
    <t>8030.txt</t>
  </si>
  <si>
    <t>Corn Tortilla Table #justMade</t>
  </si>
  <si>
    <t>玉米饼桌#justMade</t>
  </si>
  <si>
    <t>8031.txt</t>
  </si>
  <si>
    <t>玉米饼桌</t>
  </si>
  <si>
    <t>8032.txt</t>
  </si>
  <si>
    <t>桌子上有小麦面团</t>
  </si>
  <si>
    <t>8033.txt</t>
  </si>
  <si>
    <t>Wheat Tortilla Table #justMade</t>
  </si>
  <si>
    <t>小麦玉米饼桌#justMade</t>
  </si>
  <si>
    <t>8034.txt</t>
  </si>
  <si>
    <t>小麦玉米饼桌</t>
  </si>
  <si>
    <t>8035.txt</t>
  </si>
  <si>
    <t>荆墙</t>
  </si>
  <si>
    <t>8036.txt</t>
  </si>
  <si>
    <t>Dark Wooden Door</t>
  </si>
  <si>
    <t>深色木门</t>
  </si>
  <si>
    <t>8037.txt</t>
  </si>
  <si>
    <t>Light Wooden Door</t>
  </si>
  <si>
    <t>浅色木门</t>
  </si>
  <si>
    <t>8038.txt</t>
  </si>
  <si>
    <t>Dark Wooden Door# Installed</t>
  </si>
  <si>
    <t>深色木门# Installed</t>
  </si>
  <si>
    <t>8039.txt</t>
  </si>
  <si>
    <t>Light Wooden Door# Installed</t>
  </si>
  <si>
    <t>浅色木门# Installed</t>
  </si>
  <si>
    <t>8040.txt</t>
  </si>
  <si>
    <t>Open Light Wooden Door# installed</t>
  </si>
  <si>
    <t>打开的浅色木门# installed</t>
  </si>
  <si>
    <t>8041.txt</t>
  </si>
  <si>
    <t>Open Dark Wooden Door# installed</t>
  </si>
  <si>
    <t>打开的深色木门# installed</t>
  </si>
  <si>
    <t>8042.txt</t>
  </si>
  <si>
    <t>Big Stack of Boards with Short Shaft#light</t>
  </si>
  <si>
    <t>大堆短轴木板#light</t>
  </si>
  <si>
    <t>8043.txt</t>
  </si>
  <si>
    <t>Big Stack of Boards with Short Shaft#dark</t>
  </si>
  <si>
    <t>大堆短轴木板#dark</t>
  </si>
  <si>
    <t>8044.txt</t>
  </si>
  <si>
    <t>Chopping Block</t>
  </si>
  <si>
    <t>砧板</t>
  </si>
  <si>
    <t>8045.txt</t>
  </si>
  <si>
    <t>Beheaded Goose On Chopping Block</t>
  </si>
  <si>
    <t>砧板上的斩首鹅</t>
  </si>
  <si>
    <t>8046.txt</t>
  </si>
  <si>
    <t>Goose On Chopping Block</t>
  </si>
  <si>
    <t>砧板上的鹅</t>
  </si>
  <si>
    <t>8047.txt</t>
  </si>
  <si>
    <t>Chopping Block with Goose Head #just left</t>
  </si>
  <si>
    <t>鹅头砧板#just left</t>
  </si>
  <si>
    <t>8048.txt</t>
  </si>
  <si>
    <t>Chopping Block with Goose Head</t>
  </si>
  <si>
    <t>鹅头砧板</t>
  </si>
  <si>
    <t>8049.txt</t>
  </si>
  <si>
    <t>Chopping Block #just left</t>
  </si>
  <si>
    <t>砧板#just left</t>
  </si>
  <si>
    <t>8050.txt</t>
  </si>
  <si>
    <t>Boards with Flat Rock</t>
  </si>
  <si>
    <t>Flat Rock 板</t>
  </si>
  <si>
    <t>8051.txt</t>
  </si>
  <si>
    <t>Dry Glasswort Sapling Cutting</t>
  </si>
  <si>
    <t>干芒草树苗切割</t>
  </si>
  <si>
    <t>8052.txt</t>
  </si>
  <si>
    <t>Domestic Glasswort</t>
  </si>
  <si>
    <t>国产芒草</t>
  </si>
  <si>
    <t>8053.txt</t>
  </si>
  <si>
    <t>Wet Glasswort Sapling Cutting</t>
  </si>
  <si>
    <t>湿法芒草树苗切割</t>
  </si>
  <si>
    <t>8054.txt</t>
  </si>
  <si>
    <t>Shears with Glasswort Cutting</t>
  </si>
  <si>
    <t>具有海藻切割功能的剪刀</t>
  </si>
  <si>
    <t>8055.txt</t>
  </si>
  <si>
    <t>Glasswort Cutting</t>
  </si>
  <si>
    <t>芒草切割</t>
  </si>
  <si>
    <t>8056.txt</t>
  </si>
  <si>
    <t>Cut Domestic Glasswort</t>
  </si>
  <si>
    <t>切国产芒草</t>
  </si>
  <si>
    <t>8057.txt</t>
  </si>
  <si>
    <t>Cut Domestic Dry Glasswort</t>
  </si>
  <si>
    <t>切国产干芒草</t>
  </si>
  <si>
    <t>8063.txt</t>
  </si>
  <si>
    <t>Dry Field Maple Sapling Cutting</t>
  </si>
  <si>
    <t>旱地枫树树苗切割</t>
  </si>
  <si>
    <t>8064.txt</t>
  </si>
  <si>
    <t>Wet Field Maple Sapling Cutting</t>
  </si>
  <si>
    <t>湿地枫树苗切割</t>
  </si>
  <si>
    <t>8065.txt</t>
  </si>
  <si>
    <t>Dry Field Maple Sapling</t>
  </si>
  <si>
    <t>旱地枫树苗</t>
  </si>
  <si>
    <t>8066.txt</t>
  </si>
  <si>
    <t>Wet Field Maple Sapling</t>
  </si>
  <si>
    <t>湿地枫树苗</t>
  </si>
  <si>
    <t>8067.txt</t>
  </si>
  <si>
    <t>Dry Jelutong Sapling Cutting</t>
  </si>
  <si>
    <t>干切日落洞树苗</t>
  </si>
  <si>
    <t>8068.txt</t>
  </si>
  <si>
    <t>Wet Jelutong Sapling Cutting</t>
  </si>
  <si>
    <t>湿法切树树苗</t>
  </si>
  <si>
    <t>8069.txt</t>
  </si>
  <si>
    <t>Dry Jelutong Sapling</t>
  </si>
  <si>
    <t>干日落洞树苗</t>
  </si>
  <si>
    <t>8070.txt</t>
  </si>
  <si>
    <t>Wet Jelutong Sapling</t>
  </si>
  <si>
    <t>湿的日落洞树苗</t>
  </si>
  <si>
    <t>8071.txt</t>
  </si>
  <si>
    <t>Dry Hickory Sapling Cutting</t>
  </si>
  <si>
    <t>干山核桃树苗切割</t>
  </si>
  <si>
    <t>8072.txt</t>
  </si>
  <si>
    <t>Wet Hickory Sapling Cutting</t>
  </si>
  <si>
    <t>湿山核桃树苗切割</t>
  </si>
  <si>
    <t>8073.txt</t>
  </si>
  <si>
    <t>Dry Hickory Sapling</t>
  </si>
  <si>
    <t>干山核桃树苗</t>
  </si>
  <si>
    <t>8074.txt</t>
  </si>
  <si>
    <t>Wet Hickory Sapling</t>
  </si>
  <si>
    <t>湿山核桃树苗</t>
  </si>
  <si>
    <t>8075.txt</t>
  </si>
  <si>
    <t>Dry Bubinga Sapling Cutting</t>
  </si>
  <si>
    <t>干布宾加树苗切割</t>
  </si>
  <si>
    <t>8076.txt</t>
  </si>
  <si>
    <t>Wet Bubinga Sapling Cutting</t>
  </si>
  <si>
    <t>湿法布宾加树苗切割</t>
  </si>
  <si>
    <t>8077.txt</t>
  </si>
  <si>
    <t>Dry Bubinga Sapling</t>
  </si>
  <si>
    <t>干布宾加树苗</t>
  </si>
  <si>
    <t>8078.txt</t>
  </si>
  <si>
    <t>Wet Bubinga Sapling</t>
  </si>
  <si>
    <t>湿布宾加树苗</t>
  </si>
  <si>
    <t>8079.txt</t>
  </si>
  <si>
    <t>Dry Balsam Sapling Cutting</t>
  </si>
  <si>
    <t>干香脂树苗切割</t>
  </si>
  <si>
    <t>8080.txt</t>
  </si>
  <si>
    <t>Wet Baslam Sapling Cutting</t>
  </si>
  <si>
    <t>湿法香树树苗切割</t>
  </si>
  <si>
    <t>8081.txt</t>
  </si>
  <si>
    <t>Dry Balsam Sapling</t>
  </si>
  <si>
    <t>干香脂树苗</t>
  </si>
  <si>
    <t>8082.txt</t>
  </si>
  <si>
    <t>Wet Balsam Sapling</t>
  </si>
  <si>
    <t>湿香脂树苗</t>
  </si>
  <si>
    <t>8083.txt</t>
  </si>
  <si>
    <t>Dry Cedar Sapling Cutting</t>
  </si>
  <si>
    <t>干雪松树苗切割</t>
  </si>
  <si>
    <t>8084.txt</t>
  </si>
  <si>
    <t>Wet Cedar Sapling Cutting</t>
  </si>
  <si>
    <t>湿雪松树苗切割</t>
  </si>
  <si>
    <t>8085.txt</t>
  </si>
  <si>
    <t>Dry Cedar Sapling</t>
  </si>
  <si>
    <t>干雪松树苗</t>
  </si>
  <si>
    <t>8086.txt</t>
  </si>
  <si>
    <t>Wet Cedar Sapling</t>
  </si>
  <si>
    <t>湿雪松树苗</t>
  </si>
  <si>
    <t>8087.txt</t>
  </si>
  <si>
    <t>Dry Kapok Sapling Cutting</t>
  </si>
  <si>
    <t>干木棉树苗切割</t>
  </si>
  <si>
    <t>8088.txt</t>
  </si>
  <si>
    <t>Wet Kapok Sapling Cutting</t>
  </si>
  <si>
    <t>湿木棉树苗切割</t>
  </si>
  <si>
    <t>8089.txt</t>
  </si>
  <si>
    <t>Dry Kapok Sapling</t>
  </si>
  <si>
    <t>干木棉树苗</t>
  </si>
  <si>
    <t>8090.txt</t>
  </si>
  <si>
    <t>Wet Kapok Sapling</t>
  </si>
  <si>
    <t>湿木棉树苗</t>
  </si>
  <si>
    <t>8091.txt</t>
  </si>
  <si>
    <t>Dry Ash Sapling Cutting</t>
  </si>
  <si>
    <t>干灰树苗切割</t>
  </si>
  <si>
    <t>8092.txt</t>
  </si>
  <si>
    <t>Wet Ash Sapling Cutting</t>
  </si>
  <si>
    <t>湿灰树苗切割</t>
  </si>
  <si>
    <t>8093.txt</t>
  </si>
  <si>
    <t>Dry Ash Sapling</t>
  </si>
  <si>
    <t>干白蜡树苗</t>
  </si>
  <si>
    <t>8094.txt</t>
  </si>
  <si>
    <t>Wet Ash Sapling</t>
  </si>
  <si>
    <t>湿白蜡树苗</t>
  </si>
  <si>
    <t>8095.txt</t>
  </si>
  <si>
    <t>Shears with Field Maple Cutting</t>
  </si>
  <si>
    <t>带枫木切割的剪刀</t>
  </si>
  <si>
    <t>8096.txt</t>
  </si>
  <si>
    <t>Shears with Jelutong Cutting</t>
  </si>
  <si>
    <t>带 Jelutong 切割功能的剪刀</t>
  </si>
  <si>
    <t>8097.txt</t>
  </si>
  <si>
    <t>Shears with Hickory Cutting</t>
  </si>
  <si>
    <t>胡桃木剪</t>
  </si>
  <si>
    <t>8098.txt</t>
  </si>
  <si>
    <t>Shears with Bubinga Cutting</t>
  </si>
  <si>
    <t>带 Bubinga 切割的剪刀</t>
  </si>
  <si>
    <t>8099.txt</t>
  </si>
  <si>
    <t>Shears with Balsam Cutting</t>
  </si>
  <si>
    <t>带香脂切割的剪刀</t>
  </si>
  <si>
    <t>8100.txt</t>
  </si>
  <si>
    <t>Shears with Cedar Cutting</t>
  </si>
  <si>
    <t>雪松剪</t>
  </si>
  <si>
    <t>8101.txt</t>
  </si>
  <si>
    <t>Shears with Kapok Cutting</t>
  </si>
  <si>
    <t>木棉剪</t>
  </si>
  <si>
    <t>8102.txt</t>
  </si>
  <si>
    <t>Shears with Ash Cutting</t>
  </si>
  <si>
    <t>带灰烬切割的剪刀</t>
  </si>
  <si>
    <t>8103.txt</t>
  </si>
  <si>
    <t>Field Maple Tree Cutting</t>
  </si>
  <si>
    <t>田间枫树砍伐</t>
  </si>
  <si>
    <t>8104.txt</t>
  </si>
  <si>
    <t>Jelutong Tree Cutting</t>
  </si>
  <si>
    <t>日落洞树砍伐</t>
  </si>
  <si>
    <t>8105.txt</t>
  </si>
  <si>
    <t>Hickory Tree Cutting</t>
  </si>
  <si>
    <t>山核桃树砍伐</t>
  </si>
  <si>
    <t>8106.txt</t>
  </si>
  <si>
    <t>Bubinga Tree Cutting</t>
  </si>
  <si>
    <t>布宾加树砍伐</t>
  </si>
  <si>
    <t>8107.txt</t>
  </si>
  <si>
    <t>Balsam Tree Cutting</t>
  </si>
  <si>
    <t>香脂树砍伐</t>
  </si>
  <si>
    <t>8108.txt</t>
  </si>
  <si>
    <t>Cedar Tree Cutting</t>
  </si>
  <si>
    <t>雪松树砍伐</t>
  </si>
  <si>
    <t>8109.txt</t>
  </si>
  <si>
    <t>Kapok Tree Cutting</t>
  </si>
  <si>
    <t>木棉树砍伐</t>
  </si>
  <si>
    <t>8110.txt</t>
  </si>
  <si>
    <t>Ash Tree Cutting</t>
  </si>
  <si>
    <t>白蜡树砍伐</t>
  </si>
  <si>
    <t>8111.txt</t>
  </si>
  <si>
    <t>Perhaps Worm Use</t>
  </si>
  <si>
    <t>也许使用蠕虫</t>
  </si>
  <si>
    <t>8112.txt</t>
  </si>
  <si>
    <t>(outdated) Shaft with Silk Cocoons</t>
  </si>
  <si>
    <t>8113.txt</t>
  </si>
  <si>
    <t>Stone Fireplace with Garland #eveHomeMarker</t>
  </si>
  <si>
    <t>带花环的石制壁炉#eveHomeMarker</t>
  </si>
  <si>
    <t>8114.txt</t>
  </si>
  <si>
    <t>Elf Hat with Bell</t>
  </si>
  <si>
    <t>带铃铛的精灵帽</t>
  </si>
  <si>
    <t>8115.txt</t>
  </si>
  <si>
    <t>Elf Hat</t>
  </si>
  <si>
    <t>精灵帽</t>
  </si>
  <si>
    <t>8116.txt</t>
  </si>
  <si>
    <t>Elf Hat with Ears</t>
  </si>
  <si>
    <t>带耳朵的精灵帽</t>
  </si>
  <si>
    <t>8118.txt</t>
  </si>
  <si>
    <t>Wooden Door with Bell Wreath# Installed</t>
  </si>
  <si>
    <t>已安装铃花环的木门# Installed</t>
  </si>
  <si>
    <t>8120.txt</t>
  </si>
  <si>
    <t>Light Wooden Door with Bell Wreath# Installed</t>
  </si>
  <si>
    <t>已安装铃花环的浅色木门# Installed</t>
  </si>
  <si>
    <t>8121.txt</t>
  </si>
  <si>
    <t>Dark Wooden Door with Bell Wreath# Installed</t>
  </si>
  <si>
    <t>深色木门，带铃花环# Installed</t>
  </si>
  <si>
    <t>8122.txt</t>
  </si>
  <si>
    <t>Stone Arch with Lights</t>
  </si>
  <si>
    <t>带灯的石拱门</t>
  </si>
  <si>
    <t>8123.txt</t>
  </si>
  <si>
    <t>Stone Arch with Lights#flowers</t>
  </si>
  <si>
    <t>带灯的石拱门#flowers</t>
  </si>
  <si>
    <t>8124.txt</t>
  </si>
  <si>
    <t>Stone Fireplace with Garland and Stockings #eveHomeMarker</t>
  </si>
  <si>
    <t>带花环和丝袜的石头壁炉#eveHomeMarker</t>
  </si>
  <si>
    <t>8125.txt</t>
  </si>
  <si>
    <t>Present</t>
  </si>
  <si>
    <t>展示</t>
  </si>
  <si>
    <t>8130.txt</t>
  </si>
  <si>
    <t>Present with Note &amp;written</t>
  </si>
  <si>
    <t>附上便条并写下</t>
  </si>
  <si>
    <t>8131.txt</t>
  </si>
  <si>
    <t>Christmas Sock</t>
  </si>
  <si>
    <t>圣诞袜</t>
  </si>
  <si>
    <t>8132.txt</t>
  </si>
  <si>
    <t>Christmas Dress</t>
  </si>
  <si>
    <t>圣诞礼服</t>
  </si>
  <si>
    <t>8133.txt</t>
  </si>
  <si>
    <t>Christmas Tree with Lights</t>
  </si>
  <si>
    <t>带灯的圣诞树</t>
  </si>
  <si>
    <t>8135.txt</t>
  </si>
  <si>
    <t>Green Wool Hat</t>
  </si>
  <si>
    <t>绿色羊毛帽</t>
  </si>
  <si>
    <t>8136.txt</t>
  </si>
  <si>
    <t>Small Bell</t>
  </si>
  <si>
    <t>小铃铛</t>
  </si>
  <si>
    <t>8137.txt</t>
  </si>
  <si>
    <t>Crown Blank on Flat Rock</t>
  </si>
  <si>
    <t>平坦岩石上的皇冠空白</t>
  </si>
  <si>
    <t>8138.txt</t>
  </si>
  <si>
    <t>Clay Crock with Soil</t>
  </si>
  <si>
    <t>带土的粘土陶罐</t>
  </si>
  <si>
    <t>8139.txt</t>
  </si>
  <si>
    <t>Dry Potted Balsam Cutting</t>
  </si>
  <si>
    <t>干盆栽香脂切割</t>
  </si>
  <si>
    <t>8140.txt</t>
  </si>
  <si>
    <t>Dry Potted Balsam Sapling</t>
  </si>
  <si>
    <t>干盆栽香脂树苗</t>
  </si>
  <si>
    <t>8141.txt</t>
  </si>
  <si>
    <t>Wet Potted Balsam Sapling</t>
  </si>
  <si>
    <t>湿盆栽香脂树苗</t>
  </si>
  <si>
    <t>8142.txt</t>
  </si>
  <si>
    <t>Wet Potted Balsam Cutting</t>
  </si>
  <si>
    <t>湿盆栽香脂切割</t>
  </si>
  <si>
    <t>8143.txt</t>
  </si>
  <si>
    <t>Christmas Tree</t>
  </si>
  <si>
    <t>圣诞树</t>
  </si>
  <si>
    <t>8144.txt</t>
  </si>
  <si>
    <t>Christmas Stocking</t>
  </si>
  <si>
    <t>8145.txt</t>
  </si>
  <si>
    <t>Christmas Sock with Big Ball of Yarn</t>
  </si>
  <si>
    <t>大纱球圣诞袜</t>
  </si>
  <si>
    <t>8146.txt</t>
  </si>
  <si>
    <t>Undyed Christmas Stocking</t>
  </si>
  <si>
    <t>未染色圣诞袜</t>
  </si>
  <si>
    <t>8147.txt</t>
  </si>
  <si>
    <t>Wreath Base</t>
  </si>
  <si>
    <t>花环底座</t>
  </si>
  <si>
    <t>8148.txt</t>
  </si>
  <si>
    <t>Covered Rose Wreath</t>
  </si>
  <si>
    <t>覆盖玫瑰花环</t>
  </si>
  <si>
    <t>8149.txt</t>
  </si>
  <si>
    <t>Covered Rose Wreath with Bell</t>
  </si>
  <si>
    <t>带铃铛的玫瑰花环</t>
  </si>
  <si>
    <t>8150.txt</t>
  </si>
  <si>
    <t>Ancient Half Stone Wall with Garland</t>
  </si>
  <si>
    <t>有花环的古老半石墙</t>
  </si>
  <si>
    <t>8151.txt</t>
  </si>
  <si>
    <t>Ancient Stone Wall with Garland</t>
  </si>
  <si>
    <t>有花环的古老石墙</t>
  </si>
  <si>
    <t>8152.txt</t>
  </si>
  <si>
    <t>Half Stone Wall with Garland</t>
  </si>
  <si>
    <t>带花环的半石墙</t>
  </si>
  <si>
    <t>8153.txt</t>
  </si>
  <si>
    <t>Stone Wall with Garland</t>
  </si>
  <si>
    <t>带花环的石墙</t>
  </si>
  <si>
    <t>8154.txt</t>
  </si>
  <si>
    <t>Stone Wall with Shelf and Garland# +noBackAccess +useOnContained</t>
  </si>
  <si>
    <t>带架子和花环的石墙# +noBackAccess +useOnContained</t>
  </si>
  <si>
    <t>8155.txt</t>
  </si>
  <si>
    <t>Ancient Stone Wall with Double Shelf and Garland# +noBackAccess +useOnContained</t>
  </si>
  <si>
    <t>带双架子和花环的古代石墙# +noBackAccess +useOnContained</t>
  </si>
  <si>
    <t>8156.txt</t>
  </si>
  <si>
    <t>Ancient Stone Wall with Shelf and Garland# +noBackAccess +useOnContained</t>
  </si>
  <si>
    <t>带架子和花环的古代石墙# +noBackAccess +useOnContained</t>
  </si>
  <si>
    <t>8157.txt</t>
  </si>
  <si>
    <t>Stone Wall with Double Shelf and Garland# +noBackAccess +useOnContained</t>
  </si>
  <si>
    <t>带双架子和花环的石墙# +noBackAccess +useOnContained</t>
  </si>
  <si>
    <t>8158.txt</t>
  </si>
  <si>
    <t>Stone Arch with Garland</t>
  </si>
  <si>
    <t>带花环的石拱门</t>
  </si>
  <si>
    <t>8159.txt</t>
  </si>
  <si>
    <t>Windowed Ancient Stone Wall with Garland</t>
  </si>
  <si>
    <t>有花环的有窗的古老石墙</t>
  </si>
  <si>
    <t>8160.txt</t>
  </si>
  <si>
    <t>Windowed Stone Wall with Garland</t>
  </si>
  <si>
    <t>带花环的带窗石墙</t>
  </si>
  <si>
    <t>8161.txt</t>
  </si>
  <si>
    <t>花环</t>
  </si>
  <si>
    <t>8162.txt</t>
  </si>
  <si>
    <t>Open Present</t>
  </si>
  <si>
    <t>打开礼物</t>
  </si>
  <si>
    <t>8164.txt</t>
  </si>
  <si>
    <t>Present with Detached Note &amp;written</t>
  </si>
  <si>
    <t>与单独的便条一起呈现并写下</t>
  </si>
  <si>
    <t>8165.txt</t>
  </si>
  <si>
    <t>@ Garland Tree</t>
  </si>
  <si>
    <t>8166.txt</t>
  </si>
  <si>
    <t>Stone Fireplace with Garland#stocking #eveHomeMarker</t>
  </si>
  <si>
    <t>带花环的石头壁炉#stocking #eveHomeMarker</t>
  </si>
  <si>
    <t>8167.txt</t>
  </si>
  <si>
    <t>Empty Garland Stone Fireplace #eveHomeMarker</t>
  </si>
  <si>
    <t>空花环石壁炉#eveHomeMarker</t>
  </si>
  <si>
    <t>8168.txt</t>
  </si>
  <si>
    <t>Garland Stone Fireplace with Kindling #eveHomeMarker</t>
  </si>
  <si>
    <t>带点燃的花环石壁炉#eveHomeMarker</t>
  </si>
  <si>
    <t>8169.txt</t>
  </si>
  <si>
    <t>Garland Stone Fireplace with Kindling Tinder #eveHomeMarker</t>
  </si>
  <si>
    <t>带 Kindling Tinder 的花环石壁炉 #eveHomeMarker</t>
  </si>
  <si>
    <t>8170.txt</t>
  </si>
  <si>
    <t>Garland Stone Fireplace with Smoldering Tinder #eveHomeMarker</t>
  </si>
  <si>
    <t>带阴燃火种的花环石壁炉#eveHomeMarker</t>
  </si>
  <si>
    <t>8171.txt</t>
  </si>
  <si>
    <t>Garland Stone Fireplace with Burning Tinder #eveHomeMarker</t>
  </si>
  <si>
    <t>带燃烧火种的花环石壁炉#eveHomeMarker</t>
  </si>
  <si>
    <t>8172.txt</t>
  </si>
  <si>
    <t>Garland Stone Fireplace with Hot Coals #eveHomeMarker</t>
  </si>
  <si>
    <t>带热煤的花环石壁炉#eveHomeMarker</t>
  </si>
  <si>
    <t>8173.txt</t>
  </si>
  <si>
    <t>Garland Stone Fireplace with Ashes #eveHomeMarker</t>
  </si>
  <si>
    <t>带灰烬的花环石壁炉#eveHomeMarker</t>
  </si>
  <si>
    <t>8174.txt</t>
  </si>
  <si>
    <t>Empty Garland Stone Fireplace#stocking #eveHomeMarker</t>
  </si>
  <si>
    <t>空花环石壁炉#stocking #eveHomeMarker</t>
  </si>
  <si>
    <t>8175.txt</t>
  </si>
  <si>
    <t>Garland Stone Fireplace with Kindling#stocking #eveHomeMarker</t>
  </si>
  <si>
    <t>带点燃的花环石壁炉#stocking #eveHomeMarker</t>
  </si>
  <si>
    <t>8176.txt</t>
  </si>
  <si>
    <t>Garland Stone Fireplace with Kindling Tinder#stocking #eveHomeMarker</t>
  </si>
  <si>
    <t>带 Kindling Tinder 的花环石壁炉#stocking #eveHomeMarker</t>
  </si>
  <si>
    <t>8177.txt</t>
  </si>
  <si>
    <t>Garland Stone Fireplace with Smoldering Tinder#stocking #eveHomeMarker</t>
  </si>
  <si>
    <t>带阴燃火种的花环石壁炉#stocking #eveHomeMarker</t>
  </si>
  <si>
    <t>8178.txt</t>
  </si>
  <si>
    <t>Garland Stone Fireplace with Burning Tinder#stocking #eveHomeMarker</t>
  </si>
  <si>
    <t>带燃烧火种的花环石壁炉#stocking #eveHomeMarker</t>
  </si>
  <si>
    <t>8179.txt</t>
  </si>
  <si>
    <t>Garland Stone Fireplace with Hot Coals#stocking #eveHomeMarker</t>
  </si>
  <si>
    <t>带热煤的花环石壁炉#stocking #eveHomeMarker</t>
  </si>
  <si>
    <t>8180.txt</t>
  </si>
  <si>
    <t>Garland Stone Fireplace with Ashes#stocking #eveHomeMarker</t>
  </si>
  <si>
    <t>带灰烬的花环石壁炉#stocking #eveHomeMarker</t>
  </si>
  <si>
    <t>8181.txt</t>
  </si>
  <si>
    <t>Empty Garland Stone Fireplace#stockings #eveHomeMarker</t>
  </si>
  <si>
    <t>空花环石壁炉#stockings #eveHomeMarker</t>
  </si>
  <si>
    <t>8182.txt</t>
  </si>
  <si>
    <t>Garland Stone Fireplace with Kindling#stockings #eveHomeMarker</t>
  </si>
  <si>
    <t>带点燃的花环石壁炉#stockings #eveHomeMarker</t>
  </si>
  <si>
    <t>8183.txt</t>
  </si>
  <si>
    <t>Garland Stone Fireplace with Kindling Tinder#stockings #eveHomeMarker</t>
  </si>
  <si>
    <t>带 Kindling Tinder 的花环石壁炉#stockings #eveHomeMarker</t>
  </si>
  <si>
    <t>8184.txt</t>
  </si>
  <si>
    <t>Garland Stone Fireplace with Smoldering Tinder#stockings #eveHomeMarker</t>
  </si>
  <si>
    <t>带阴燃火种的花环石壁炉#stockings #eveHomeMarker</t>
  </si>
  <si>
    <t>8185.txt</t>
  </si>
  <si>
    <t>Garland Stone Fireplace with Hot Coals#stockings #eveHomeMarker</t>
  </si>
  <si>
    <t>带热煤的花环石壁炉#stockings #eveHomeMarker</t>
  </si>
  <si>
    <t>8186.txt</t>
  </si>
  <si>
    <t>Garland Stone Fireplace with Ashes#stockings #eveHomeMarker</t>
  </si>
  <si>
    <t>带灰烬的花环石壁炉#stockings #eveHomeMarker</t>
  </si>
  <si>
    <t>8187.txt</t>
  </si>
  <si>
    <t>Garland Stone Fireplace with Burning Tinder#stockings #eveHomeMarker</t>
  </si>
  <si>
    <t>带燃烧火种的花环石壁炉#stockings #eveHomeMarker</t>
  </si>
  <si>
    <t>8188.txt</t>
  </si>
  <si>
    <t>@ Empty Fireplace</t>
  </si>
  <si>
    <t>8189.txt</t>
  </si>
  <si>
    <t>@ Stone Fireplace</t>
  </si>
  <si>
    <t>8190.txt</t>
  </si>
  <si>
    <t>@ Stone Fireplace with Ashes</t>
  </si>
  <si>
    <t>8191.txt</t>
  </si>
  <si>
    <t>@ Stone Fireplace with Burning Tinder</t>
  </si>
  <si>
    <t>8192.txt</t>
  </si>
  <si>
    <t>@ Stone Fireplace with Hot Coals</t>
  </si>
  <si>
    <t>8193.txt</t>
  </si>
  <si>
    <t>@ Stone Fireplace with Kindling</t>
  </si>
  <si>
    <t>8194.txt</t>
  </si>
  <si>
    <t>@ Stone Fireplace with Kindling Tinder</t>
  </si>
  <si>
    <t>8195.txt</t>
  </si>
  <si>
    <t>@ Stone Fireplace with Smoldering Tinder</t>
  </si>
  <si>
    <t>8196.txt</t>
  </si>
  <si>
    <t>@ Garland Wall</t>
  </si>
  <si>
    <t>8197.txt</t>
  </si>
  <si>
    <t>@ Plain Wall</t>
  </si>
  <si>
    <t>8198.txt</t>
  </si>
  <si>
    <t>@ Removed Garland Wall</t>
  </si>
  <si>
    <t>8199.txt</t>
  </si>
  <si>
    <t>Windowed Stone Wall with Detached Garland</t>
  </si>
  <si>
    <t>带独立花环的带窗石墙</t>
  </si>
  <si>
    <t>8200.txt</t>
  </si>
  <si>
    <t>Windowed Ancient Stone Wall with Detached Garland</t>
  </si>
  <si>
    <t>带独立花环的带窗古代石墙</t>
  </si>
  <si>
    <t>8201.txt</t>
  </si>
  <si>
    <t>Stone Arch with Detached Garland</t>
  </si>
  <si>
    <t>带独立花环的石拱门</t>
  </si>
  <si>
    <t>8202.txt</t>
  </si>
  <si>
    <t>Stone Wall with Double Shelf and Detached Garland# +noBackAccess +useOnContained</t>
  </si>
  <si>
    <t>带双架子和独立花环的石墙# +noBackAccess +useOnContained</t>
  </si>
  <si>
    <t>8203.txt</t>
  </si>
  <si>
    <t>Ancient Stone Wall with Shelf and Detached Garland# +noBackAccess +useOnContained</t>
  </si>
  <si>
    <t>带架子和独立花环的古代石墙# +noBackAccess +useOnContained</t>
  </si>
  <si>
    <t>8204.txt</t>
  </si>
  <si>
    <t>Ancient Stone Wall with Double Shelf and Detached Garland# +noBackAccess +useOnContained</t>
  </si>
  <si>
    <t>带双架子和独立花环的古代石墙# +noBackAccess +useOnContained</t>
  </si>
  <si>
    <t>8205.txt</t>
  </si>
  <si>
    <t>Stone Wall with Shelf and Detached Garland# +noBackAccess +useOnContained</t>
  </si>
  <si>
    <t>带架子和独立花环的石墙# +noBackAccess +useOnContained</t>
  </si>
  <si>
    <t>8206.txt</t>
  </si>
  <si>
    <t>Stone Wall with Detached Garland</t>
  </si>
  <si>
    <t>带独立花环的石墙</t>
  </si>
  <si>
    <t>8207.txt</t>
  </si>
  <si>
    <t>Half Stone Wall with Detached Garland</t>
  </si>
  <si>
    <t>带独立花环的半石墙</t>
  </si>
  <si>
    <t>8208.txt</t>
  </si>
  <si>
    <t>Ancient Stone Wall with Detached Garland</t>
  </si>
  <si>
    <t>古老的石墙与独立的花环</t>
  </si>
  <si>
    <t>8209.txt</t>
  </si>
  <si>
    <t>Ancient Half Stone Wall with Detached Garland</t>
  </si>
  <si>
    <t>古老的半石墙与独立的花环</t>
  </si>
  <si>
    <t>8210.txt</t>
  </si>
  <si>
    <t>Garland #just removed</t>
  </si>
  <si>
    <t>花环#just removed</t>
  </si>
  <si>
    <t>8211.txt</t>
  </si>
  <si>
    <t>Empty Stone Fireplace with Detached Garland #eveHomeMarker</t>
  </si>
  <si>
    <t>带有独立花环的空石壁炉#eveHomeMarker</t>
  </si>
  <si>
    <t>8213.txt</t>
  </si>
  <si>
    <t>Empty Garland Stone Fireplace#removed stocking #eveHomeMarker</t>
  </si>
  <si>
    <t>空的花环石壁炉#removed stocking #eveHomeMarker</t>
  </si>
  <si>
    <t>8214.txt</t>
  </si>
  <si>
    <t>Empty Garland Stone Fireplace#removed stockings #eveHomeMarker</t>
  </si>
  <si>
    <t>空花环石壁炉#removed stockings #eveHomeMarker</t>
  </si>
  <si>
    <t>8215.txt</t>
  </si>
  <si>
    <t>Light Wooden Door with Plain Wreath# Installed</t>
  </si>
  <si>
    <t>浅色木门，带素色花环# Installed</t>
  </si>
  <si>
    <t>8216.txt</t>
  </si>
  <si>
    <t>Wooden Door with Plain Wreath# Installed</t>
  </si>
  <si>
    <t>已安装素色花环的木门# Installed</t>
  </si>
  <si>
    <t>8217.txt</t>
  </si>
  <si>
    <t>Dark Wooden Door with Plain Wreath# Installed</t>
  </si>
  <si>
    <t>深色木门，带素色花环# Installed</t>
  </si>
  <si>
    <t>8218.txt</t>
  </si>
  <si>
    <t>Light Wooden Door with Berry Wreath# Installed</t>
  </si>
  <si>
    <t>已安装浆果花环# Installed</t>
  </si>
  <si>
    <t>8219.txt</t>
  </si>
  <si>
    <t>Wooden Door with Berry Wreath# Installed</t>
  </si>
  <si>
    <t>已安装浆果花环的木门# Installed</t>
  </si>
  <si>
    <t>8220.txt</t>
  </si>
  <si>
    <t>Dark Wooden Door with Berry Wreath# Installed</t>
  </si>
  <si>
    <t>安装有浆果花环的深色木门# Installed</t>
  </si>
  <si>
    <t>8221.txt</t>
  </si>
  <si>
    <t>Plain Covered Wreath</t>
  </si>
  <si>
    <t>素色花环</t>
  </si>
  <si>
    <t>8222.txt</t>
  </si>
  <si>
    <t>Covered Berry Wreath</t>
  </si>
  <si>
    <t>覆盖浆果花环</t>
  </si>
  <si>
    <t>8223.txt</t>
  </si>
  <si>
    <t>Light Wooden Door with Rose Wreath# Installed</t>
  </si>
  <si>
    <t>已安装玫瑰花环的浅色木门# Installed</t>
  </si>
  <si>
    <t>8224.txt</t>
  </si>
  <si>
    <t>Wooden Door with Rose Wreath# Installed</t>
  </si>
  <si>
    <t>已安装玫瑰花环的木门# Installed</t>
  </si>
  <si>
    <t>8225.txt</t>
  </si>
  <si>
    <t>Dark Wooden Door with Rose Wreath# Installed</t>
  </si>
  <si>
    <t>已安装玫瑰花环的深色木门# Installed</t>
  </si>
  <si>
    <t>8226.txt</t>
  </si>
  <si>
    <t>Open Light Wooden Door with Plain Wreath# installed</t>
  </si>
  <si>
    <t>打开装有普通花环# installed</t>
  </si>
  <si>
    <t>8227.txt</t>
  </si>
  <si>
    <t>Open Dark Wooden Door with Plain Wreath# installed</t>
  </si>
  <si>
    <t>打开安装有普通花环# installed</t>
  </si>
  <si>
    <t>8228.txt</t>
  </si>
  <si>
    <t>Open Wooden Door with Plain Wreath# installed</t>
  </si>
  <si>
    <t>打开装有普通花圈# installed</t>
  </si>
  <si>
    <t>8229.txt</t>
  </si>
  <si>
    <t>Shears with Plain Wreath</t>
  </si>
  <si>
    <t>带有朴素花环的剪刀</t>
  </si>
  <si>
    <t>8230.txt</t>
  </si>
  <si>
    <t>Shears with Rose Wreath</t>
  </si>
  <si>
    <t>带玫瑰花环的剪刀</t>
  </si>
  <si>
    <t>8231.txt</t>
  </si>
  <si>
    <t>Shears with Berry Wreath</t>
  </si>
  <si>
    <t>带有浆果花环的剪刀</t>
  </si>
  <si>
    <t>8232.txt</t>
  </si>
  <si>
    <t>Shears with Bell Wreath</t>
  </si>
  <si>
    <t>带铃花环的剪刀</t>
  </si>
  <si>
    <t>8233.txt</t>
  </si>
  <si>
    <t>Open Light Wooden Door with Bell Wreath# installed</t>
  </si>
  <si>
    <t>打开装有铃花环# installed</t>
  </si>
  <si>
    <t>8234.txt</t>
  </si>
  <si>
    <t>Open Dark Wooden Door with Bell Wreath# installed</t>
  </si>
  <si>
    <t>打开安装了铃花环# installed</t>
  </si>
  <si>
    <t>8235.txt</t>
  </si>
  <si>
    <t>Open Wooden Door with Bell Wreath# installed</t>
  </si>
  <si>
    <t>打开装有铃花圈# installed</t>
  </si>
  <si>
    <t>8236.txt</t>
  </si>
  <si>
    <t>Open Light Wooden Door with Berry Wreath# installed</t>
  </si>
  <si>
    <t>打开装有 Berry Wreath# installed</t>
  </si>
  <si>
    <t>8237.txt</t>
  </si>
  <si>
    <t>Open Dark Wooden Door with Berry Wreath# installed</t>
  </si>
  <si>
    <t>打开安装有浆果花环# installed</t>
  </si>
  <si>
    <t>8238.txt</t>
  </si>
  <si>
    <t>Open Wooden Door with Berry Wreath# installed</t>
  </si>
  <si>
    <t>8239.txt</t>
  </si>
  <si>
    <t>Open Light Wooden Door with Rose Wreath# installed</t>
  </si>
  <si>
    <t>打开装有玫瑰花环# installed</t>
  </si>
  <si>
    <t>8240.txt</t>
  </si>
  <si>
    <t>Open Dark Wooden Door with Rose Wreath# installed</t>
  </si>
  <si>
    <t>打开安装有玫瑰花环# installed</t>
  </si>
  <si>
    <t>8241.txt</t>
  </si>
  <si>
    <t>Open Wooden Door with Rose Wreath# installed</t>
  </si>
  <si>
    <t>8242.txt</t>
  </si>
  <si>
    <t>Dyed Paper #green</t>
  </si>
  <si>
    <t>染色纸#green</t>
  </si>
  <si>
    <t>8243.txt</t>
  </si>
  <si>
    <t>Stack of Green Dyed Paper</t>
  </si>
  <si>
    <t>一叠绿色染色纸</t>
  </si>
  <si>
    <t>8244.txt</t>
  </si>
  <si>
    <t>Open Present #just made</t>
  </si>
  <si>
    <t>打开礼物#just made</t>
  </si>
  <si>
    <t>8245.txt</t>
  </si>
  <si>
    <t>Destroyed Present</t>
  </si>
  <si>
    <t>毁坏的礼物</t>
  </si>
  <si>
    <t>8247.txt</t>
  </si>
  <si>
    <t>Bowl of Cookie Dough</t>
  </si>
  <si>
    <t>一碗饼干面团</t>
  </si>
  <si>
    <t>8248.txt</t>
  </si>
  <si>
    <t>Flat Rock with Cookie Dough</t>
  </si>
  <si>
    <t>平石饼干面团</t>
  </si>
  <si>
    <t>8249.txt</t>
  </si>
  <si>
    <t>Flat Rock with Shaped Cookie Dough</t>
  </si>
  <si>
    <t>扁平岩石与成型饼干面团</t>
  </si>
  <si>
    <t>8250.txt</t>
  </si>
  <si>
    <t>Flat Rock with Topped Cookie Dough</t>
  </si>
  <si>
    <t>平石配上饼干面团</t>
  </si>
  <si>
    <t>8251.txt</t>
  </si>
  <si>
    <t>Plate of Uncooked Cookies</t>
  </si>
  <si>
    <t>一盘未煮熟的饼干</t>
  </si>
  <si>
    <t>8252.txt</t>
  </si>
  <si>
    <t>Plate of Cooked Cookies</t>
  </si>
  <si>
    <t>一盘煮熟的饼干</t>
  </si>
  <si>
    <t>8253.txt</t>
  </si>
  <si>
    <t>Cooked Cookie</t>
  </si>
  <si>
    <t>熟饼干</t>
  </si>
  <si>
    <t>8254.txt</t>
  </si>
  <si>
    <t>Plate of Cooked Cookies #just made</t>
  </si>
  <si>
    <t>一盘煮熟的饼干#just made</t>
  </si>
  <si>
    <t>8255.txt</t>
  </si>
  <si>
    <t>Christmas Lights</t>
  </si>
  <si>
    <t>圣诞彩灯</t>
  </si>
  <si>
    <t>8256.txt</t>
  </si>
  <si>
    <t>Christmas Lights Pile #4</t>
  </si>
  <si>
    <t>圣诞灯堆#4</t>
  </si>
  <si>
    <t>8257.txt</t>
  </si>
  <si>
    <t>Christmas Lights Pile #3</t>
  </si>
  <si>
    <t>圣诞灯堆#3</t>
  </si>
  <si>
    <t>8258.txt</t>
  </si>
  <si>
    <t>Christmas Lights Pile #2</t>
  </si>
  <si>
    <t>圣诞灯堆#2</t>
  </si>
  <si>
    <t>8259.txt</t>
  </si>
  <si>
    <t>Decorated Christmas Tree</t>
  </si>
  <si>
    <t>装饰圣诞树</t>
  </si>
  <si>
    <t>8260.txt</t>
  </si>
  <si>
    <t>Decorated Christmas Tree #bell</t>
  </si>
  <si>
    <t>装饰圣诞树#bell</t>
  </si>
  <si>
    <t>8261.txt</t>
  </si>
  <si>
    <t>Stone Arch with Garland and Lights</t>
  </si>
  <si>
    <t>带花环和灯光的石拱门</t>
  </si>
  <si>
    <t>8262.txt</t>
  </si>
  <si>
    <t>Stone Arch with Garland Lights Removed</t>
  </si>
  <si>
    <t>移除花环灯的石拱门</t>
  </si>
  <si>
    <t>8263.txt</t>
  </si>
  <si>
    <t>Stone Arch Lights Removed</t>
  </si>
  <si>
    <t>石拱门灯已拆除</t>
  </si>
  <si>
    <t>8264.txt</t>
  </si>
  <si>
    <t>Quiver</t>
  </si>
  <si>
    <t>颤动</t>
  </si>
  <si>
    <t>8265.txt</t>
  </si>
  <si>
    <t>Quiver with Arrows</t>
  </si>
  <si>
    <t>带箭的箭袋</t>
  </si>
  <si>
    <t>8266.txt</t>
  </si>
  <si>
    <t>Quiver with Arrows and Bow</t>
  </si>
  <si>
    <t>带箭和弓的箭袋</t>
  </si>
  <si>
    <t>8267.txt</t>
  </si>
  <si>
    <t>Quiver with Bow</t>
  </si>
  <si>
    <t>箭袋与弓</t>
  </si>
  <si>
    <t>8269.txt</t>
  </si>
  <si>
    <t>Cowboy Hat</t>
  </si>
  <si>
    <t>牛仔帽</t>
  </si>
  <si>
    <t>8270.txt</t>
  </si>
  <si>
    <t>Black Cowboy Hat</t>
  </si>
  <si>
    <t>黑色牛仔帽</t>
  </si>
  <si>
    <t>8271.txt</t>
  </si>
  <si>
    <t>Broken Arrow#just pulled</t>
  </si>
  <si>
    <t>断箭#just pulled</t>
  </si>
  <si>
    <t>8272.txt</t>
  </si>
  <si>
    <t>Perhaps a Broken Arrow</t>
  </si>
  <si>
    <t>也许是断箭</t>
  </si>
  <si>
    <t>8273.txt</t>
  </si>
  <si>
    <t>Perhaps Boar Hit</t>
  </si>
  <si>
    <t>也许是野猪击中</t>
  </si>
  <si>
    <t>8275.txt</t>
  </si>
  <si>
    <t>Wild Boar #arrow missed</t>
  </si>
  <si>
    <t>野猪#arrow missed</t>
  </si>
  <si>
    <t>8276.txt</t>
  </si>
  <si>
    <t>Arrow#just left</t>
  </si>
  <si>
    <t>箭头#just left</t>
  </si>
  <si>
    <t>8277.txt</t>
  </si>
  <si>
    <t>Wild Boar with Piglet #arrow missed</t>
  </si>
  <si>
    <t>野猪与小猪#arrow missed</t>
  </si>
  <si>
    <t>8278.txt</t>
  </si>
  <si>
    <t>Perhaps Boar with Piglet Hit</t>
  </si>
  <si>
    <t>也许野猪被小猪击中</t>
  </si>
  <si>
    <t>8279.txt</t>
  </si>
  <si>
    <t>Turkey #arrow missed</t>
  </si>
  <si>
    <t>土耳其#arrow missed</t>
  </si>
  <si>
    <t>8280.txt</t>
  </si>
  <si>
    <t>Perhaps Turkey Hit</t>
  </si>
  <si>
    <t>也许是土耳其袭击</t>
  </si>
  <si>
    <t>8281.txt</t>
  </si>
  <si>
    <t>Grizzly Bear #arrow missed</t>
  </si>
  <si>
    <t>灰熊#arrow missed</t>
  </si>
  <si>
    <t>8282.txt</t>
  </si>
  <si>
    <t>Shot Grizzly Bear#1 arrow missed</t>
  </si>
  <si>
    <t>射击灰熊#1 arrow missed</t>
  </si>
  <si>
    <t>8283.txt</t>
  </si>
  <si>
    <t>Shot Grizzly Bear#2 arrow missed</t>
  </si>
  <si>
    <t>射击灰熊#2 arrow missed</t>
  </si>
  <si>
    <t>8284.txt</t>
  </si>
  <si>
    <t>Perhaps Bear Hit</t>
  </si>
  <si>
    <t>也许是熊击中</t>
  </si>
  <si>
    <t>8285.txt</t>
  </si>
  <si>
    <t>Perhaps Bear 1 Arrow Hit</t>
  </si>
  <si>
    <t>也许熊 1 箭命中</t>
  </si>
  <si>
    <t>8286.txt</t>
  </si>
  <si>
    <t>Perhaps Bear 2 Arrow Hit</t>
  </si>
  <si>
    <t>也许熊2箭命中</t>
  </si>
  <si>
    <t>8287.txt</t>
  </si>
  <si>
    <t>Wolf #arrow missed</t>
  </si>
  <si>
    <t>狼#arrow missed</t>
  </si>
  <si>
    <t>8288.txt</t>
  </si>
  <si>
    <t>Perhaps Wolf Hit</t>
  </si>
  <si>
    <t>或许是狼来袭</t>
  </si>
  <si>
    <t>8289.txt</t>
  </si>
  <si>
    <t>Dead Potted Balsam Sapling</t>
  </si>
  <si>
    <t>死盆栽香脂树苗</t>
  </si>
  <si>
    <t>8290.txt</t>
  </si>
  <si>
    <t>Chopped Potted Balsam</t>
  </si>
  <si>
    <t>切碎的盆栽香脂</t>
  </si>
  <si>
    <t>8291.txt</t>
  </si>
  <si>
    <t>Angry Bison</t>
  </si>
  <si>
    <t>愤怒的野牛</t>
  </si>
  <si>
    <t>8292.txt</t>
  </si>
  <si>
    <t>Perhaps Bison Hit</t>
  </si>
  <si>
    <t>也许野牛击中了</t>
  </si>
  <si>
    <t>8293.txt</t>
  </si>
  <si>
    <t>Bison #arrow missed</t>
  </si>
  <si>
    <t>野牛#arrow missed</t>
  </si>
  <si>
    <t>8295.txt</t>
  </si>
  <si>
    <t>Puncture Wound</t>
  </si>
  <si>
    <t>刺伤</t>
  </si>
  <si>
    <t>8296.txt</t>
  </si>
  <si>
    <t>Angry Shot Bison</t>
  </si>
  <si>
    <t>愤怒的射击野牛</t>
  </si>
  <si>
    <t>8297.txt</t>
  </si>
  <si>
    <t>Angry Shot Bison#arrow missed</t>
  </si>
  <si>
    <t>愤怒的射击野牛#arrow missed</t>
  </si>
  <si>
    <t>8298.txt</t>
  </si>
  <si>
    <t>Perhaps Shot Bison Hit</t>
  </si>
  <si>
    <t>可能是野牛被枪击中</t>
  </si>
  <si>
    <t>8301.txt</t>
  </si>
  <si>
    <t>Angry Wild Boar</t>
  </si>
  <si>
    <t>愤怒的野猪</t>
  </si>
  <si>
    <t>8302.txt</t>
  </si>
  <si>
    <t>Abandoned Piglet with Arrow</t>
  </si>
  <si>
    <t>被遗弃的带箭小猪</t>
  </si>
  <si>
    <t>8304.txt</t>
  </si>
  <si>
    <t>Mouflon#arrow missed</t>
  </si>
  <si>
    <t>欧洲盘羊#arrow missed</t>
  </si>
  <si>
    <t>8305.txt</t>
  </si>
  <si>
    <t>Perhaps Mouflon Hit</t>
  </si>
  <si>
    <t>也许是欧洲盘羊击中</t>
  </si>
  <si>
    <t>8306.txt</t>
  </si>
  <si>
    <t>Mouflon with Lamb#arrow missed</t>
  </si>
  <si>
    <t>欧洲盘羊羊肉#arrow missed</t>
  </si>
  <si>
    <t>8307.txt</t>
  </si>
  <si>
    <t>Perhaps Mouflon with Lamb Hit</t>
  </si>
  <si>
    <t>也许是欧洲盘羊配羔羊肉</t>
  </si>
  <si>
    <t>8308.txt</t>
  </si>
  <si>
    <t>Angry Wolf</t>
  </si>
  <si>
    <t>愤怒的狼</t>
  </si>
  <si>
    <t>8309.txt</t>
  </si>
  <si>
    <t>Abandoned Calf with Arrow</t>
  </si>
  <si>
    <t>被遗弃的带箭小牛</t>
  </si>
  <si>
    <t>8310.txt</t>
  </si>
  <si>
    <t>Bison with Calf#arrow missed</t>
  </si>
  <si>
    <t>野牛与小牛#arrow missed</t>
  </si>
  <si>
    <t>8311.txt</t>
  </si>
  <si>
    <t>Shot Bison with Calf#arrow missed</t>
  </si>
  <si>
    <t>用小牛射击野牛#arrow missed</t>
  </si>
  <si>
    <t>8312.txt</t>
  </si>
  <si>
    <t>Perhaps Bison with Calf Hit</t>
  </si>
  <si>
    <t>也许是野牛击中了小牛</t>
  </si>
  <si>
    <t>8313.txt</t>
  </si>
  <si>
    <t>Perhaps Shot Bison with Calf Hit</t>
  </si>
  <si>
    <t>可能射中野牛并击中小牛</t>
  </si>
  <si>
    <t>8314.txt</t>
  </si>
  <si>
    <t>Angry Bison with Calf</t>
  </si>
  <si>
    <t>愤怒的野牛与小牛</t>
  </si>
  <si>
    <t>8315.txt</t>
  </si>
  <si>
    <t>Angry Shot Bison with Calf</t>
  </si>
  <si>
    <t>愤怒的射杀野牛与小牛</t>
  </si>
  <si>
    <t>8317.txt</t>
  </si>
  <si>
    <t>带绳的红豆杉轴</t>
  </si>
  <si>
    <t>8318.txt</t>
  </si>
  <si>
    <t>带绳子的木桩</t>
  </si>
  <si>
    <t>8320.txt</t>
  </si>
  <si>
    <t>8321.txt</t>
  </si>
  <si>
    <t>Reed Backpack</t>
  </si>
  <si>
    <t>芦苇背包</t>
  </si>
  <si>
    <t>8322.txt</t>
  </si>
  <si>
    <t>Broken Reed Backpack</t>
  </si>
  <si>
    <t>断芦苇背包</t>
  </si>
  <si>
    <t>8325.txt</t>
  </si>
  <si>
    <t>Reed Bundle with Basket</t>
  </si>
  <si>
    <t>带篮子的芦苇束</t>
  </si>
  <si>
    <t>8327.txt</t>
  </si>
  <si>
    <t>Brick Wall</t>
  </si>
  <si>
    <t>砖墙</t>
  </si>
  <si>
    <t>8328.txt</t>
  </si>
  <si>
    <t>Brick Wall# +useOnContained</t>
  </si>
  <si>
    <t>砖墙# +useOnContained</t>
  </si>
  <si>
    <t>8329.txt</t>
  </si>
  <si>
    <t>8330.txt</t>
  </si>
  <si>
    <t>Brick Floor</t>
  </si>
  <si>
    <t>砖地板</t>
  </si>
  <si>
    <t>8333.txt</t>
  </si>
  <si>
    <t>Smithing Hammer #just repaired</t>
  </si>
  <si>
    <t>锻造锤#just repaired</t>
  </si>
  <si>
    <t>8334.txt</t>
  </si>
  <si>
    <t>Bow Saw#just repaired</t>
  </si>
  <si>
    <t>弓锯#just repaired</t>
  </si>
  <si>
    <t>8335.txt</t>
  </si>
  <si>
    <t>Steel Chisel#just repaired</t>
  </si>
  <si>
    <t>钢凿子#just repaired</t>
  </si>
  <si>
    <t>8336.txt</t>
  </si>
  <si>
    <t>Shears#just repaired</t>
  </si>
  <si>
    <t>剪刀#just repaired</t>
  </si>
  <si>
    <t>8337.txt</t>
  </si>
  <si>
    <t>Pitchfork#just repaired</t>
  </si>
  <si>
    <t>干草叉#just repaired</t>
  </si>
  <si>
    <t>8338.txt</t>
  </si>
  <si>
    <t>Black Blacksmith Apron</t>
  </si>
  <si>
    <t>黑色铁匠围裙</t>
  </si>
  <si>
    <t>8339.txt</t>
  </si>
  <si>
    <t>Black Blacksmith Apron#with hammer</t>
  </si>
  <si>
    <t>黑色铁匠围裙#with hammer</t>
  </si>
  <si>
    <t>8340.txt</t>
  </si>
  <si>
    <t>Leather Sheets</t>
  </si>
  <si>
    <t>皮革床单</t>
  </si>
  <si>
    <t>8341.txt</t>
  </si>
  <si>
    <t>Leather Sheet</t>
  </si>
  <si>
    <t>皮革片</t>
  </si>
  <si>
    <t>8342.txt</t>
  </si>
  <si>
    <t>Four Pieces of Cut Leather Sheet</t>
  </si>
  <si>
    <t>四块切割皮革片</t>
  </si>
  <si>
    <t>8343.txt</t>
  </si>
  <si>
    <t>Two Pieces of Cut Leather Sheet</t>
  </si>
  <si>
    <t>两块切割皮革片</t>
  </si>
  <si>
    <t>8344.txt</t>
  </si>
  <si>
    <t>Two Full and Two Cut Leather Sheets</t>
  </si>
  <si>
    <t>两张全皮和两张切割皮</t>
  </si>
  <si>
    <t>8345.txt</t>
  </si>
  <si>
    <t>Flat Bread Table</t>
  </si>
  <si>
    <t>平面包桌</t>
  </si>
  <si>
    <t>8346.txt</t>
  </si>
  <si>
    <t>@ Floor Material</t>
  </si>
  <si>
    <t>8347.txt</t>
  </si>
  <si>
    <t>@ Placed Floor</t>
  </si>
  <si>
    <t>8348.txt</t>
  </si>
  <si>
    <t>@ Floor Interaction Item</t>
  </si>
  <si>
    <t>8350.txt</t>
  </si>
  <si>
    <t>Marked Grave with Written Paper# origGrave &amp;written</t>
  </si>
  <si>
    <t>用书面纸标记坟墓# origGrave &amp;written</t>
  </si>
  <si>
    <t>8351.txt</t>
  </si>
  <si>
    <t>Written Grave with Written Paper and Chisel# writting origGrave &amp;written</t>
  </si>
  <si>
    <t>用书面纸和凿子书写的坟墓# writting origGrave &amp;written</t>
  </si>
  <si>
    <t>8352.txt</t>
  </si>
  <si>
    <t>Written Grave# origGrave &amp;written +clickToRead</t>
  </si>
  <si>
    <t>书面坟墓# origGrave &amp;written +clickToRead</t>
  </si>
  <si>
    <t>8353.txt</t>
  </si>
  <si>
    <t>Written Grave with Written Paper# origGrave &amp;written</t>
  </si>
  <si>
    <t>用书面纸写的坟墓# origGrave &amp;written</t>
  </si>
  <si>
    <t>8354.txt</t>
  </si>
  <si>
    <t>Marked Grave with Written Paper and Chisel# origGrave &amp;written</t>
  </si>
  <si>
    <t>用书面纸和凿子标记坟墓# origGrave &amp;written</t>
  </si>
  <si>
    <t>8355.txt</t>
  </si>
  <si>
    <t>Spit Roast Frame</t>
  </si>
  <si>
    <t>吐烤架</t>
  </si>
  <si>
    <t>8356.txt</t>
  </si>
  <si>
    <t>Fire with Spit Roast Frame</t>
  </si>
  <si>
    <t>火与烤架</t>
  </si>
  <si>
    <t>8357.txt</t>
  </si>
  <si>
    <t>Clay and Soil Box</t>
  </si>
  <si>
    <t>粘土和土壤盒</t>
  </si>
  <si>
    <t>8358.txt</t>
  </si>
  <si>
    <t>Wet Soil and Clay Mixture in Box</t>
  </si>
  <si>
    <t>盒装湿土和粘土混合物</t>
  </si>
  <si>
    <t>8359.txt</t>
  </si>
  <si>
    <t>Clay Bowl with Brick Mixture</t>
  </si>
  <si>
    <t>粘土碗与砖混合物</t>
  </si>
  <si>
    <t>8360.txt</t>
  </si>
  <si>
    <t>Flat Rock with Brick Mixture</t>
  </si>
  <si>
    <t>扁平岩石与砖混合物</t>
  </si>
  <si>
    <t>8361.txt</t>
  </si>
  <si>
    <t>Flat Rock with Wet Shaped Brick</t>
  </si>
  <si>
    <t>扁石湿形砖</t>
  </si>
  <si>
    <t>8362.txt</t>
  </si>
  <si>
    <t>Brick in Wooden Tongs</t>
  </si>
  <si>
    <t>木钳中的砖</t>
  </si>
  <si>
    <t>8363.txt</t>
  </si>
  <si>
    <t>Wet Brick in Wooden Tongs</t>
  </si>
  <si>
    <t>木钳中的湿砖</t>
  </si>
  <si>
    <t>8364.txt</t>
  </si>
  <si>
    <t>Wet Brick</t>
  </si>
  <si>
    <t>湿砖</t>
  </si>
  <si>
    <t>8365.txt</t>
  </si>
  <si>
    <t>Stack of Wet Bricks</t>
  </si>
  <si>
    <t>一堆湿砖</t>
  </si>
  <si>
    <t>8366.txt</t>
  </si>
  <si>
    <t>Stack of Bricks</t>
  </si>
  <si>
    <t>一堆砖</t>
  </si>
  <si>
    <t>8367.txt</t>
  </si>
  <si>
    <t>Brick</t>
  </si>
  <si>
    <t>砖</t>
  </si>
  <si>
    <t>8368.txt</t>
  </si>
  <si>
    <t>Flat Rock with Compressed Brick</t>
  </si>
  <si>
    <t>扁平岩石与压缩砖</t>
  </si>
  <si>
    <t>8369.txt</t>
  </si>
  <si>
    <t>Floor Stakes with Bricks</t>
  </si>
  <si>
    <t>带砖的地桩</t>
  </si>
  <si>
    <t>8372.txt</t>
  </si>
  <si>
    <t>North-South Wall Stakes with Bricks</t>
  </si>
  <si>
    <t>南北墙砖桩</t>
  </si>
  <si>
    <t>8373.txt</t>
  </si>
  <si>
    <t>Corner Wall Stakes with Bricks</t>
  </si>
  <si>
    <t>带砖的角墙桩</t>
  </si>
  <si>
    <t>8374.txt</t>
  </si>
  <si>
    <t>East-West Wall Stakes with Bricks</t>
  </si>
  <si>
    <t>东西墙砖桩</t>
  </si>
  <si>
    <t>8375.txt</t>
  </si>
  <si>
    <t>Wooden Box with Removed Note# &amp;written</t>
  </si>
  <si>
    <t>已删除注释的木盒# &amp;written</t>
  </si>
  <si>
    <t>8376.txt</t>
  </si>
  <si>
    <t>Large Wooden Box with Removed Note# &amp;written</t>
  </si>
  <si>
    <t>大木箱，带已删除的注释# &amp;written</t>
  </si>
  <si>
    <t>8377.txt</t>
  </si>
  <si>
    <t>Large Wooden Slot Box with Removed Note# &amp;written</t>
  </si>
  <si>
    <t>大型木制投币盒，带已删除的注释# &amp;written</t>
  </si>
  <si>
    <t>8378.txt</t>
  </si>
  <si>
    <t>Wooden Slot Box with Removed Note# &amp;written</t>
  </si>
  <si>
    <t>已删除注释的木制老虎盒# &amp;written</t>
  </si>
  <si>
    <t>8379.txt</t>
  </si>
  <si>
    <t>Soil-filled Reed Backpack</t>
  </si>
  <si>
    <t>充满土壤的芦苇背包</t>
  </si>
  <si>
    <t>8380.txt</t>
  </si>
  <si>
    <t>Glued Paper with Charcoal Writing# &amp;written</t>
  </si>
  <si>
    <t>木炭书写胶纸# &amp;written</t>
  </si>
  <si>
    <t>8381.txt</t>
  </si>
  <si>
    <t>Stack of Bone Needles</t>
  </si>
  <si>
    <t>一堆骨针</t>
  </si>
  <si>
    <t>8382.txt</t>
  </si>
  <si>
    <t>Leather Boot</t>
  </si>
  <si>
    <t>皮靴</t>
  </si>
  <si>
    <t>8383.txt</t>
  </si>
  <si>
    <t>Mouflon Fur Loincloth</t>
  </si>
  <si>
    <t>欧洲盘羊毛皮腰带</t>
  </si>
  <si>
    <t>8385.txt</t>
  </si>
  <si>
    <t>Stone Block with Writing# &amp;written</t>
  </si>
  <si>
    <t>有文字的石块# &amp;written</t>
  </si>
  <si>
    <t>8386.txt</t>
  </si>
  <si>
    <t>Stone Block with Written Paper# &amp;written</t>
  </si>
  <si>
    <t>写有纸的石块# &amp;written</t>
  </si>
  <si>
    <t>8387.txt</t>
  </si>
  <si>
    <t>Stone Block with Written Paper and Chisel# &amp;written</t>
  </si>
  <si>
    <t>带有书面纸和凿子的石块# &amp;written</t>
  </si>
  <si>
    <t>8388.txt</t>
  </si>
  <si>
    <t>Stone Block with Writing and Written Paper with Chisel# &amp;written</t>
  </si>
  <si>
    <t>带书写的石块和带凿子的书面纸# &amp;written</t>
  </si>
  <si>
    <t>8389.txt</t>
  </si>
  <si>
    <t>Stone Block with Writing and Written Paper# &amp;written</t>
  </si>
  <si>
    <t>有文字和书面纸的石块# &amp;written</t>
  </si>
  <si>
    <t>8390.txt</t>
  </si>
  <si>
    <t>Stone Block with Writing# &amp;written +passToRead</t>
  </si>
  <si>
    <t>带文字的石块# &amp;written +passToRead</t>
  </si>
  <si>
    <t>8391.txt</t>
  </si>
  <si>
    <t xml:space="preserve">@ Unsealed Crucible </t>
  </si>
  <si>
    <t>@ Unsealed Crucible</t>
  </si>
  <si>
    <t>8392.txt</t>
  </si>
  <si>
    <t xml:space="preserve">@ Sealed Crucible </t>
  </si>
  <si>
    <t>@ Sealed Crucible</t>
  </si>
  <si>
    <t>8393.txt</t>
  </si>
  <si>
    <t>Long Straight Shaft #extinguished</t>
  </si>
  <si>
    <t>长直轴#extinguished</t>
  </si>
  <si>
    <t>8394.txt</t>
  </si>
  <si>
    <t>Springy Light Wooden Door</t>
  </si>
  <si>
    <t>弹性浅色木门</t>
  </si>
  <si>
    <t>8395.txt</t>
  </si>
  <si>
    <t>Springy Light Wooden Door# Installed +autoDefaultTrans +blocksMoving</t>
  </si>
  <si>
    <t>弹性浅色木门# Installed +autoDefaultTrans +blocksMoving</t>
  </si>
  <si>
    <t>8396.txt</t>
  </si>
  <si>
    <t>Springy Open Light Wooden Door# installed +blocksMoving</t>
  </si>
  <si>
    <t>弹性开放式浅色木门# installed +blocksMoving</t>
  </si>
  <si>
    <t>8397.txt</t>
  </si>
  <si>
    <t>Springy Dark Wooden Door</t>
  </si>
  <si>
    <t>弹性深色木门</t>
  </si>
  <si>
    <t>8398.txt</t>
  </si>
  <si>
    <t>Springy Dark Wooden Door# Installed +autoDefaultTrans +blocksMoving</t>
  </si>
  <si>
    <t>弹性深色木门# Installed +autoDefaultTrans +blocksMoving</t>
  </si>
  <si>
    <t>8399.txt</t>
  </si>
  <si>
    <t>Springy Open Dark Wooden Door# installed +blocksMoving</t>
  </si>
  <si>
    <t>弹性打开深色木门# installed +blocksMoving</t>
  </si>
  <si>
    <t>8400.txt</t>
  </si>
  <si>
    <t>Wooden Wall with Shelf# +noBackAccess +useOnContained</t>
  </si>
  <si>
    <t>带架子的木墙# +noBackAccess +useOnContained</t>
  </si>
  <si>
    <t>8401.txt</t>
  </si>
  <si>
    <t>Wooden Wall with Double Shelf# +noBackAccess +useOnContained</t>
  </si>
  <si>
    <t>带双架子的木墙# +noBackAccess +useOnContained</t>
  </si>
  <si>
    <t>8402.txt</t>
  </si>
  <si>
    <t>Plaster Wall with Shelf# +noBackAccess +useOnContained</t>
  </si>
  <si>
    <t>带架子的石膏墙# +noBackAccess +useOnContained</t>
  </si>
  <si>
    <t>8403.txt</t>
  </si>
  <si>
    <t>Plaster Wall with Double Shelf# +noBackAccess +useOnContained</t>
  </si>
  <si>
    <t>带双架子的石膏墙# +noBackAccess +useOnContained</t>
  </si>
  <si>
    <t>8404.txt</t>
  </si>
  <si>
    <t>Red Plaster Wall with Shelf# +noBackAccess +useOnContained</t>
  </si>
  <si>
    <t>带架子的红色石膏墙# +noBackAccess +useOnContained</t>
  </si>
  <si>
    <t>8405.txt</t>
  </si>
  <si>
    <t>Red Plaster Wall with Double Shelf# +noBackAccess +useOnContained</t>
  </si>
  <si>
    <t>带双架子的红色石膏墙# +noBackAccess +useOnContained</t>
  </si>
  <si>
    <t>8406.txt</t>
  </si>
  <si>
    <t>Blue Plaster Wall with Shelf# +noBackAccess +useOnContained</t>
  </si>
  <si>
    <t>带架子的蓝色石膏墙# +noBackAccess +useOnContained</t>
  </si>
  <si>
    <t>8407.txt</t>
  </si>
  <si>
    <t>Blue Plaster Wall with Double Shelf# +noBackAccess +useOnContained</t>
  </si>
  <si>
    <t>带双架子的蓝色石膏墙# +noBackAccess +useOnContained</t>
  </si>
  <si>
    <t>8408.txt</t>
  </si>
  <si>
    <t>Green Plaster Wall with Shelf# +noBackAccess +useOnContained</t>
  </si>
  <si>
    <t>带架子的绿色石膏墙# +noBackAccess +useOnContained</t>
  </si>
  <si>
    <t>8409.txt</t>
  </si>
  <si>
    <t>Green Plaster Wall with Double Shelf# +noBackAccess +useOnContained</t>
  </si>
  <si>
    <t>带双架子的绿色石膏墙# +noBackAccess +useOnContained</t>
  </si>
  <si>
    <t>8410.txt</t>
  </si>
  <si>
    <t>Yellow Plaster Wall with Shelf# +noBackAccess +useOnContained</t>
  </si>
  <si>
    <t>带架子的黄色石膏墙# +noBackAccess +useOnContained</t>
  </si>
  <si>
    <t>8411.txt</t>
  </si>
  <si>
    <t>Yellow Plaster Wall with Double Shelf# +noBackAccess +useOnContained</t>
  </si>
  <si>
    <t>带双架子的黄色石膏墙# +noBackAccess +useOnContained</t>
  </si>
  <si>
    <t>8412.txt</t>
  </si>
  <si>
    <t>Black Plaster Wall with Double Shelf# +noBackAccess +useOnContained</t>
  </si>
  <si>
    <t>带双架子的黑色石膏墙# +noBackAccess +useOnContained</t>
  </si>
  <si>
    <t>8413.txt</t>
  </si>
  <si>
    <t>Black Plaster Wall with Shelf# +noBackAccess +useOnContained</t>
  </si>
  <si>
    <t>带架子的黑色石膏墙# +noBackAccess +useOnContained</t>
  </si>
  <si>
    <t>8414.txt</t>
  </si>
  <si>
    <t>Brick Wall with Shelf# +noBackAccess +useOnContained</t>
  </si>
  <si>
    <t>带架子的砖墙# +noBackAccess +useOnContained</t>
  </si>
  <si>
    <t>8415.txt</t>
  </si>
  <si>
    <t>Brick Wall with Double Shelf# +noBackAccess +useOnContained</t>
  </si>
  <si>
    <t>带双架子的砖墙# +noBackAccess +useOnContained</t>
  </si>
  <si>
    <t>8416.txt</t>
  </si>
  <si>
    <t>Dark Wooden Wall with Shelf# +noBackAccess +useOnContained</t>
  </si>
  <si>
    <t>带架子的深色木墙# +noBackAccess +useOnContained</t>
  </si>
  <si>
    <t>8417.txt</t>
  </si>
  <si>
    <t>Dark Wooden Wall with Double Shelf# +noBackAccess +useOnContained</t>
  </si>
  <si>
    <t>带双架子的深色木墙# +noBackAccess +useOnContained</t>
  </si>
  <si>
    <t>8419.txt</t>
  </si>
  <si>
    <t>Light Wooden Wall with Shelf# +noBackAccess +useOnContained</t>
  </si>
  <si>
    <t>带架子的浅色木墙# +noBackAccess +useOnContained</t>
  </si>
  <si>
    <t>8420.txt</t>
  </si>
  <si>
    <t>Light Wooden Wall with Double Shelf# +noBackAccess +useOnContained</t>
  </si>
  <si>
    <t>带双架子的浅色木墙# +noBackAccess +useOnContained</t>
  </si>
  <si>
    <t>8421.txt</t>
  </si>
  <si>
    <t>Wooden Wall with Boards</t>
  </si>
  <si>
    <t>带木板的木墙</t>
  </si>
  <si>
    <t>8422.txt</t>
  </si>
  <si>
    <t>Wooden Wall with Big Stack of Boards</t>
  </si>
  <si>
    <t>有大堆木板的木墙</t>
  </si>
  <si>
    <t>8423.txt</t>
  </si>
  <si>
    <t>Light Wooden Wall with Big Stack of Boards</t>
  </si>
  <si>
    <t>轻木墙与大堆木板</t>
  </si>
  <si>
    <t>8424.txt</t>
  </si>
  <si>
    <t>Light Wooden Wall with Boards</t>
  </si>
  <si>
    <t>带木板的浅色木墙</t>
  </si>
  <si>
    <t>8425.txt</t>
  </si>
  <si>
    <t>Dark Wooden Wall with Big Stack of Boards</t>
  </si>
  <si>
    <t>有大堆木板的深色木墙</t>
  </si>
  <si>
    <t>8426.txt</t>
  </si>
  <si>
    <t>Dark Wooden Wall with Boards</t>
  </si>
  <si>
    <t>带木板的深色木墙</t>
  </si>
  <si>
    <t>8427.txt</t>
  </si>
  <si>
    <t>Brick Wall with Boards</t>
  </si>
  <si>
    <t>带板的砖墙</t>
  </si>
  <si>
    <t>8428.txt</t>
  </si>
  <si>
    <t>Brick Wall with Big Stack of Boards</t>
  </si>
  <si>
    <t>有大堆板的砖墙</t>
  </si>
  <si>
    <t>8429.txt</t>
  </si>
  <si>
    <t>Black Plaster Wall with Boards</t>
  </si>
  <si>
    <t>带板的黑色石膏墙</t>
  </si>
  <si>
    <t>8430.txt</t>
  </si>
  <si>
    <t>Black Plaster Wall with Big Stack of Boards</t>
  </si>
  <si>
    <t>黑色石膏墙与大堆板</t>
  </si>
  <si>
    <t>8431.txt</t>
  </si>
  <si>
    <t>Yellow Plaster Wall with Big Stack of Boards</t>
  </si>
  <si>
    <t>黄色石膏墙与大堆板</t>
  </si>
  <si>
    <t>8432.txt</t>
  </si>
  <si>
    <t>Yellow Plaster Wall with Boards</t>
  </si>
  <si>
    <t>带板的黄色石膏墙</t>
  </si>
  <si>
    <t>8433.txt</t>
  </si>
  <si>
    <t>Green Plaster Wall with Big Stack of Boards</t>
  </si>
  <si>
    <t>绿色石膏墙与大堆板</t>
  </si>
  <si>
    <t>8434.txt</t>
  </si>
  <si>
    <t>Green Plaster Wall with Boards</t>
  </si>
  <si>
    <t>带板的绿色石膏墙</t>
  </si>
  <si>
    <t>8435.txt</t>
  </si>
  <si>
    <t>Blue Plaster Wall with Big Stack of Boards</t>
  </si>
  <si>
    <t>蓝色石膏墙与大堆板</t>
  </si>
  <si>
    <t>8436.txt</t>
  </si>
  <si>
    <t>Blue Plaster Wall with Boards</t>
  </si>
  <si>
    <t>带板的蓝色石膏墙</t>
  </si>
  <si>
    <t>8437.txt</t>
  </si>
  <si>
    <t>Red Plaster Wall with Big Stack of Boards</t>
  </si>
  <si>
    <t>红色石膏墙与大堆板</t>
  </si>
  <si>
    <t>8438.txt</t>
  </si>
  <si>
    <t>Red Plaster Wall with Boards</t>
  </si>
  <si>
    <t>带板的红色石膏墙</t>
  </si>
  <si>
    <t>8439.txt</t>
  </si>
  <si>
    <t>Plaster Wall with Big Stack of Boards</t>
  </si>
  <si>
    <t>石膏墙与大堆板</t>
  </si>
  <si>
    <t>8440.txt</t>
  </si>
  <si>
    <t>Plaster Wall with Boards</t>
  </si>
  <si>
    <t>带板的石膏墙</t>
  </si>
  <si>
    <t>8443.txt</t>
  </si>
  <si>
    <t>@ Potential Shelf Wall</t>
  </si>
  <si>
    <t>8444.txt</t>
  </si>
  <si>
    <t>@ Single Shelf Wall</t>
  </si>
  <si>
    <t>8445.txt</t>
  </si>
  <si>
    <t>@ Removed Single Shelf Wall</t>
  </si>
  <si>
    <t>8446.txt</t>
  </si>
  <si>
    <t>@ Double Shelf Wall</t>
  </si>
  <si>
    <t>8447.txt</t>
  </si>
  <si>
    <t>@ Removed Double Single Shelf Wall</t>
  </si>
  <si>
    <t>8448.txt</t>
  </si>
  <si>
    <t>@ Any Board Color</t>
  </si>
  <si>
    <t>8449.txt</t>
  </si>
  <si>
    <t>石墙上的大标牌</t>
  </si>
  <si>
    <t>8450.txt</t>
  </si>
  <si>
    <t>古老石墙上的大标志</t>
  </si>
  <si>
    <t>8451.txt</t>
  </si>
  <si>
    <t>Nails</t>
  </si>
  <si>
    <t>指甲</t>
  </si>
  <si>
    <t>8452.txt</t>
  </si>
  <si>
    <t>Pile of Nails</t>
  </si>
  <si>
    <t>一堆钉子</t>
  </si>
  <si>
    <t>8453.txt</t>
  </si>
  <si>
    <t>Clay Bowl of Nails</t>
  </si>
  <si>
    <t>粘土碗钉子</t>
  </si>
  <si>
    <t>8454.txt</t>
  </si>
  <si>
    <t>Smithing Hammer and Nails</t>
  </si>
  <si>
    <t>锻造锤和钉子</t>
  </si>
  <si>
    <t>8455.txt</t>
  </si>
  <si>
    <t>Pile of Nails #dumped</t>
  </si>
  <si>
    <t>一堆钉子#dumped</t>
  </si>
  <si>
    <t>8456.txt</t>
  </si>
  <si>
    <t>Full Bucket of Water#just extinguished</t>
  </si>
  <si>
    <t>满桶水#just extinguished</t>
  </si>
  <si>
    <t>8457.txt</t>
  </si>
  <si>
    <t>有板的古老石墙</t>
  </si>
  <si>
    <t>8458.txt</t>
  </si>
  <si>
    <t>Ancient Stone Wall with Board Stack</t>
  </si>
  <si>
    <t>古老的石墙与板堆</t>
  </si>
  <si>
    <t>8459.txt</t>
  </si>
  <si>
    <t>Ancient Stone Wall with Loose Small Sign</t>
  </si>
  <si>
    <t>古老的石墙，有松散的小标志</t>
  </si>
  <si>
    <t>8460.txt</t>
  </si>
  <si>
    <t>Ancient Stone Wall with Loose Big Sign</t>
  </si>
  <si>
    <t>古老的石墙与松散的大标志</t>
  </si>
  <si>
    <t>8461.txt</t>
  </si>
  <si>
    <t>Stone Wall with Loose Small Sign</t>
  </si>
  <si>
    <t>带有松散小标志的石墙</t>
  </si>
  <si>
    <t>8462.txt</t>
  </si>
  <si>
    <t>Stone Wall with Loose Big Sign</t>
  </si>
  <si>
    <t>石墙与松散的大标志</t>
  </si>
  <si>
    <t>8463.txt</t>
  </si>
  <si>
    <t>8464.txt</t>
  </si>
  <si>
    <t>8465.txt</t>
  </si>
  <si>
    <t>8466.txt</t>
  </si>
  <si>
    <t>8467.txt</t>
  </si>
  <si>
    <t>8468.txt</t>
  </si>
  <si>
    <t>古老石墙上的小标志</t>
  </si>
  <si>
    <t>8470.txt</t>
  </si>
  <si>
    <t>Wrought Iron with Chisel</t>
  </si>
  <si>
    <t>带凿子的锻铁</t>
  </si>
  <si>
    <t>8471.txt</t>
  </si>
  <si>
    <t>Pile of Nails with Chisel</t>
  </si>
  <si>
    <t>一堆钉子用凿子</t>
  </si>
  <si>
    <t>8472.txt</t>
  </si>
  <si>
    <t>Wooden Wall with Boards#just placed</t>
  </si>
  <si>
    <t>带木板的木墙#just placed</t>
  </si>
  <si>
    <t>8473.txt</t>
  </si>
  <si>
    <t>Wooden Wall with Big Stack of Boards#just placed</t>
  </si>
  <si>
    <t>木墙与大堆木板#just placed</t>
  </si>
  <si>
    <t>8474.txt</t>
  </si>
  <si>
    <t>Light Wooden Wall with Big Stack of Boards#just placed</t>
  </si>
  <si>
    <t>轻木墙与大堆木板#just placed</t>
  </si>
  <si>
    <t>8475.txt</t>
  </si>
  <si>
    <t>Light Wooden Wall with Boards#just placed</t>
  </si>
  <si>
    <t>带木板的浅色木墙#just placed</t>
  </si>
  <si>
    <t>8476.txt</t>
  </si>
  <si>
    <t>Dark Wooden Wall with Big Stack of Boards#just placed</t>
  </si>
  <si>
    <t>深色木墙，有一大堆木板#just placed</t>
  </si>
  <si>
    <t>8477.txt</t>
  </si>
  <si>
    <t>Dark Wooden Wall with Boards#just placed</t>
  </si>
  <si>
    <t>带木板的深色木墙#just placed</t>
  </si>
  <si>
    <t>8478.txt</t>
  </si>
  <si>
    <t>Brick Wall with Boards#just placed</t>
  </si>
  <si>
    <t>带木板的砖墙#just placed</t>
  </si>
  <si>
    <t>8479.txt</t>
  </si>
  <si>
    <t>Brick Wall with Big Stack of Boards#just placed</t>
  </si>
  <si>
    <t>砖墙与大堆木板#just placed</t>
  </si>
  <si>
    <t>8480.txt</t>
  </si>
  <si>
    <t>Black Plaster Wall with Boards#just placed</t>
  </si>
  <si>
    <t>带板的黑色石膏墙#just placed</t>
  </si>
  <si>
    <t>8481.txt</t>
  </si>
  <si>
    <t>Black Plaster Wall with Big Stack of Boards#just placed</t>
  </si>
  <si>
    <t>黑色石膏墙与大堆木板#just placed</t>
  </si>
  <si>
    <t>8482.txt</t>
  </si>
  <si>
    <t>Yellow Plaster Wall with Big Stack of Boards#just placed</t>
  </si>
  <si>
    <t>黄色石膏墙，有一大堆木板#just placed</t>
  </si>
  <si>
    <t>8483.txt</t>
  </si>
  <si>
    <t>Yellow Plaster Wall with Boards#just placed</t>
  </si>
  <si>
    <t>带板的黄色石膏墙#just placed</t>
  </si>
  <si>
    <t>8484.txt</t>
  </si>
  <si>
    <t>Green Plaster Wall with Big Stack of Boards#just placed</t>
  </si>
  <si>
    <t>绿色石膏墙与大堆木板#just placed</t>
  </si>
  <si>
    <t>8485.txt</t>
  </si>
  <si>
    <t>Green Plaster Wall with Boards#just placed</t>
  </si>
  <si>
    <t>带板的绿色石膏墙#just placed</t>
  </si>
  <si>
    <t>8486.txt</t>
  </si>
  <si>
    <t>Blue Plaster Wall with Big Stack of Boards#just placed</t>
  </si>
  <si>
    <t>蓝色石膏墙与大堆木板#just placed</t>
  </si>
  <si>
    <t>8487.txt</t>
  </si>
  <si>
    <t>Blue Plaster Wall with Boards#just placed</t>
  </si>
  <si>
    <t>带板的蓝色石膏墙#just placed</t>
  </si>
  <si>
    <t>8488.txt</t>
  </si>
  <si>
    <t>Red Plaster Wall with Big Stack of Boards#just placed</t>
  </si>
  <si>
    <t>红色石膏墙与大堆木板#just placed</t>
  </si>
  <si>
    <t>8489.txt</t>
  </si>
  <si>
    <t>Red Plaster Wall with Boards#just placed</t>
  </si>
  <si>
    <t>带板的红色石膏墙#just placed</t>
  </si>
  <si>
    <t>8490.txt</t>
  </si>
  <si>
    <t>Plaster Wall with Big Stack of Boards#just placed</t>
  </si>
  <si>
    <t>石膏墙与大堆木板#just placed</t>
  </si>
  <si>
    <t>8491.txt</t>
  </si>
  <si>
    <t>Plaster Wall with Boards#just placed</t>
  </si>
  <si>
    <t>带板的石膏墙#just placed</t>
  </si>
  <si>
    <t>8492.txt</t>
  </si>
  <si>
    <t>Ancient Stone Wall with Big Stack of Boards#just placed</t>
  </si>
  <si>
    <t>古老的石墙与大堆木板#just placed</t>
  </si>
  <si>
    <t>8493.txt</t>
  </si>
  <si>
    <t>Stone Wall with Big Stack of Boards#just placed</t>
  </si>
  <si>
    <t>石墙与大堆木板#just placed</t>
  </si>
  <si>
    <t>8494.txt</t>
  </si>
  <si>
    <t>Ancient Stone Wall with Boards#just placed</t>
  </si>
  <si>
    <t>古老的石墙与木板#just placed</t>
  </si>
  <si>
    <t>8495.txt</t>
  </si>
  <si>
    <t>Stone Wall with Boards#just placed</t>
  </si>
  <si>
    <t>带木板的石墙#just placed</t>
  </si>
  <si>
    <t>8496.txt</t>
  </si>
  <si>
    <t>@ Single Board Wall</t>
  </si>
  <si>
    <t>8497.txt</t>
  </si>
  <si>
    <t>@ Double Board Wall</t>
  </si>
  <si>
    <t>8498.txt</t>
  </si>
  <si>
    <t>Fire with Spit Roast Pig</t>
  </si>
  <si>
    <t>火烤猪</t>
  </si>
  <si>
    <t>8499.txt</t>
  </si>
  <si>
    <t>8501.txt</t>
  </si>
  <si>
    <t>8502.txt</t>
  </si>
  <si>
    <t>Ashes with Spit Roast Pig</t>
  </si>
  <si>
    <t>灰烬烤猪</t>
  </si>
  <si>
    <t>8503.txt</t>
  </si>
  <si>
    <t>Cooked Pig on Flat Rock</t>
  </si>
  <si>
    <t>平岩上的熟猪</t>
  </si>
  <si>
    <t>8504.txt</t>
  </si>
  <si>
    <t>Sliced Cooked Pig with Baked Potato on Flat Rock</t>
  </si>
  <si>
    <t>平石烤土豆片熟猪</t>
  </si>
  <si>
    <t>8505.txt</t>
  </si>
  <si>
    <t>Roast Pig Dinner on Flat Rock</t>
  </si>
  <si>
    <t>平岩烤猪晚餐</t>
  </si>
  <si>
    <t>8506.txt</t>
  </si>
  <si>
    <t>Dead Pig on Flat Rock</t>
  </si>
  <si>
    <t>平坦岩石上的死猪</t>
  </si>
  <si>
    <t>8507.txt</t>
  </si>
  <si>
    <t>Pig with Apple on Flat Rock</t>
  </si>
  <si>
    <t>平板岩石上的苹果猪</t>
  </si>
  <si>
    <t>8508.txt</t>
  </si>
  <si>
    <t>Spitroast Kit</t>
  </si>
  <si>
    <t>Spitroast 套件</t>
  </si>
  <si>
    <t>8509.txt</t>
  </si>
  <si>
    <t>Tripods</t>
  </si>
  <si>
    <t>8510.txt</t>
  </si>
  <si>
    <t>Ashes with Spit Roast Frame</t>
  </si>
  <si>
    <t>带烤架的灰烬</t>
  </si>
  <si>
    <t>8511.txt</t>
  </si>
  <si>
    <t>Basket of Baked Potatoes</t>
  </si>
  <si>
    <t>一篮子烤土豆</t>
  </si>
  <si>
    <t>8512.txt</t>
  </si>
  <si>
    <t>Roast Pig Dinner on Plate</t>
  </si>
  <si>
    <t>盘子里的烤猪晚餐</t>
  </si>
  <si>
    <t>8513.txt</t>
  </si>
  <si>
    <t>Mashed Potato on Plate</t>
  </si>
  <si>
    <t>盘子里的土豆泥</t>
  </si>
  <si>
    <t>8514.txt</t>
  </si>
  <si>
    <t>Pig Bones on Flat Rock</t>
  </si>
  <si>
    <t>扁平岩石上的猪骨头</t>
  </si>
  <si>
    <t>8515.txt</t>
  </si>
  <si>
    <t>8516.txt</t>
  </si>
  <si>
    <t>Coals with Spit Roast Frame</t>
  </si>
  <si>
    <t>带吐烤架的煤炭</t>
  </si>
  <si>
    <t>8517.txt</t>
  </si>
  <si>
    <t>@ Any Firewood</t>
  </si>
  <si>
    <t>8518.txt</t>
  </si>
  <si>
    <t>@ Any Log</t>
  </si>
  <si>
    <t>8519.txt</t>
  </si>
  <si>
    <t>8520.txt</t>
  </si>
  <si>
    <t>打开栅栏门# +blocksMoving</t>
  </si>
  <si>
    <t>8521.txt</t>
  </si>
  <si>
    <t>轴脱落的栅栏</t>
  </si>
  <si>
    <t>8522.txt</t>
  </si>
  <si>
    <t>@ Horse Hair Source</t>
  </si>
  <si>
    <t>8539.txt</t>
  </si>
  <si>
    <t>@ Any Leaf Tree</t>
  </si>
  <si>
    <t>8540.txt</t>
  </si>
  <si>
    <t>Bowl of Chilli Con Carne# +emotEat_26_10</t>
  </si>
  <si>
    <t>一碗辣椒肉酱# +emotEat_26_10</t>
  </si>
  <si>
    <t>8541.txt</t>
  </si>
  <si>
    <t>Cooking Chilli Con Carne</t>
  </si>
  <si>
    <t>烹饪辣椒酱</t>
  </si>
  <si>
    <t>8542.txt</t>
  </si>
  <si>
    <t>Chilli Con Carne</t>
  </si>
  <si>
    <t>辣酱汤</t>
  </si>
  <si>
    <t>8543.txt</t>
  </si>
  <si>
    <t>Clay Crock with Onion Tomato and Pepper</t>
  </si>
  <si>
    <t>粘土陶罐配洋葱番茄和胡椒</t>
  </si>
  <si>
    <t>8544.txt</t>
  </si>
  <si>
    <t>Clay Crock with Onion Tomato Pepper and Beef</t>
  </si>
  <si>
    <t>粘土陶罐配洋葱、番茄、胡椒和牛肉</t>
  </si>
  <si>
    <t>8545.txt</t>
  </si>
  <si>
    <t>Dry Chilli Con Carne</t>
  </si>
  <si>
    <t>干辣椒酱</t>
  </si>
  <si>
    <t>8546.txt</t>
  </si>
  <si>
    <t>Raw Chilli Con Carne</t>
  </si>
  <si>
    <t>生辣椒酱</t>
  </si>
  <si>
    <t>8547.txt</t>
  </si>
  <si>
    <t>Clay Crock with Onion and Tomato</t>
  </si>
  <si>
    <t>洋葱番茄粘土陶罐</t>
  </si>
  <si>
    <t>8548.txt</t>
  </si>
  <si>
    <t>Clay Crock with Onion</t>
  </si>
  <si>
    <t>洋葱粘土陶罐</t>
  </si>
  <si>
    <t>8549.txt</t>
  </si>
  <si>
    <t>Clay Crock with Onion Tomato Pepper and Pork</t>
  </si>
  <si>
    <t>粘土陶罐配洋葱、番茄、胡椒和猪肉</t>
  </si>
  <si>
    <t>8550.txt</t>
  </si>
  <si>
    <t>Female019 G</t>
  </si>
  <si>
    <t>女019G</t>
  </si>
  <si>
    <t>8551.txt</t>
  </si>
  <si>
    <t>Black Leather Boot</t>
  </si>
  <si>
    <t>黑色皮靴</t>
  </si>
  <si>
    <t>8552.txt</t>
  </si>
  <si>
    <t>Yellow Leather Boot</t>
  </si>
  <si>
    <t>黄色皮靴</t>
  </si>
  <si>
    <t>8553.txt</t>
  </si>
  <si>
    <t>Beagle #donePlaying</t>
  </si>
  <si>
    <t>比格犬#donePlaying</t>
  </si>
  <si>
    <t>8554.txt</t>
  </si>
  <si>
    <t>Airedale #donePlaying</t>
  </si>
  <si>
    <t>艾尔代尔 #donePlaying</t>
  </si>
  <si>
    <t>8555.txt</t>
  </si>
  <si>
    <t>Poodle #donePlaying</t>
  </si>
  <si>
    <t>贵宾犬#donePlaying</t>
  </si>
  <si>
    <t>8556.txt</t>
  </si>
  <si>
    <t>Collie #donePlaying</t>
  </si>
  <si>
    <t>牧羊犬#donePlaying</t>
  </si>
  <si>
    <t>8557.txt</t>
  </si>
  <si>
    <t>Pit Bull #donePlaying</t>
  </si>
  <si>
    <t>斗牛犬 #donePlaying</t>
  </si>
  <si>
    <t>8558.txt</t>
  </si>
  <si>
    <t>Dachshund #donePlaying</t>
  </si>
  <si>
    <t>腊肠犬#donePlaying</t>
  </si>
  <si>
    <t>8559.txt</t>
  </si>
  <si>
    <t>Schnauser #donePlaying</t>
  </si>
  <si>
    <t>雪纳瑟#donePlaying</t>
  </si>
  <si>
    <t>8560.txt</t>
  </si>
  <si>
    <t>German Shepherd #donePlaying</t>
  </si>
  <si>
    <t>德国牧羊犬#donePlaying</t>
  </si>
  <si>
    <t>8561.txt</t>
  </si>
  <si>
    <t>Chihuahua #donePlaying</t>
  </si>
  <si>
    <t>奇瓦瓦#donePlaying</t>
  </si>
  <si>
    <t>8562.txt</t>
  </si>
  <si>
    <t>Old Beagle# just fed</t>
  </si>
  <si>
    <t>老比格犬# just fed</t>
  </si>
  <si>
    <t>8563.txt</t>
  </si>
  <si>
    <t>Old Airedale# just fed</t>
  </si>
  <si>
    <t>老艾尔代尔# just fed</t>
  </si>
  <si>
    <t>8564.txt</t>
  </si>
  <si>
    <t>Old Poodle# just fed</t>
  </si>
  <si>
    <t>老贵宾犬# just fed</t>
  </si>
  <si>
    <t>8565.txt</t>
  </si>
  <si>
    <t>Old Collie# just fed</t>
  </si>
  <si>
    <t>老牧羊犬# just fed</t>
  </si>
  <si>
    <t>8566.txt</t>
  </si>
  <si>
    <t>Old Pit Bull# just fed</t>
  </si>
  <si>
    <t>老斗牛犬# just fed</t>
  </si>
  <si>
    <t>8567.txt</t>
  </si>
  <si>
    <t>Old Dachshund# just fed</t>
  </si>
  <si>
    <t>老腊肠犬# just fed</t>
  </si>
  <si>
    <t>8568.txt</t>
  </si>
  <si>
    <t>Old Schnauser# just fed</t>
  </si>
  <si>
    <t>老雪纳犬# just fed</t>
  </si>
  <si>
    <t>8569.txt</t>
  </si>
  <si>
    <t>Old German Shepherd# just fed</t>
  </si>
  <si>
    <t>老德国牧羊犬# just fed</t>
  </si>
  <si>
    <t>8570.txt</t>
  </si>
  <si>
    <t>Old Chihuahua# just fed</t>
  </si>
  <si>
    <t>老吉娃娃# just fed</t>
  </si>
  <si>
    <t>8571.txt</t>
  </si>
  <si>
    <t>Mushroom</t>
  </si>
  <si>
    <t>蘑菇</t>
  </si>
  <si>
    <t>8572.txt</t>
  </si>
  <si>
    <t>8573.txt</t>
  </si>
  <si>
    <t>8574.txt</t>
  </si>
  <si>
    <t>8575.txt</t>
  </si>
  <si>
    <t>Male024 G</t>
  </si>
  <si>
    <t>男024G</t>
  </si>
  <si>
    <t>8576.txt</t>
  </si>
  <si>
    <t>Green Wool Booty</t>
  </si>
  <si>
    <t>绿色羊毛战利品</t>
  </si>
  <si>
    <t>8577.txt</t>
  </si>
  <si>
    <t>Green Wool Sweater</t>
  </si>
  <si>
    <t>绿色羊毛毛衣</t>
  </si>
  <si>
    <t>8578.txt</t>
  </si>
  <si>
    <t>Tapped Maple Tree with Full Sap Bucket</t>
  </si>
  <si>
    <t>带有满汁液桶的攻丝枫树</t>
  </si>
  <si>
    <t>8579.txt</t>
  </si>
  <si>
    <t>Full Bucket of Maple Sap</t>
  </si>
  <si>
    <t>满桶枫树汁</t>
  </si>
  <si>
    <t>8580.txt</t>
  </si>
  <si>
    <t>Maple Syrup Bottle</t>
  </si>
  <si>
    <t>枫糖浆瓶</t>
  </si>
  <si>
    <t>8581.txt</t>
  </si>
  <si>
    <t>Bowl of Maple Sap</t>
  </si>
  <si>
    <t>一碗枫树液</t>
  </si>
  <si>
    <t>8582.txt</t>
  </si>
  <si>
    <t>Simmering Maple Sap</t>
  </si>
  <si>
    <t>沸腾的枫树汁</t>
  </si>
  <si>
    <t>8583.txt</t>
  </si>
  <si>
    <t>Ashes with Bowl of Maple Syrup</t>
  </si>
  <si>
    <t>灰烬与一碗枫糖浆</t>
  </si>
  <si>
    <t>8584.txt</t>
  </si>
  <si>
    <t>Bowl of Maple Syrup</t>
  </si>
  <si>
    <t>一碗枫糖浆</t>
  </si>
  <si>
    <t>8585.txt</t>
  </si>
  <si>
    <t>Iron Rod with Steel Chisel</t>
  </si>
  <si>
    <t>铁棒与钢凿</t>
  </si>
  <si>
    <t>8586.txt</t>
  </si>
  <si>
    <t>Maple Tap with Steel Chisel</t>
  </si>
  <si>
    <t>带钢凿子的枫木丝锥</t>
  </si>
  <si>
    <t>8587.txt</t>
  </si>
  <si>
    <t>Maple Tap</t>
  </si>
  <si>
    <t>枫木水龙头</t>
  </si>
  <si>
    <t>8588.txt</t>
  </si>
  <si>
    <t>Maple Tree with Maple Tap</t>
  </si>
  <si>
    <t>带枫水龙头的枫树</t>
  </si>
  <si>
    <t>8589.txt</t>
  </si>
  <si>
    <t>Dry Maple Tree with Maple Tap</t>
  </si>
  <si>
    <t>用枫龙头干燥枫树</t>
  </si>
  <si>
    <t>8590.txt</t>
  </si>
  <si>
    <t>Dry Maple Tree</t>
  </si>
  <si>
    <t>干枫树</t>
  </si>
  <si>
    <t>8591.txt</t>
  </si>
  <si>
    <t>Female025 G</t>
  </si>
  <si>
    <t>女025G</t>
  </si>
  <si>
    <t>8592.txt</t>
  </si>
  <si>
    <t>Female026 G</t>
  </si>
  <si>
    <t>女026G</t>
  </si>
  <si>
    <t>8593.txt</t>
  </si>
  <si>
    <t>Male027 G</t>
  </si>
  <si>
    <t>男027G</t>
  </si>
  <si>
    <t>8594.txt</t>
  </si>
  <si>
    <t>Male028 G</t>
  </si>
  <si>
    <t>男028G</t>
  </si>
  <si>
    <t>8595.txt</t>
  </si>
  <si>
    <t>Bowl of Flour and Egg</t>
  </si>
  <si>
    <t>一碗面粉和鸡蛋</t>
  </si>
  <si>
    <t>8596.txt</t>
  </si>
  <si>
    <t>Pancake Mix</t>
  </si>
  <si>
    <t>煎饼粉</t>
  </si>
  <si>
    <t>8597.txt</t>
  </si>
  <si>
    <t>Hot Flat Rock with Pancake</t>
  </si>
  <si>
    <t>热扁岩煎饼</t>
  </si>
  <si>
    <t>8598.txt</t>
  </si>
  <si>
    <t>Stack of Pancakes</t>
  </si>
  <si>
    <t>一堆煎饼</t>
  </si>
  <si>
    <t>8599.txt</t>
  </si>
  <si>
    <t>Stack of Pancakes with Syrup</t>
  </si>
  <si>
    <t>一堆薄煎饼加糖浆</t>
  </si>
  <si>
    <t>8600.txt</t>
  </si>
  <si>
    <t>Hot Flat Rock with Burnt Pancake</t>
  </si>
  <si>
    <t>热扁石配烧焦的煎饼</t>
  </si>
  <si>
    <t>8601.txt</t>
  </si>
  <si>
    <t>Full Stack of Pancakes</t>
  </si>
  <si>
    <t>满满一叠煎饼</t>
  </si>
  <si>
    <t>8602.txt</t>
  </si>
  <si>
    <t>Hot Flat Rock#just used</t>
  </si>
  <si>
    <t>热平岩#just used</t>
  </si>
  <si>
    <t>8603.txt</t>
  </si>
  <si>
    <t>Poipack with Medic Bag</t>
  </si>
  <si>
    <t>带医疗包的 Poipack</t>
  </si>
  <si>
    <t>8604.txt</t>
  </si>
  <si>
    <t>Medic Bag</t>
  </si>
  <si>
    <t>医疗包</t>
  </si>
  <si>
    <t>8605.txt</t>
  </si>
  <si>
    <t>Backpack with Medic Bag</t>
  </si>
  <si>
    <t>带医疗包的背包</t>
  </si>
  <si>
    <t>8606.txt</t>
  </si>
  <si>
    <t>Leather Sheets with Sterile Pad</t>
  </si>
  <si>
    <t>带无菌垫的皮革床单</t>
  </si>
  <si>
    <t>8607.txt</t>
  </si>
  <si>
    <t>@ Self Healing Wound</t>
  </si>
  <si>
    <t>8608.txt</t>
  </si>
  <si>
    <t>Male029 G</t>
  </si>
  <si>
    <t>男029G</t>
  </si>
  <si>
    <t>8609.txt</t>
  </si>
  <si>
    <t>Female030 A</t>
  </si>
  <si>
    <t>女030A</t>
  </si>
  <si>
    <t>8610.txt</t>
  </si>
  <si>
    <t>Female031 A</t>
  </si>
  <si>
    <t>女031A</t>
  </si>
  <si>
    <t>8611.txt</t>
  </si>
  <si>
    <t>Female032 A</t>
  </si>
  <si>
    <t>女032A</t>
  </si>
  <si>
    <t>8612.txt</t>
  </si>
  <si>
    <t>Male033 F</t>
  </si>
  <si>
    <t>男033女</t>
  </si>
  <si>
    <t>8613.txt</t>
  </si>
  <si>
    <t>Male034 F</t>
  </si>
  <si>
    <t>男034女</t>
  </si>
  <si>
    <t>8614.txt</t>
  </si>
  <si>
    <t>Female035 F</t>
  </si>
  <si>
    <t>女035女</t>
  </si>
  <si>
    <t>8615.txt</t>
  </si>
  <si>
    <t>Female036 F</t>
  </si>
  <si>
    <t>女036女</t>
  </si>
  <si>
    <t>8616.txt</t>
  </si>
  <si>
    <t>Female037 F</t>
  </si>
  <si>
    <t>女037女</t>
  </si>
  <si>
    <t>8617.txt</t>
  </si>
  <si>
    <t>Female038 C</t>
  </si>
  <si>
    <t>女038C</t>
  </si>
  <si>
    <t>8618.txt</t>
  </si>
  <si>
    <t>Female039 C</t>
  </si>
  <si>
    <t>女039C</t>
  </si>
  <si>
    <t>8619.txt</t>
  </si>
  <si>
    <t>Female040 G</t>
  </si>
  <si>
    <t>女040G</t>
  </si>
  <si>
    <t>8620.txt</t>
  </si>
  <si>
    <t>Female041 G</t>
  </si>
  <si>
    <t>女041G</t>
  </si>
  <si>
    <t>8621.txt</t>
  </si>
  <si>
    <t>Male042 G</t>
  </si>
  <si>
    <t>男042G</t>
  </si>
  <si>
    <t>8622.txt</t>
  </si>
  <si>
    <t>Male043 A</t>
  </si>
  <si>
    <t>男043A</t>
  </si>
  <si>
    <t>8623.txt</t>
  </si>
  <si>
    <t>Male044 A</t>
  </si>
  <si>
    <t>男044A</t>
  </si>
  <si>
    <t>8624.txt</t>
  </si>
  <si>
    <t>Springy Open Light Wooden Door# installed vert +blocksMoving</t>
  </si>
  <si>
    <t>弹性开启浅色木门# installed vert +blocksMoving</t>
  </si>
  <si>
    <t>8625.txt</t>
  </si>
  <si>
    <t>Springy Open Dark Wooden Door# installed vert +blocksMoving</t>
  </si>
  <si>
    <t>弹性打开深色木门# installed vert +blocksMoving</t>
  </si>
  <si>
    <t>8626.txt</t>
  </si>
  <si>
    <t>Springy Dark Wooden Door# installed vert +autoDefaultTrans +blocksMoving</t>
  </si>
  <si>
    <t>弹性深色木门# installed vert +autoDefaultTrans +blocksMoving</t>
  </si>
  <si>
    <t>8627.txt</t>
  </si>
  <si>
    <t>Springy Light Wooden Door# installed vert +autoDefaultTrans +blocksMoving</t>
  </si>
  <si>
    <t>弹性浅色木门# installed vert +autoDefaultTrans +blocksMoving</t>
  </si>
  <si>
    <t>8628.txt</t>
  </si>
  <si>
    <t>Light Wooden Door# installed vert</t>
  </si>
  <si>
    <t>浅色木门# installed vert</t>
  </si>
  <si>
    <t>8629.txt</t>
  </si>
  <si>
    <t>Dark Wooden Door# installed vert</t>
  </si>
  <si>
    <t>深色木门# installed vert</t>
  </si>
  <si>
    <t>8630.txt</t>
  </si>
  <si>
    <t>Open Light Wooden Door# installed vert</t>
  </si>
  <si>
    <t>打开浅色木门# installed vert</t>
  </si>
  <si>
    <t>8631.txt</t>
  </si>
  <si>
    <t>Open Dark Wooden Door# installed vert</t>
  </si>
  <si>
    <t>打开深色木门# installed vert</t>
  </si>
  <si>
    <t>8632.txt</t>
  </si>
  <si>
    <t>Ancient Brick Wall</t>
  </si>
  <si>
    <t>古砖墙</t>
  </si>
  <si>
    <t>8633.txt</t>
  </si>
  <si>
    <t>Ancient Brick Wall# +useOnContained</t>
  </si>
  <si>
    <t>古砖墙# +useOnContained</t>
  </si>
  <si>
    <t>8634.txt</t>
  </si>
  <si>
    <t>8635.txt</t>
  </si>
  <si>
    <t>Ancient Stone Wall#flagholder</t>
  </si>
  <si>
    <t>古代石墙#flagholder</t>
  </si>
  <si>
    <t>8636.txt</t>
  </si>
  <si>
    <t>Ancient Stone Wall#flagholdefloor</t>
  </si>
  <si>
    <t>古代石墙#flagholdefloor</t>
  </si>
  <si>
    <t>8637.txt</t>
  </si>
  <si>
    <t>Ancient Stone Wall#horseflag</t>
  </si>
  <si>
    <t>古代石墙#horseflag</t>
  </si>
  <si>
    <t>8638.txt</t>
  </si>
  <si>
    <t>Ancient Stone Wall#wolfflag</t>
  </si>
  <si>
    <t>古代石墙#wolfflag</t>
  </si>
  <si>
    <t>8639.txt</t>
  </si>
  <si>
    <t>Ancient Stone Wall#kitchenflag</t>
  </si>
  <si>
    <t>古代石墙#kitchenflag</t>
  </si>
  <si>
    <t>8640.txt</t>
  </si>
  <si>
    <t>Ancient Stone Wall#llamaflag</t>
  </si>
  <si>
    <t>古代石墙#llamaflag</t>
  </si>
  <si>
    <t>8641.txt</t>
  </si>
  <si>
    <t>Ancient Stone Wall#blacksmithflag</t>
  </si>
  <si>
    <t>古代石墙#blacksmithflag</t>
  </si>
  <si>
    <t>8642.txt</t>
  </si>
  <si>
    <t>Ancient Stone Wall#tailorflag</t>
  </si>
  <si>
    <t>古代石墙#tailorflag</t>
  </si>
  <si>
    <t>8643.txt</t>
  </si>
  <si>
    <t>Ancient Stone Wall#bearflag</t>
  </si>
  <si>
    <t>古代石墙#bearflag</t>
  </si>
  <si>
    <t>8644.txt</t>
  </si>
  <si>
    <t>@ AncientFlagWall</t>
  </si>
  <si>
    <t>8645.txt</t>
  </si>
  <si>
    <t>Wooden Wall Structure</t>
  </si>
  <si>
    <t>木墙结构</t>
  </si>
  <si>
    <t>8646.txt</t>
  </si>
  <si>
    <t>Wall Kit</t>
  </si>
  <si>
    <t>墙壁套件</t>
  </si>
  <si>
    <t>8647.txt</t>
  </si>
  <si>
    <t>8648.txt</t>
  </si>
  <si>
    <t>8649.txt</t>
  </si>
  <si>
    <t>Wooden Wall Structure with Boards</t>
  </si>
  <si>
    <t>带板的木墙结构</t>
  </si>
  <si>
    <t>8650.txt</t>
  </si>
  <si>
    <t>8651.txt</t>
  </si>
  <si>
    <t>8652.txt</t>
  </si>
  <si>
    <t>Wooden Wall Structure with Dark Boards</t>
  </si>
  <si>
    <t>带深色板的木墙结构</t>
  </si>
  <si>
    <t>8653.txt</t>
  </si>
  <si>
    <t>8654.txt</t>
  </si>
  <si>
    <t>8655.txt</t>
  </si>
  <si>
    <t>Wooden Wall Structure with Light Boards</t>
  </si>
  <si>
    <t>带灯板的木墙结构</t>
  </si>
  <si>
    <t>8656.txt</t>
  </si>
  <si>
    <t>8657.txt</t>
  </si>
  <si>
    <t>8658.txt</t>
  </si>
  <si>
    <t>Wheelbarrow with Soil</t>
  </si>
  <si>
    <t>有土的独轮车</t>
  </si>
  <si>
    <t>8659.txt</t>
  </si>
  <si>
    <t>8660.txt</t>
  </si>
  <si>
    <t>Soil Pile</t>
  </si>
  <si>
    <t>土桩</t>
  </si>
  <si>
    <t>8661.txt</t>
  </si>
  <si>
    <t>8662.txt</t>
  </si>
  <si>
    <t>Wheelbarrow with Composted Soil</t>
  </si>
  <si>
    <t>堆肥土壤的独轮车</t>
  </si>
  <si>
    <t>8663.txt</t>
  </si>
  <si>
    <t>Wheelbarrow#just emptied</t>
  </si>
  <si>
    <t>独轮车#just emptied</t>
  </si>
  <si>
    <t>8664.txt</t>
  </si>
  <si>
    <t>Sack of Palm Kernels #1</t>
  </si>
  <si>
    <t>一袋棕榈仁 #1</t>
  </si>
  <si>
    <t>8665.txt</t>
  </si>
  <si>
    <t>Sack of Palm Kernels #2</t>
  </si>
  <si>
    <t>一袋棕榈仁 #2</t>
  </si>
  <si>
    <t>8666.txt</t>
  </si>
  <si>
    <t>Sack of Palm Kernels #3</t>
  </si>
  <si>
    <t>一袋棕榈仁 #3</t>
  </si>
  <si>
    <t>8667.txt</t>
  </si>
  <si>
    <t>Sack of Palm Kernels #4</t>
  </si>
  <si>
    <t>一袋棕榈仁 #4</t>
  </si>
  <si>
    <t>8668.txt</t>
  </si>
  <si>
    <t>Sack of Palm Kernels #5</t>
  </si>
  <si>
    <t>一袋棕榈仁 #5</t>
  </si>
  <si>
    <t>8670.txt</t>
  </si>
  <si>
    <t>Wheelbarrow with Bricks #1-5</t>
  </si>
  <si>
    <t>独轮车与砖 #1-5</t>
  </si>
  <si>
    <t>8671.txt</t>
  </si>
  <si>
    <t>Wheelbarrow with Bricks #half full</t>
  </si>
  <si>
    <t>带砖块的独轮车#half full</t>
  </si>
  <si>
    <t>8672.txt</t>
  </si>
  <si>
    <t>Wheelbarrow with Bricks#7-11</t>
  </si>
  <si>
    <t>带砖块的独轮车#7-11</t>
  </si>
  <si>
    <t>8673.txt</t>
  </si>
  <si>
    <t>Wheelbarrow with Bricks#full</t>
  </si>
  <si>
    <t>带砖块的独轮车#full</t>
  </si>
  <si>
    <t>8674.txt</t>
  </si>
  <si>
    <t>Cloth Loincloth</t>
  </si>
  <si>
    <t>布腰带</t>
  </si>
  <si>
    <t>8675.txt</t>
  </si>
  <si>
    <t>Skull Hat</t>
  </si>
  <si>
    <t>骷髅帽</t>
  </si>
  <si>
    <t>8676.txt</t>
  </si>
  <si>
    <t>Female045 G</t>
  </si>
  <si>
    <t>女045G</t>
  </si>
  <si>
    <t>8678.txt</t>
  </si>
  <si>
    <t>Female046 G</t>
  </si>
  <si>
    <t>女046G</t>
  </si>
  <si>
    <t>8679.txt</t>
  </si>
  <si>
    <t>Stone Block#installed</t>
  </si>
  <si>
    <t>石块#installed</t>
  </si>
  <si>
    <t>8680.txt</t>
  </si>
  <si>
    <t>Stone Block with Wheel Barrow#installed</t>
  </si>
  <si>
    <t>带手推车的石块#installed</t>
  </si>
  <si>
    <t>8681.txt</t>
  </si>
  <si>
    <t>Stone Block with Hand Cart#installed</t>
  </si>
  <si>
    <t>8682.txt</t>
  </si>
  <si>
    <t>Stone Block with Wheel Barrow and Wheel#installed</t>
  </si>
  <si>
    <t>带手推车和轮子的石块#installed</t>
  </si>
  <si>
    <t>8683.txt</t>
  </si>
  <si>
    <t>Silver Snake Crown</t>
  </si>
  <si>
    <t>银蛇皇冠</t>
  </si>
  <si>
    <t>8684.txt</t>
  </si>
  <si>
    <t>Long Shaft with Rope</t>
  </si>
  <si>
    <t>带绳长轴</t>
  </si>
  <si>
    <t>8685.txt</t>
  </si>
  <si>
    <t>短轴带绳</t>
  </si>
  <si>
    <t>8686.txt</t>
  </si>
  <si>
    <t>带绳小曲轴</t>
  </si>
  <si>
    <t>8687.txt</t>
  </si>
  <si>
    <t>Stone Block with Wheeled Hand Cart#installed</t>
  </si>
  <si>
    <t>带轮式手推车的石块#installed</t>
  </si>
  <si>
    <t>8688.txt</t>
  </si>
  <si>
    <t>Stone Block with Hand Cart and Tires#installed</t>
  </si>
  <si>
    <t>带手推车和轮胎的石块#installed</t>
  </si>
  <si>
    <t>8689.txt</t>
  </si>
  <si>
    <t>Melting Snow Bank</t>
  </si>
  <si>
    <t>融化的雪堆</t>
  </si>
  <si>
    <t>8690.txt</t>
  </si>
  <si>
    <t>Wheelbarrow with Snow</t>
  </si>
  <si>
    <t>独轮车与雪</t>
  </si>
  <si>
    <t>8691.txt</t>
  </si>
  <si>
    <t>Filled Ice Hole</t>
  </si>
  <si>
    <t>冰洞被填满</t>
  </si>
  <si>
    <t>8692.txt</t>
  </si>
  <si>
    <t>Bear Skin Rug #light</t>
  </si>
  <si>
    <t>熊皮地毯#light</t>
  </si>
  <si>
    <t>8693.txt</t>
  </si>
  <si>
    <t>Bear Skin Rug #dark</t>
  </si>
  <si>
    <t>熊皮地毯#dark</t>
  </si>
  <si>
    <t>8694.txt</t>
  </si>
  <si>
    <t>Boards with Bearskin#light</t>
  </si>
  <si>
    <t>熊皮板#light</t>
  </si>
  <si>
    <t>8695.txt</t>
  </si>
  <si>
    <t>Boards with Bearskin#dark</t>
  </si>
  <si>
    <t>熊皮板#dark</t>
  </si>
  <si>
    <t>8696.txt</t>
  </si>
  <si>
    <t>Wooden Wall#h +useOnContained</t>
  </si>
  <si>
    <t>木墙#h +useOnContained</t>
  </si>
  <si>
    <t>8697.txt</t>
  </si>
  <si>
    <t>Wooden Wall#h light +useOnContained</t>
  </si>
  <si>
    <t>木墙#h light +useOnContained</t>
  </si>
  <si>
    <t>8698.txt</t>
  </si>
  <si>
    <t>Wooden Wall#h dark +useOnContained</t>
  </si>
  <si>
    <t>木墙#h dark +useOnContained</t>
  </si>
  <si>
    <t>8699.txt</t>
  </si>
  <si>
    <t>Wheelbarrow with Wet Bricks#full</t>
  </si>
  <si>
    <t>带湿砖的独轮车#full</t>
  </si>
  <si>
    <t>8700.txt</t>
  </si>
  <si>
    <t>Wheelbarrow with Wet Bricks#7-11</t>
  </si>
  <si>
    <t>湿砖独轮车#7-11</t>
  </si>
  <si>
    <t>8701.txt</t>
  </si>
  <si>
    <t>Wheelbarrow with Wet Bricks #half full</t>
  </si>
  <si>
    <t>带湿砖的独轮车#half full</t>
  </si>
  <si>
    <t>8702.txt</t>
  </si>
  <si>
    <t>Wheelbarrow with Wet Bricks #1-5</t>
  </si>
  <si>
    <t>独轮车与湿砖#1-5</t>
  </si>
  <si>
    <t>8703.txt</t>
  </si>
  <si>
    <t>Disconnected Pulley Drive Mechanism with Rubber Belt</t>
  </si>
  <si>
    <t>带橡胶带的断开滑轮驱动机构</t>
  </si>
  <si>
    <t>8704.txt</t>
  </si>
  <si>
    <t>Disconnected Pulley Drive Mechanism with Timing Belt</t>
  </si>
  <si>
    <t>带同步带的断开皮带轮驱动机构</t>
  </si>
  <si>
    <t>8705.txt</t>
  </si>
  <si>
    <t>Disconnected Pulley Drive Mechanism#just made</t>
  </si>
  <si>
    <t>断开的滑轮驱动机构#just made</t>
  </si>
  <si>
    <t>8706.txt</t>
  </si>
  <si>
    <t>Anvil Block#installed</t>
  </si>
  <si>
    <t>砧座#installed</t>
  </si>
  <si>
    <t>8708.txt</t>
  </si>
  <si>
    <t>Horse Shoe</t>
  </si>
  <si>
    <t>马蹄铁</t>
  </si>
  <si>
    <t>8709.txt</t>
  </si>
  <si>
    <t>Flint Knife</t>
  </si>
  <si>
    <t>燧石刀</t>
  </si>
  <si>
    <t>8710.txt</t>
  </si>
  <si>
    <t>Bronze Mining Pick</t>
  </si>
  <si>
    <t>青铜采矿镐</t>
  </si>
  <si>
    <t>8711.txt</t>
  </si>
  <si>
    <t>Bronze Hoe</t>
  </si>
  <si>
    <t>青铜锄头</t>
  </si>
  <si>
    <t>8712.txt</t>
  </si>
  <si>
    <t>Bronze Axe</t>
  </si>
  <si>
    <t>青铜斧头</t>
  </si>
  <si>
    <t>8713.txt</t>
  </si>
  <si>
    <t>Bronze Froe</t>
  </si>
  <si>
    <t>青铜楔刀</t>
  </si>
  <si>
    <t>8716.txt</t>
  </si>
  <si>
    <t>Ground Hole#noHighlight</t>
  </si>
  <si>
    <t>地洞#noHighlight</t>
  </si>
  <si>
    <t>8717.txt</t>
  </si>
  <si>
    <t>Ground Hole with Stakes#noHighlight</t>
  </si>
  <si>
    <t>带桩的地孔#noHighlight</t>
  </si>
  <si>
    <t>8718.txt</t>
  </si>
  <si>
    <t>Ground Hole with Water#noHighlight</t>
  </si>
  <si>
    <t>有水的地洞#noHighlight</t>
  </si>
  <si>
    <t>8720.txt</t>
  </si>
  <si>
    <t>Melting Snow Bank#2</t>
  </si>
  <si>
    <t>融化的雪堆#2</t>
  </si>
  <si>
    <t>8721.txt</t>
  </si>
  <si>
    <t>Melting Snow Bank#3</t>
  </si>
  <si>
    <t>融化的雪堆#3</t>
  </si>
  <si>
    <t>8722.txt</t>
  </si>
  <si>
    <t>Melting Snow Bank#4</t>
  </si>
  <si>
    <t>融化的雪堆#4</t>
  </si>
  <si>
    <t>8723.txt</t>
  </si>
  <si>
    <t>Melting Snow Bank#5</t>
  </si>
  <si>
    <t>融化的雪堆#5</t>
  </si>
  <si>
    <t>8724.txt</t>
  </si>
  <si>
    <t>Melting Snow Bank#hole</t>
  </si>
  <si>
    <t>融化的雪堆#hole</t>
  </si>
  <si>
    <t>8725.txt</t>
  </si>
  <si>
    <t>Filled Hole +noHighlight</t>
  </si>
  <si>
    <t>填充孔+无高光</t>
  </si>
  <si>
    <t>8726.txt</t>
  </si>
  <si>
    <t>Perhaps a Snow Hole</t>
  </si>
  <si>
    <t>也许是一个雪洞</t>
  </si>
  <si>
    <t>8727.txt</t>
  </si>
  <si>
    <t>Polar Bear</t>
  </si>
  <si>
    <t>北极熊</t>
  </si>
  <si>
    <t>8728.txt</t>
  </si>
  <si>
    <t>Melting Snow Bank#hole polarbear</t>
  </si>
  <si>
    <t>融化的雪堆#hole polarbear</t>
  </si>
  <si>
    <t>8729.txt</t>
  </si>
  <si>
    <t>Melting Snow Bank#hole eyes</t>
  </si>
  <si>
    <t>融化的雪堆#hole eyes</t>
  </si>
  <si>
    <t>8730.txt</t>
  </si>
  <si>
    <t>Melting Snow Bank#hole justleft</t>
  </si>
  <si>
    <t>融化的雪堆#hole justleft</t>
  </si>
  <si>
    <t>8731.txt</t>
  </si>
  <si>
    <t>Polar Bear#attacking</t>
  </si>
  <si>
    <t>北极熊#attacking</t>
  </si>
  <si>
    <t>8732.txt</t>
  </si>
  <si>
    <t>Dead Polar Bear#3</t>
  </si>
  <si>
    <t>死去的北极熊#3</t>
  </si>
  <si>
    <t>8733.txt</t>
  </si>
  <si>
    <t>Dead Polar Bear#2</t>
  </si>
  <si>
    <t>死去的北极熊#2</t>
  </si>
  <si>
    <t>8734.txt</t>
  </si>
  <si>
    <t>Dead Polar Bear#1</t>
  </si>
  <si>
    <t>死去的北极熊#1</t>
  </si>
  <si>
    <t>8735.txt</t>
  </si>
  <si>
    <t>Dead Polar Bear#0</t>
  </si>
  <si>
    <t>死去的北极熊#0</t>
  </si>
  <si>
    <t>8736.txt</t>
  </si>
  <si>
    <t>Shot Polar Bear#3</t>
  </si>
  <si>
    <t>拍摄北极熊#3</t>
  </si>
  <si>
    <t>8737.txt</t>
  </si>
  <si>
    <t>Shot Polar Bear#2</t>
  </si>
  <si>
    <t>拍摄北极熊#2</t>
  </si>
  <si>
    <t>8738.txt</t>
  </si>
  <si>
    <t>Shot Polar Bear#1</t>
  </si>
  <si>
    <t>拍摄北极熊#1</t>
  </si>
  <si>
    <t>8739.txt</t>
  </si>
  <si>
    <t>Shot Polar Bear#3 attacking</t>
  </si>
  <si>
    <t>射击北极熊#3 attacking</t>
  </si>
  <si>
    <t>8740.txt</t>
  </si>
  <si>
    <t>Shot Polar Bear#2 attacking</t>
  </si>
  <si>
    <t>射击北极熊#2 attacking</t>
  </si>
  <si>
    <t>8741.txt</t>
  </si>
  <si>
    <t>Shot Polar Bear#1 attacking</t>
  </si>
  <si>
    <t>射击北极熊#1 attacking</t>
  </si>
  <si>
    <t>8742.txt</t>
  </si>
  <si>
    <t>Perhaps Polar Bear Hit</t>
  </si>
  <si>
    <t>也许是北极熊袭击了</t>
  </si>
  <si>
    <t>8743.txt</t>
  </si>
  <si>
    <t>Perhaps Polar Bear 1 Arrow Hit</t>
  </si>
  <si>
    <t>也许北极熊 1 箭命中</t>
  </si>
  <si>
    <t>8744.txt</t>
  </si>
  <si>
    <t>Perhaps Polar Bear 2 Arrow Hit</t>
  </si>
  <si>
    <t>也许北极熊2箭命中</t>
  </si>
  <si>
    <t>8746.txt</t>
  </si>
  <si>
    <t>Polar Bear#arrow missed</t>
  </si>
  <si>
    <t>北极熊#arrow missed</t>
  </si>
  <si>
    <t>8747.txt</t>
  </si>
  <si>
    <t>Shot Polar Bear#1 arrow missed</t>
  </si>
  <si>
    <t>射击北极熊#1 arrow missed</t>
  </si>
  <si>
    <t>8748.txt</t>
  </si>
  <si>
    <t>Shot Polar Bear#2 arrow missed</t>
  </si>
  <si>
    <t>射击北极熊#2 arrow missed</t>
  </si>
  <si>
    <t>8750.txt</t>
  </si>
  <si>
    <t>Water Hole with Rice Sapling#noHighlight</t>
  </si>
  <si>
    <t>有稻苗的水坑#noHighlight</t>
  </si>
  <si>
    <t>8751.txt</t>
  </si>
  <si>
    <t>8752.txt</t>
  </si>
  <si>
    <t>Water Hole with Rice#noHighlight</t>
  </si>
  <si>
    <t>水坑配米饭#noHighlight</t>
  </si>
  <si>
    <t>8753.txt</t>
  </si>
  <si>
    <t>8754.txt</t>
  </si>
  <si>
    <t>Water Hole with Cut Rice#noHighlight</t>
  </si>
  <si>
    <t>切米水坑#noHighlight</t>
  </si>
  <si>
    <t>8755.txt</t>
  </si>
  <si>
    <t>Threshed Rice</t>
  </si>
  <si>
    <t>脱粒米</t>
  </si>
  <si>
    <t>8756.txt</t>
  </si>
  <si>
    <t>Harvested Rice</t>
  </si>
  <si>
    <t>收获的水稻</t>
  </si>
  <si>
    <t>8757.txt</t>
  </si>
  <si>
    <t>Wilting Rice Plant</t>
  </si>
  <si>
    <t>枯萎的水稻植株</t>
  </si>
  <si>
    <t>8758.txt</t>
  </si>
  <si>
    <t>Bowl of Hulled Rice</t>
  </si>
  <si>
    <t>一碗去壳米饭</t>
  </si>
  <si>
    <t>8759.txt</t>
  </si>
  <si>
    <t>Planted Rice Seeds#noHighlight</t>
  </si>
  <si>
    <t>种植水稻种子#noHighlight</t>
  </si>
  <si>
    <t>8760.txt</t>
  </si>
  <si>
    <t>Bowl of Rice</t>
  </si>
  <si>
    <t>一碗米饭</t>
  </si>
  <si>
    <t>8762.txt</t>
  </si>
  <si>
    <t>Simmering Rice</t>
  </si>
  <si>
    <t>焖饭</t>
  </si>
  <si>
    <t>8763.txt</t>
  </si>
  <si>
    <t>Bowl of Rice with Water</t>
  </si>
  <si>
    <t>一碗米饭加水</t>
  </si>
  <si>
    <t>8764.txt</t>
  </si>
  <si>
    <t>Bowl of Cooked Rice</t>
  </si>
  <si>
    <t>8765.txt</t>
  </si>
  <si>
    <t>Cooked Rice on Hot Coals</t>
  </si>
  <si>
    <t>热煤饭</t>
  </si>
  <si>
    <t>8766.txt</t>
  </si>
  <si>
    <t>Ashes with Bowl of Cooked Rice</t>
  </si>
  <si>
    <t>骨灰配一碗米饭</t>
  </si>
  <si>
    <t>8767.txt</t>
  </si>
  <si>
    <t>Female047 G</t>
  </si>
  <si>
    <t>女047G</t>
  </si>
  <si>
    <t>8768.txt</t>
  </si>
  <si>
    <t>Female048 G</t>
  </si>
  <si>
    <t>女048G</t>
  </si>
  <si>
    <t>8769.txt</t>
  </si>
  <si>
    <t>Male049 G</t>
  </si>
  <si>
    <t>男049G</t>
  </si>
  <si>
    <t>8770.txt</t>
  </si>
  <si>
    <t>Male050 G</t>
  </si>
  <si>
    <t>男050G</t>
  </si>
  <si>
    <t>8771.txt</t>
  </si>
  <si>
    <t>Male051 A</t>
  </si>
  <si>
    <t>男051A</t>
  </si>
  <si>
    <t>8772.txt</t>
  </si>
  <si>
    <t>Male052 A</t>
  </si>
  <si>
    <t>男052A</t>
  </si>
  <si>
    <t>8773.txt</t>
  </si>
  <si>
    <t>Female053 D</t>
  </si>
  <si>
    <t>女053D</t>
  </si>
  <si>
    <t>8774.txt</t>
  </si>
  <si>
    <t>Female054 D</t>
  </si>
  <si>
    <t>女054D</t>
  </si>
  <si>
    <t>8775.txt</t>
  </si>
  <si>
    <t>Male055 D</t>
  </si>
  <si>
    <t>男055D</t>
  </si>
  <si>
    <t>8776.txt</t>
  </si>
  <si>
    <t>Female056 D</t>
  </si>
  <si>
    <t>女056D</t>
  </si>
  <si>
    <t>8777.txt</t>
  </si>
  <si>
    <t>Male057 D</t>
  </si>
  <si>
    <t>男057D</t>
  </si>
  <si>
    <t>8778.txt</t>
  </si>
  <si>
    <t>Female058 C</t>
  </si>
  <si>
    <t>女058C</t>
  </si>
  <si>
    <t>8779.txt</t>
  </si>
  <si>
    <t>Raw Rice</t>
  </si>
  <si>
    <t>生米</t>
  </si>
  <si>
    <t>8780.txt</t>
  </si>
  <si>
    <t>Tipped Bowl of Hulled Rice</t>
  </si>
  <si>
    <t>尖头碗去壳米饭</t>
  </si>
  <si>
    <t>8781.txt</t>
  </si>
  <si>
    <t>Bow Drill with Removed Shaft</t>
  </si>
  <si>
    <t>移除轴的弓钻</t>
  </si>
  <si>
    <t>8782.txt</t>
  </si>
  <si>
    <t>8783.txt</t>
  </si>
  <si>
    <t>Mole Hole#mole</t>
  </si>
  <si>
    <t>鼹鼠洞#mole</t>
  </si>
  <si>
    <t>8784.txt</t>
  </si>
  <si>
    <t>Mole Hole#mole peeking</t>
  </si>
  <si>
    <t>鼹鼠洞#mole peeking</t>
  </si>
  <si>
    <t>8785.txt</t>
  </si>
  <si>
    <t>Perhaps a mole</t>
  </si>
  <si>
    <t>也许是一颗痣</t>
  </si>
  <si>
    <t>8786.txt</t>
  </si>
  <si>
    <t>Mole Hole#whacked</t>
  </si>
  <si>
    <t>鼹鼠洞#whacked</t>
  </si>
  <si>
    <t>8787.txt</t>
  </si>
  <si>
    <t>Mole Hole#worm</t>
  </si>
  <si>
    <t>鼹鼠洞#worm</t>
  </si>
  <si>
    <t>8788.txt</t>
  </si>
  <si>
    <t>Mole Hole#hiding</t>
  </si>
  <si>
    <t>鼹鼠洞#hiding</t>
  </si>
  <si>
    <t>8789.txt</t>
  </si>
  <si>
    <t>8790.txt</t>
  </si>
  <si>
    <t>8791.txt</t>
  </si>
  <si>
    <t>8792.txt</t>
  </si>
  <si>
    <t>Granite Wall</t>
  </si>
  <si>
    <t>花岗岩墙</t>
  </si>
  <si>
    <t>8793.txt</t>
  </si>
  <si>
    <t>Granite Wall# +useOnContained</t>
  </si>
  <si>
    <t>花岗岩墙# +useOnContained</t>
  </si>
  <si>
    <t>8794.txt</t>
  </si>
  <si>
    <t>8795.txt</t>
  </si>
  <si>
    <t>Granite Floor</t>
  </si>
  <si>
    <t>花岗岩地板</t>
  </si>
  <si>
    <t>8796.txt</t>
  </si>
  <si>
    <t>ClownFace</t>
  </si>
  <si>
    <t>小丑脸</t>
  </si>
  <si>
    <t>8797.txt</t>
  </si>
  <si>
    <t>PogMouth</t>
  </si>
  <si>
    <t>波格嘴</t>
  </si>
  <si>
    <t>8798.txt</t>
  </si>
  <si>
    <t>Pog Eyes</t>
  </si>
  <si>
    <t>波格眼</t>
  </si>
  <si>
    <t>8799.txt</t>
  </si>
  <si>
    <t>Cry</t>
  </si>
  <si>
    <t>哭</t>
  </si>
  <si>
    <t>8800.txt</t>
  </si>
  <si>
    <t>TongueMouth</t>
  </si>
  <si>
    <t>舌口</t>
  </si>
  <si>
    <t>8801.txt</t>
  </si>
  <si>
    <t>SleepFace</t>
  </si>
  <si>
    <t>睡脸</t>
  </si>
  <si>
    <t>8802.txt</t>
  </si>
  <si>
    <t>Sleeping Eyes</t>
  </si>
  <si>
    <t>睡眼</t>
  </si>
  <si>
    <t>8803.txt</t>
  </si>
  <si>
    <t>SleepMouth</t>
  </si>
  <si>
    <t>睡嘴</t>
  </si>
  <si>
    <t>8804.txt</t>
  </si>
  <si>
    <t>Broken Love Heart</t>
  </si>
  <si>
    <t>破碎的爱的心</t>
  </si>
  <si>
    <t>8805.txt</t>
  </si>
  <si>
    <t>Roll Eyes</t>
  </si>
  <si>
    <t>翻白眼</t>
  </si>
  <si>
    <t>8806.txt</t>
  </si>
  <si>
    <t>Eyeroll Mouth</t>
  </si>
  <si>
    <t>翻白眼嘴</t>
  </si>
  <si>
    <t>8807.txt</t>
  </si>
  <si>
    <t>Erm Eyes</t>
  </si>
  <si>
    <t>呃眼睛</t>
  </si>
  <si>
    <t>8808.txt</t>
  </si>
  <si>
    <t>starvingTongueMouth</t>
  </si>
  <si>
    <t>饥饿的舌头嘴</t>
  </si>
  <si>
    <t>8809.txt</t>
  </si>
  <si>
    <t>Drunk Eyes</t>
  </si>
  <si>
    <t>醉眼</t>
  </si>
  <si>
    <t>8810.txt</t>
  </si>
  <si>
    <t>Drunk Mouth</t>
  </si>
  <si>
    <t>醉嘴</t>
  </si>
  <si>
    <t>8811.txt</t>
  </si>
  <si>
    <t>Drunk Brows</t>
  </si>
  <si>
    <t>醉眉</t>
  </si>
  <si>
    <t>8812.txt</t>
  </si>
  <si>
    <t>Sour Eyes</t>
  </si>
  <si>
    <t>眼睛发酸</t>
  </si>
  <si>
    <t>8813.txt</t>
  </si>
  <si>
    <t>Sour Mouth</t>
  </si>
  <si>
    <t>嘴酸</t>
  </si>
  <si>
    <t>8814.txt</t>
  </si>
  <si>
    <t>Please Eyes</t>
  </si>
  <si>
    <t>请多多关照</t>
  </si>
  <si>
    <t>8815.txt</t>
  </si>
  <si>
    <t>Please Mouth</t>
  </si>
  <si>
    <t>请用嘴</t>
  </si>
  <si>
    <t>8816.txt</t>
  </si>
  <si>
    <t>Grass Floor# +noHighlight</t>
  </si>
  <si>
    <t>草地板# +noHighlight</t>
  </si>
  <si>
    <t>8817.txt</t>
  </si>
  <si>
    <t>Cow in Grass</t>
  </si>
  <si>
    <t>草丛中的牛</t>
  </si>
  <si>
    <t>8818.txt</t>
  </si>
  <si>
    <t>Cow eating Grass</t>
  </si>
  <si>
    <t>牛吃草</t>
  </si>
  <si>
    <t>8819.txt</t>
  </si>
  <si>
    <t>Alpaca</t>
  </si>
  <si>
    <t>羊驼</t>
  </si>
  <si>
    <t>8820.txt</t>
  </si>
  <si>
    <t>Shorn Alpaca</t>
  </si>
  <si>
    <t>剪毛羊驼</t>
  </si>
  <si>
    <t>8821.txt</t>
  </si>
  <si>
    <t>8822.txt</t>
  </si>
  <si>
    <t>Alpaca Fleece</t>
  </si>
  <si>
    <t>羊驼绒</t>
  </si>
  <si>
    <t>8823.txt</t>
  </si>
  <si>
    <t>Fed Alpaca</t>
  </si>
  <si>
    <t>家养羊驼</t>
  </si>
  <si>
    <t>8824.txt</t>
  </si>
  <si>
    <t>Fed Shorn Alpaca</t>
  </si>
  <si>
    <t>家养剪毛羊驼</t>
  </si>
  <si>
    <t>8825.txt</t>
  </si>
  <si>
    <t>Hungry Baby Alpaca</t>
  </si>
  <si>
    <t>饥饿的羊驼宝宝</t>
  </si>
  <si>
    <t>8826.txt</t>
  </si>
  <si>
    <t>Alpaca with Baby</t>
  </si>
  <si>
    <t>带宝宝的羊驼</t>
  </si>
  <si>
    <t>8827.txt</t>
  </si>
  <si>
    <t>Dead Baby Alpaca</t>
  </si>
  <si>
    <t>死去的羊驼宝宝</t>
  </si>
  <si>
    <t>8828.txt</t>
  </si>
  <si>
    <t>Fed Baby Alpaca</t>
  </si>
  <si>
    <t>喂养羊驼宝宝</t>
  </si>
  <si>
    <t>8829.txt</t>
  </si>
  <si>
    <t>Baby Alpaca</t>
  </si>
  <si>
    <t>羊驼宝宝</t>
  </si>
  <si>
    <t>8830.txt</t>
  </si>
  <si>
    <t>High Eyes</t>
  </si>
  <si>
    <t>高眼</t>
  </si>
  <si>
    <t>8831.txt</t>
  </si>
  <si>
    <t>High Mouth</t>
  </si>
  <si>
    <t>高嘴</t>
  </si>
  <si>
    <t>8832.txt</t>
  </si>
  <si>
    <t>8833.txt</t>
  </si>
  <si>
    <t>8834.txt</t>
  </si>
  <si>
    <t>Cocoa Tree</t>
  </si>
  <si>
    <t>可可树</t>
  </si>
  <si>
    <t>8835.txt</t>
  </si>
  <si>
    <t>Cocoa Tree#fruit</t>
  </si>
  <si>
    <t>可可树#fruit</t>
  </si>
  <si>
    <t>8836.txt</t>
  </si>
  <si>
    <t>Plaster Wall #holder</t>
  </si>
  <si>
    <t>石膏墙#holder</t>
  </si>
  <si>
    <t>8837.txt</t>
  </si>
  <si>
    <t>Dry Planted Beets</t>
  </si>
  <si>
    <t>干种植甜菜</t>
  </si>
  <si>
    <t>8838.txt</t>
  </si>
  <si>
    <t>Wet Planted Beets</t>
  </si>
  <si>
    <t>湿种植甜菜</t>
  </si>
  <si>
    <t>8839.txt</t>
  </si>
  <si>
    <t>Sprouting Beets</t>
  </si>
  <si>
    <t>发芽甜菜</t>
  </si>
  <si>
    <t>8840.txt</t>
  </si>
  <si>
    <t>Sprouted Beets</t>
  </si>
  <si>
    <t>8841.txt</t>
  </si>
  <si>
    <t>Beet</t>
  </si>
  <si>
    <t>甜菜</t>
  </si>
  <si>
    <t>8842.txt</t>
  </si>
  <si>
    <t>Plate of Chopped Beet with Seeds</t>
  </si>
  <si>
    <t>一盘切碎的甜菜种子</t>
  </si>
  <si>
    <t>8843.txt</t>
  </si>
  <si>
    <t>Plate with Beet</t>
  </si>
  <si>
    <t>甜菜板</t>
  </si>
  <si>
    <t>8844.txt</t>
  </si>
  <si>
    <t>Cactus</t>
  </si>
  <si>
    <t>8845.txt</t>
  </si>
  <si>
    <t>8846.txt</t>
  </si>
  <si>
    <t>Aloe Vera</t>
  </si>
  <si>
    <t>芦荟</t>
  </si>
  <si>
    <t>8848.txt</t>
  </si>
  <si>
    <t>Morning Glory</t>
  </si>
  <si>
    <t>喇叭花</t>
  </si>
  <si>
    <t>8850.txt</t>
  </si>
  <si>
    <t>Dug Morning Glory</t>
  </si>
  <si>
    <t>挖牵牛花</t>
  </si>
  <si>
    <t>8851.txt</t>
  </si>
  <si>
    <t>Morning Glory Cutting</t>
  </si>
  <si>
    <t>牵牛花切割</t>
  </si>
  <si>
    <t>8852.txt</t>
  </si>
  <si>
    <t>Shears with Morning Glory Cutting</t>
  </si>
  <si>
    <t>牵牛花剪</t>
  </si>
  <si>
    <t>8853.txt</t>
  </si>
  <si>
    <t>Tortoise</t>
  </si>
  <si>
    <t>乌龟</t>
  </si>
  <si>
    <t>8854.txt</t>
  </si>
  <si>
    <t>Tortoise#hidden</t>
  </si>
  <si>
    <t>乌龟#hidden</t>
  </si>
  <si>
    <t>8855.txt</t>
  </si>
  <si>
    <t>Tortoise#hidden held</t>
  </si>
  <si>
    <t>乌龟#hidden held</t>
  </si>
  <si>
    <t>8856.txt</t>
  </si>
  <si>
    <t>Ant Mound#ants</t>
  </si>
  <si>
    <t>蚁丘#ants</t>
  </si>
  <si>
    <t>8857.txt</t>
  </si>
  <si>
    <t>Ant Mound#destroyed</t>
  </si>
  <si>
    <t>蚁丘#destroyed</t>
  </si>
  <si>
    <t>8858.txt</t>
  </si>
  <si>
    <t>Rock</t>
  </si>
  <si>
    <t>岩石</t>
  </si>
  <si>
    <t>8859.txt</t>
  </si>
  <si>
    <t>8860.txt</t>
  </si>
  <si>
    <t>8861.txt</t>
  </si>
  <si>
    <t>8862.txt</t>
  </si>
  <si>
    <t>Rock with Flowers</t>
  </si>
  <si>
    <t>岩石与鲜花</t>
  </si>
  <si>
    <t>8863.txt</t>
  </si>
  <si>
    <t>Ostrich</t>
  </si>
  <si>
    <t>鸵鸟</t>
  </si>
  <si>
    <t>8864.txt</t>
  </si>
  <si>
    <t>Ostrich#saddle</t>
  </si>
  <si>
    <t>鸵鸟#saddle</t>
  </si>
  <si>
    <t>8865.txt</t>
  </si>
  <si>
    <t>Ostrich#saddle riding</t>
  </si>
  <si>
    <t>鸵鸟#saddle riding</t>
  </si>
  <si>
    <t>8866.txt</t>
  </si>
  <si>
    <t>Ostrich #head</t>
  </si>
  <si>
    <t>鸵鸟#head</t>
  </si>
  <si>
    <t>8867.txt</t>
  </si>
  <si>
    <t>Ostrich #poked</t>
  </si>
  <si>
    <t>鸵鸟#poked</t>
  </si>
  <si>
    <t>8868.txt</t>
  </si>
  <si>
    <t>Leather Saddle</t>
  </si>
  <si>
    <t>皮革马鞍</t>
  </si>
  <si>
    <t>8869.txt</t>
  </si>
  <si>
    <t>Straw Wall# +useOnContained</t>
  </si>
  <si>
    <t>稻草墙# +useOnContained</t>
  </si>
  <si>
    <t>8870.txt</t>
  </si>
  <si>
    <t>Straw Wall</t>
  </si>
  <si>
    <t>稻草墙</t>
  </si>
  <si>
    <t>8871.txt</t>
  </si>
  <si>
    <t>Wooden Wall Structure with Straw</t>
  </si>
  <si>
    <t>稻草木墙结构</t>
  </si>
  <si>
    <t>8872.txt</t>
  </si>
  <si>
    <t>8873.txt</t>
  </si>
  <si>
    <t>Blossom Tree</t>
  </si>
  <si>
    <t>花树</t>
  </si>
  <si>
    <t>8874.txt</t>
  </si>
  <si>
    <t>8875.txt</t>
  </si>
  <si>
    <t>8876.txt</t>
  </si>
  <si>
    <t>8877.txt</t>
  </si>
  <si>
    <t>Wet Blossom Sapling</t>
  </si>
  <si>
    <t>湿花树苗</t>
  </si>
  <si>
    <t>8878.txt</t>
  </si>
  <si>
    <t>Dry Blossom Sapling</t>
  </si>
  <si>
    <t>干花树苗</t>
  </si>
  <si>
    <t>8879.txt</t>
  </si>
  <si>
    <t>Wet Blossom Cutting</t>
  </si>
  <si>
    <t>湿花切割</t>
  </si>
  <si>
    <t>8880.txt</t>
  </si>
  <si>
    <t>Dry Blossom Sapling Cutting</t>
  </si>
  <si>
    <t>干花树苗切割</t>
  </si>
  <si>
    <t>8885.txt</t>
  </si>
  <si>
    <t>Brook with Cattail</t>
  </si>
  <si>
    <t>香蒲溪</t>
  </si>
  <si>
    <t>8886.txt</t>
  </si>
  <si>
    <t>8887.txt</t>
  </si>
  <si>
    <t>8888.txt</t>
  </si>
  <si>
    <t>8889.txt</t>
  </si>
  <si>
    <t>Brook with Cattail#cut</t>
  </si>
  <si>
    <t>香蒲溪#cut</t>
  </si>
  <si>
    <t>8890.txt</t>
  </si>
  <si>
    <t>8891.txt</t>
  </si>
  <si>
    <t>8892.txt</t>
  </si>
  <si>
    <t>8893.txt</t>
  </si>
  <si>
    <t>Brook</t>
  </si>
  <si>
    <t>溪</t>
  </si>
  <si>
    <t>8894.txt</t>
  </si>
  <si>
    <t>8895.txt</t>
  </si>
  <si>
    <t>8896.txt</t>
  </si>
  <si>
    <t>8897.txt</t>
  </si>
  <si>
    <t>Peacock</t>
  </si>
  <si>
    <t>孔雀</t>
  </si>
  <si>
    <t>8900.txt</t>
  </si>
  <si>
    <t>Peacock#feathers</t>
  </si>
  <si>
    <t>孔雀#feathers</t>
  </si>
  <si>
    <t>8901.txt</t>
  </si>
  <si>
    <t>Marble Floor</t>
  </si>
  <si>
    <t>大理石地板</t>
  </si>
  <si>
    <t>8902.txt</t>
  </si>
  <si>
    <t>8903.txt</t>
  </si>
  <si>
    <t>Rocky Hill</t>
  </si>
  <si>
    <t>采石矿山</t>
  </si>
  <si>
    <t>8904.txt</t>
  </si>
  <si>
    <t>Quarry</t>
  </si>
  <si>
    <t>采石场</t>
  </si>
  <si>
    <t>8905.txt</t>
  </si>
  <si>
    <t>8906.txt</t>
  </si>
  <si>
    <t>8907.txt</t>
  </si>
  <si>
    <t>Stack of Small Marble Tiles</t>
  </si>
  <si>
    <t>一堆小大理石瓷砖</t>
  </si>
  <si>
    <t>8908.txt</t>
  </si>
  <si>
    <t>Stack of Marble Tiles</t>
  </si>
  <si>
    <t>一堆大理石瓷砖</t>
  </si>
  <si>
    <t>8909.txt</t>
  </si>
  <si>
    <t>Marble Slab</t>
  </si>
  <si>
    <t>大理石板</t>
  </si>
  <si>
    <t>8910.txt</t>
  </si>
  <si>
    <t>Quarry#marble</t>
  </si>
  <si>
    <t>采石场#marble</t>
  </si>
  <si>
    <t>8911.txt</t>
  </si>
  <si>
    <t>Quarry#exhausted</t>
  </si>
  <si>
    <t>采石场#exhausted</t>
  </si>
  <si>
    <t>8912.txt</t>
  </si>
  <si>
    <t>Quarry#marble exhausted</t>
  </si>
  <si>
    <t>采石场#marble exhausted</t>
  </si>
  <si>
    <t>8914.txt</t>
  </si>
  <si>
    <t>Marble Block with Chisel</t>
  </si>
  <si>
    <t>带凿子的大理石块</t>
  </si>
  <si>
    <t>8915.txt</t>
  </si>
  <si>
    <t>Stack of Marble Tiles with Chisel</t>
  </si>
  <si>
    <t>用凿子堆大理石瓷砖</t>
  </si>
  <si>
    <t>8916.txt</t>
  </si>
  <si>
    <t>8917.txt</t>
  </si>
  <si>
    <t>Stack of Small Marble Tiles with Chisel</t>
  </si>
  <si>
    <t>带凿子的小大理石瓷砖堆</t>
  </si>
  <si>
    <t>8918.txt</t>
  </si>
  <si>
    <t>Stack of Marble Slab</t>
  </si>
  <si>
    <t>一堆大理石板</t>
  </si>
  <si>
    <t>8919.txt</t>
  </si>
  <si>
    <t>Raised Marble Floor</t>
  </si>
  <si>
    <t>高架大理石地板</t>
  </si>
  <si>
    <t>8920.txt</t>
  </si>
  <si>
    <t>Marble Floor with Stakes</t>
  </si>
  <si>
    <t>带木桩的大理石地板</t>
  </si>
  <si>
    <t>8921.txt</t>
  </si>
  <si>
    <t>Raised Marble Floor with Stakes</t>
  </si>
  <si>
    <t>带木桩的高架大理石地板</t>
  </si>
  <si>
    <t>8922.txt</t>
  </si>
  <si>
    <t>8923.txt</t>
  </si>
  <si>
    <t>8924.txt</t>
  </si>
  <si>
    <t>8925.txt</t>
  </si>
  <si>
    <t>Bowl of Saltpeter Sulfur and Charcoal</t>
  </si>
  <si>
    <t>一碗硝石硫磺和木炭</t>
  </si>
  <si>
    <t>8926.txt</t>
  </si>
  <si>
    <t>Bowl of Black Powder</t>
  </si>
  <si>
    <t>一碗黑火药</t>
  </si>
  <si>
    <t>8927.txt</t>
  </si>
  <si>
    <t>Leather Sheets and Thread</t>
  </si>
  <si>
    <t>皮革片和线</t>
  </si>
  <si>
    <t>8928.txt</t>
  </si>
  <si>
    <t>Leather Sheets with Thread and Black Powder</t>
  </si>
  <si>
    <t>带线和黑粉的皮革片</t>
  </si>
  <si>
    <t>8929.txt</t>
  </si>
  <si>
    <t>Explosive</t>
  </si>
  <si>
    <t>炸药</t>
  </si>
  <si>
    <t>8930.txt</t>
  </si>
  <si>
    <t>Stack of Rubber Tires</t>
  </si>
  <si>
    <t>一堆橡胶轮胎</t>
  </si>
  <si>
    <t>8931.txt</t>
  </si>
  <si>
    <t>一堆牛蒡根</t>
  </si>
  <si>
    <t>8932.txt</t>
  </si>
  <si>
    <t>Stack of Weak Sticks</t>
  </si>
  <si>
    <t>一堆弱棍</t>
  </si>
  <si>
    <t>8933.txt</t>
  </si>
  <si>
    <t>Pile of Steel Adze Heads</t>
  </si>
  <si>
    <t>一堆钢锛头</t>
  </si>
  <si>
    <t>8934.txt</t>
  </si>
  <si>
    <t>Pile of Steel Axe Head</t>
  </si>
  <si>
    <t>一堆钢斧头</t>
  </si>
  <si>
    <t>8935.txt</t>
  </si>
  <si>
    <t>Pile of Steel Froe Blades</t>
  </si>
  <si>
    <t>一堆钢制楔刀片</t>
  </si>
  <si>
    <t>8936.txt</t>
  </si>
  <si>
    <t>Pile of Steel Hoe Blades</t>
  </si>
  <si>
    <t>一堆钢锄头刀片</t>
  </si>
  <si>
    <t>8937.txt</t>
  </si>
  <si>
    <t>Pile of Steel Mining Pick Heads</t>
  </si>
  <si>
    <t>一堆钢制采矿镐头</t>
  </si>
  <si>
    <t>8938.txt</t>
  </si>
  <si>
    <t>Pile of Steel Pitchfork Heads</t>
  </si>
  <si>
    <t>一堆钢干草叉头</t>
  </si>
  <si>
    <t>8939.txt</t>
  </si>
  <si>
    <t>Pile of Steel Shovel Heads</t>
  </si>
  <si>
    <t>一堆钢铲头</t>
  </si>
  <si>
    <t>8940.txt</t>
  </si>
  <si>
    <t>Pair of Rabbit Fur Shoes</t>
  </si>
  <si>
    <t>一双兔毛鞋</t>
  </si>
  <si>
    <t>8941.txt</t>
  </si>
  <si>
    <t>Pair of Wooden Shoes</t>
  </si>
  <si>
    <t>一双木鞋</t>
  </si>
  <si>
    <t>8942.txt</t>
  </si>
  <si>
    <t>Pair of Rag Shoes</t>
  </si>
  <si>
    <t>一双破布鞋</t>
  </si>
  <si>
    <t>8943.txt</t>
  </si>
  <si>
    <t>Pair of Old Boots</t>
  </si>
  <si>
    <t>一双旧靴子</t>
  </si>
  <si>
    <t>8944.txt</t>
  </si>
  <si>
    <t>Pair of Leather Boots</t>
  </si>
  <si>
    <t>一双皮靴</t>
  </si>
  <si>
    <t>8945.txt</t>
  </si>
  <si>
    <t>Pair of Fruit Boots</t>
  </si>
  <si>
    <t>一双水果靴</t>
  </si>
  <si>
    <t>8946.txt</t>
  </si>
  <si>
    <t>Pair of Snake Skin Boots</t>
  </si>
  <si>
    <t>一双蛇皮靴子</t>
  </si>
  <si>
    <t>8947.txt</t>
  </si>
  <si>
    <t>Pair of Boots</t>
  </si>
  <si>
    <t>一双靴子</t>
  </si>
  <si>
    <t>8948.txt</t>
  </si>
  <si>
    <t>Pair of Black Leather Boots</t>
  </si>
  <si>
    <t>一双黑色皮靴</t>
  </si>
  <si>
    <t>8949.txt</t>
  </si>
  <si>
    <t>Pair of Yellow Leather Boots</t>
  </si>
  <si>
    <t>一双黄色皮靴</t>
  </si>
  <si>
    <t>8950.txt</t>
  </si>
  <si>
    <t>Pair of Wool Booties</t>
  </si>
  <si>
    <t>一双羊毛短靴</t>
  </si>
  <si>
    <t>8951.txt</t>
  </si>
  <si>
    <t>Pair of Green Wool Booties</t>
  </si>
  <si>
    <t>一双绿色羊毛短靴</t>
  </si>
  <si>
    <t>8952.txt</t>
  </si>
  <si>
    <t>Pair of Indigo Wool Booties</t>
  </si>
  <si>
    <t>一双靛蓝色羊毛短靴</t>
  </si>
  <si>
    <t>8953.txt</t>
  </si>
  <si>
    <t>Pair of Red Wool Booties</t>
  </si>
  <si>
    <t>一双红色羊毛短靴</t>
  </si>
  <si>
    <t>8954.txt</t>
  </si>
  <si>
    <t>Two Threads</t>
  </si>
  <si>
    <t>两个线程</t>
  </si>
  <si>
    <t>8955.txt</t>
  </si>
  <si>
    <t>Tipped Bowl of Corn Kernels</t>
  </si>
  <si>
    <t>尖头碗玉米粒</t>
  </si>
  <si>
    <t>8956.txt</t>
  </si>
  <si>
    <t>Wild Beet</t>
  </si>
  <si>
    <t>野生甜菜</t>
  </si>
  <si>
    <t>8957.txt</t>
  </si>
  <si>
    <t>Dug Wild Beet</t>
  </si>
  <si>
    <t>挖野甜菜</t>
  </si>
  <si>
    <t>8958.txt</t>
  </si>
  <si>
    <t>8959.txt</t>
  </si>
  <si>
    <t>Beaver Den</t>
  </si>
  <si>
    <t>海狸巢穴</t>
  </si>
  <si>
    <t>8960.txt</t>
  </si>
  <si>
    <t>Beaver Den with Beaver</t>
  </si>
  <si>
    <t>海狸巢穴与海狸</t>
  </si>
  <si>
    <t>8961.txt</t>
  </si>
  <si>
    <t>Beaver# groundOnly</t>
  </si>
  <si>
    <t>海狸# groundOnly</t>
  </si>
  <si>
    <t>8962.txt</t>
  </si>
  <si>
    <t>Beaver Den#just left</t>
  </si>
  <si>
    <t>海狸巢穴#just left</t>
  </si>
  <si>
    <t>8963.txt</t>
  </si>
  <si>
    <t>Beaver Den#empty</t>
  </si>
  <si>
    <t>海狸巢#empty</t>
  </si>
  <si>
    <t>8964.txt</t>
  </si>
  <si>
    <t>Shelter with Firewood</t>
  </si>
  <si>
    <t>有木柴的庇护所</t>
  </si>
  <si>
    <t>8965.txt</t>
  </si>
  <si>
    <t>Two Shafts with Straw</t>
  </si>
  <si>
    <t>两根带吸管的轴</t>
  </si>
  <si>
    <t>8966.txt</t>
  </si>
  <si>
    <t>Empty Shelter</t>
  </si>
  <si>
    <t>空荡荡的避难所</t>
  </si>
  <si>
    <t>8967.txt</t>
  </si>
  <si>
    <t>Shelter with Logs</t>
  </si>
  <si>
    <t>带原木的庇护所</t>
  </si>
  <si>
    <t>8970.txt</t>
  </si>
  <si>
    <t>Forsythia Crown</t>
  </si>
  <si>
    <t>连翘冠</t>
  </si>
  <si>
    <t>8971.txt</t>
  </si>
  <si>
    <t>Forsythia Floor</t>
  </si>
  <si>
    <t>连翘楼</t>
  </si>
  <si>
    <t>8972.txt</t>
  </si>
  <si>
    <t>Forsythia Tree</t>
  </si>
  <si>
    <t>连翘树</t>
  </si>
  <si>
    <t>8973.txt</t>
  </si>
  <si>
    <t>Basket of Forsythia Flowers</t>
  </si>
  <si>
    <t>连翘花篮</t>
  </si>
  <si>
    <t>8974.txt</t>
  </si>
  <si>
    <t>Dry Forsythia Sapling Cutting</t>
  </si>
  <si>
    <t>干连翘树苗切割</t>
  </si>
  <si>
    <t>8975.txt</t>
  </si>
  <si>
    <t>Dry Forsythia Sapling</t>
  </si>
  <si>
    <t>干连翘树苗</t>
  </si>
  <si>
    <t>8976.txt</t>
  </si>
  <si>
    <t>Wet Forsythia Sprout</t>
  </si>
  <si>
    <t>湿连翘芽</t>
  </si>
  <si>
    <t>8977.txt</t>
  </si>
  <si>
    <t>Wet Forsythia Sapling</t>
  </si>
  <si>
    <t>湿连翘树苗</t>
  </si>
  <si>
    <t>8978.txt</t>
  </si>
  <si>
    <t>Forsythia Flowers</t>
  </si>
  <si>
    <t>连翘花</t>
  </si>
  <si>
    <t>8979.txt</t>
  </si>
  <si>
    <t>Shears with Forsythia Cutting</t>
  </si>
  <si>
    <t>连翘剪</t>
  </si>
  <si>
    <t>8980.txt</t>
  </si>
  <si>
    <t>Forsythia Cutting</t>
  </si>
  <si>
    <t>连翘切花</t>
  </si>
  <si>
    <t>8981.txt</t>
  </si>
  <si>
    <t>Beaver with Bait</t>
  </si>
  <si>
    <t>海狸与诱饵</t>
  </si>
  <si>
    <t>8982.txt</t>
  </si>
  <si>
    <t>Water Snare</t>
  </si>
  <si>
    <t>水网</t>
  </si>
  <si>
    <t>8983.txt</t>
  </si>
  <si>
    <t>Dead Beaver</t>
  </si>
  <si>
    <t>死海狸</t>
  </si>
  <si>
    <t>8984.txt</t>
  </si>
  <si>
    <t>Caught Beaver with Snare</t>
  </si>
  <si>
    <t>用圈套捕获海狸</t>
  </si>
  <si>
    <t>8985.txt</t>
  </si>
  <si>
    <t>8986.txt</t>
  </si>
  <si>
    <t>Skinned Beaver</t>
  </si>
  <si>
    <t>剥皮海狸</t>
  </si>
  <si>
    <t>8987.txt</t>
  </si>
  <si>
    <t>Skinned Beaver with Fur</t>
  </si>
  <si>
    <t>带皮毛的海狸</t>
  </si>
  <si>
    <t>8988.txt</t>
  </si>
  <si>
    <t>Butchered Beaver</t>
  </si>
  <si>
    <t>屠宰海狸</t>
  </si>
  <si>
    <t>8989.txt</t>
  </si>
  <si>
    <t>Skewered Beaver</t>
  </si>
  <si>
    <t>串烧海狸</t>
  </si>
  <si>
    <t>8990.txt</t>
  </si>
  <si>
    <t>Cooked Beaver</t>
  </si>
  <si>
    <t>煮熟的海狸</t>
  </si>
  <si>
    <t>8991.txt</t>
  </si>
  <si>
    <t>8992.txt</t>
  </si>
  <si>
    <t>Beaver on Tanning Rack</t>
  </si>
  <si>
    <t>晒黑架上的海狸</t>
  </si>
  <si>
    <t>8994.txt</t>
  </si>
  <si>
    <t>Beaver Leather on Tanning Rack</t>
  </si>
  <si>
    <t>晒黑架上的海狸皮革</t>
  </si>
  <si>
    <t>8995.txt</t>
  </si>
  <si>
    <t>Leather Beaver Hide</t>
  </si>
  <si>
    <t>海狸皮</t>
  </si>
  <si>
    <t>8996.txt</t>
  </si>
  <si>
    <t>Snare with Bait</t>
  </si>
  <si>
    <t>带诱饵的圈套</t>
  </si>
  <si>
    <t>8997.txt</t>
  </si>
  <si>
    <t>圈套</t>
  </si>
  <si>
    <t>8998.txt</t>
  </si>
  <si>
    <t>Beaver Fur</t>
  </si>
  <si>
    <t>海狸毛皮</t>
  </si>
  <si>
    <t>9000.txt</t>
  </si>
  <si>
    <t>Raccoon</t>
  </si>
  <si>
    <t>狸</t>
  </si>
  <si>
    <t>9001.txt</t>
  </si>
  <si>
    <t>Raccoon#paused</t>
  </si>
  <si>
    <t>浣熊#paused</t>
  </si>
  <si>
    <t>9002.txt</t>
  </si>
  <si>
    <t>Poked Raccoon#poked</t>
  </si>
  <si>
    <t>戳戳浣熊#poked</t>
  </si>
  <si>
    <t>9003.txt</t>
  </si>
  <si>
    <t>Poorly Butchered Bison</t>
  </si>
  <si>
    <t>惨遭屠宰的野牛</t>
  </si>
  <si>
    <t>9004.txt</t>
  </si>
  <si>
    <t>Poorly Butchered Cow</t>
  </si>
  <si>
    <t>屠宰不当的牛</t>
  </si>
  <si>
    <t>9005.txt</t>
  </si>
  <si>
    <t>Poorly Butchered Mouflon</t>
  </si>
  <si>
    <t>惨遭屠宰的欧洲盘羊</t>
  </si>
  <si>
    <t>9006.txt</t>
  </si>
  <si>
    <t>Poorly Butchered Pig</t>
  </si>
  <si>
    <t>屠宰不当的猪</t>
  </si>
  <si>
    <t>9007.txt</t>
  </si>
  <si>
    <t>Poorly Butchered Sheep</t>
  </si>
  <si>
    <t>宰杀不当的羊</t>
  </si>
  <si>
    <t>9008.txt</t>
  </si>
  <si>
    <t>Poorly Butchered Pig with Intestines</t>
  </si>
  <si>
    <t>屠宰不当的带肠猪</t>
  </si>
  <si>
    <t>9009.txt</t>
  </si>
  <si>
    <t>Short Shaft with Wooden Wheel</t>
  </si>
  <si>
    <t>短轴木轮</t>
  </si>
  <si>
    <t>9010.txt</t>
  </si>
  <si>
    <t>Wrought Iron in Wooden Tongs#quenched</t>
  </si>
  <si>
    <t>木钳中的锻铁#quenched</t>
  </si>
  <si>
    <t>9012.txt</t>
  </si>
  <si>
    <t>Limestone in Wooden Tongs</t>
  </si>
  <si>
    <t>木钳中的石灰石</t>
  </si>
  <si>
    <t>9013.txt</t>
  </si>
  <si>
    <t>Bucket of Rennet</t>
  </si>
  <si>
    <t>一桶凝乳酶</t>
  </si>
  <si>
    <t>9014.txt</t>
  </si>
  <si>
    <t>Dead Sheep#no blood</t>
  </si>
  <si>
    <t>死羊#no blood</t>
  </si>
  <si>
    <t>9015.txt</t>
  </si>
  <si>
    <t>Dead Sheep#shorn no blood</t>
  </si>
  <si>
    <t>死羊#shorn no blood</t>
  </si>
  <si>
    <t>9016.txt</t>
  </si>
  <si>
    <t>Dead Sheep#shorn fleece no blood</t>
  </si>
  <si>
    <t>死羊#shorn fleece no blood</t>
  </si>
  <si>
    <t>9017.txt</t>
  </si>
  <si>
    <t>Rooting Grape Cutting</t>
  </si>
  <si>
    <t>生根葡萄切割</t>
  </si>
  <si>
    <t>9018.txt</t>
  </si>
  <si>
    <t>Rooting Balsam Tree Cutting</t>
  </si>
  <si>
    <t>生根香脂树切割</t>
  </si>
  <si>
    <t>9019.txt</t>
  </si>
  <si>
    <t>Rooting Orange Tree Cutting</t>
  </si>
  <si>
    <t>生根橙树切割</t>
  </si>
  <si>
    <t>9020.txt</t>
  </si>
  <si>
    <t>Rooting Yew Tree Cutting</t>
  </si>
  <si>
    <t>生根红豆杉树切割</t>
  </si>
  <si>
    <t>9021.txt</t>
  </si>
  <si>
    <t>Rooting Morning Glory Cutting</t>
  </si>
  <si>
    <t>牵牛花生根切割</t>
  </si>
  <si>
    <t>9022.txt</t>
  </si>
  <si>
    <t>Rooting Glasswort Cutting</t>
  </si>
  <si>
    <t>生根芒草切割</t>
  </si>
  <si>
    <t>9023.txt</t>
  </si>
  <si>
    <t>Rooting Pine Tree Cutting</t>
  </si>
  <si>
    <t>生根松树砍伐</t>
  </si>
  <si>
    <t>9024.txt</t>
  </si>
  <si>
    <t>Rooting Apple Cutting</t>
  </si>
  <si>
    <t>苹果生根切法</t>
  </si>
  <si>
    <t>9025.txt</t>
  </si>
  <si>
    <t>Rooting Cedar Tree Cutting</t>
  </si>
  <si>
    <t>生根雪松树切割</t>
  </si>
  <si>
    <t>9026.txt</t>
  </si>
  <si>
    <t>Rooting Jelutong Tree Cutting</t>
  </si>
  <si>
    <t>生根 日落洞树 砍伐</t>
  </si>
  <si>
    <t>9027.txt</t>
  </si>
  <si>
    <t>Rooting Kapok Tree Cutting</t>
  </si>
  <si>
    <t>生根木棉树砍伐</t>
  </si>
  <si>
    <t>9028.txt</t>
  </si>
  <si>
    <t>Rooting Hickory Tree Cutting</t>
  </si>
  <si>
    <t>生根山核桃树切割</t>
  </si>
  <si>
    <t>9029.txt</t>
  </si>
  <si>
    <t>Rooting Ash Tree Cutting</t>
  </si>
  <si>
    <t>生根白蜡树切割</t>
  </si>
  <si>
    <t>9030.txt</t>
  </si>
  <si>
    <t>Rooting Hedge Cutting</t>
  </si>
  <si>
    <t>生根树篱切割</t>
  </si>
  <si>
    <t>9031.txt</t>
  </si>
  <si>
    <t>Rooting Juniper Tree Cutting</t>
  </si>
  <si>
    <t>生根杜松树切割</t>
  </si>
  <si>
    <t>9032.txt</t>
  </si>
  <si>
    <t>Rooting Mango Tree Cutting</t>
  </si>
  <si>
    <t>生根芒果树切割</t>
  </si>
  <si>
    <t>9033.txt</t>
  </si>
  <si>
    <t>Rooting Poplar Tree Cutting</t>
  </si>
  <si>
    <t>生根杨树砍伐</t>
  </si>
  <si>
    <t>9034.txt</t>
  </si>
  <si>
    <t>Rooting Rubber Tree Cutting</t>
  </si>
  <si>
    <t>生根橡胶树切割</t>
  </si>
  <si>
    <t>9035.txt</t>
  </si>
  <si>
    <t>Rooting Bubinga Tree Cutting</t>
  </si>
  <si>
    <t>生根 Bubinga 树砍伐</t>
  </si>
  <si>
    <t>9036.txt</t>
  </si>
  <si>
    <t>Rooting Maple Tree Cutting</t>
  </si>
  <si>
    <t>生根枫树切割</t>
  </si>
  <si>
    <t>9037.txt</t>
  </si>
  <si>
    <t>Rooting Lemon Tree Cutting</t>
  </si>
  <si>
    <t>生根柠檬树切割</t>
  </si>
  <si>
    <t>9038.txt</t>
  </si>
  <si>
    <t>Rooting Apple Tree Cutting</t>
  </si>
  <si>
    <t>苹果树生根切割</t>
  </si>
  <si>
    <t>9039.txt</t>
  </si>
  <si>
    <t>Rooting Field Maple Tree Cutting</t>
  </si>
  <si>
    <t>生根田枫树砍伐</t>
  </si>
  <si>
    <t>9040.txt</t>
  </si>
  <si>
    <t>Rooting Forsythia Cutting</t>
  </si>
  <si>
    <t>连翘生根切条</t>
  </si>
  <si>
    <t>9041.txt</t>
  </si>
  <si>
    <t>@ Non-rooting Cutting (trees and flowers)</t>
  </si>
  <si>
    <t>9042.txt</t>
  </si>
  <si>
    <t>@ Rooting Cutting (trees and flowers)</t>
  </si>
  <si>
    <t>9043.txt</t>
  </si>
  <si>
    <t>@ Planted Cutting (trees and flowers)</t>
  </si>
  <si>
    <t>9044.txt</t>
  </si>
  <si>
    <t>Pile of Glasswort</t>
  </si>
  <si>
    <t>一堆玻璃草</t>
  </si>
  <si>
    <t>9045.txt</t>
  </si>
  <si>
    <t>Pile Dry Glasswort</t>
  </si>
  <si>
    <t>堆干芒草</t>
  </si>
  <si>
    <t>9048.txt</t>
  </si>
  <si>
    <t>Shelter with Kindling</t>
  </si>
  <si>
    <t>带引火物的避难所</t>
  </si>
  <si>
    <t>9049.txt</t>
  </si>
  <si>
    <t>Wool Skirt</t>
  </si>
  <si>
    <t>羊毛裙</t>
  </si>
  <si>
    <t>9050.txt</t>
  </si>
  <si>
    <t>Dye-Ready Wool Skirt</t>
  </si>
  <si>
    <t>染色羊毛半身裙</t>
  </si>
  <si>
    <t>9051.txt</t>
  </si>
  <si>
    <t>Indigo Wool Skirt</t>
  </si>
  <si>
    <t>靛蓝色羊毛半身裙</t>
  </si>
  <si>
    <t>9052.txt</t>
  </si>
  <si>
    <t>Green Wool Skirt</t>
  </si>
  <si>
    <t>绿色羊毛半身裙</t>
  </si>
  <si>
    <t>9053.txt</t>
  </si>
  <si>
    <t>Red Wool Skirt</t>
  </si>
  <si>
    <t>红色羊毛裙</t>
  </si>
  <si>
    <t>9055.txt</t>
  </si>
  <si>
    <t>Pile of Skinned Rabbits</t>
  </si>
  <si>
    <t>一堆剥皮兔子</t>
  </si>
  <si>
    <t>9056.txt</t>
  </si>
  <si>
    <t>Camping Stove with Hot Tomato Soup</t>
  </si>
  <si>
    <t>野营炉热番茄汤</t>
  </si>
  <si>
    <t>9057.txt</t>
  </si>
  <si>
    <t>Camping Stove with Hot Mushroom Soup</t>
  </si>
  <si>
    <t>野营炉热蘑菇汤</t>
  </si>
  <si>
    <t>9059.txt</t>
  </si>
  <si>
    <t>Camping Stove with Onions#hot</t>
  </si>
  <si>
    <t>野营炉洋葱#hot</t>
  </si>
  <si>
    <t>9060.txt</t>
  </si>
  <si>
    <t>Camping Stove with Carrot and Onions#hot</t>
  </si>
  <si>
    <t>野营炉用胡萝卜和洋葱#hot</t>
  </si>
  <si>
    <t>9061.txt</t>
  </si>
  <si>
    <t>Camping Stove with Onions and Butter#hot</t>
  </si>
  <si>
    <t>野营炉加洋葱和黄油#hot</t>
  </si>
  <si>
    <t>9062.txt</t>
  </si>
  <si>
    <t>Camping Stove with Hot French Onion Soup</t>
  </si>
  <si>
    <t>野营炉配热洋葱汤</t>
  </si>
  <si>
    <t>9063.txt</t>
  </si>
  <si>
    <t>Camping Stove with French Onion Soup#ashes</t>
  </si>
  <si>
    <t>野营炉法式洋葱汤#ashes</t>
  </si>
  <si>
    <t>9064.txt</t>
  </si>
  <si>
    <t>Camping Stove with Mushroom Soup#ashes</t>
  </si>
  <si>
    <t>野营炉蘑菇汤#ashes</t>
  </si>
  <si>
    <t>9065.txt</t>
  </si>
  <si>
    <t>Camping Stove with Tomato Soup#ashes</t>
  </si>
  <si>
    <t>野营炉番茄汤#ashes</t>
  </si>
  <si>
    <t>9066.txt</t>
  </si>
  <si>
    <t>Camping Stove with Over-Boiled Soup</t>
  </si>
  <si>
    <t>野营炉煮汤</t>
  </si>
  <si>
    <t>9067.txt</t>
  </si>
  <si>
    <t>Bowl of Tomato Soup</t>
  </si>
  <si>
    <t>碗番茄汤</t>
  </si>
  <si>
    <t>9068.txt</t>
  </si>
  <si>
    <t>Bowl of Mushroom Soup # +noFeeding +drug +emotEat_10_10</t>
  </si>
  <si>
    <t>一碗蘑菇汤 # +noFeeding +drug +emotEat_10_10</t>
  </si>
  <si>
    <t>9069.txt</t>
  </si>
  <si>
    <t>Bowl of French Onion Soup</t>
  </si>
  <si>
    <t>碗法式洋葱汤</t>
  </si>
  <si>
    <t>9072.txt</t>
  </si>
  <si>
    <t>Empty Camping Stove on Hot Coals</t>
  </si>
  <si>
    <t>热煤上的空野营炉</t>
  </si>
  <si>
    <t>9074.txt</t>
  </si>
  <si>
    <t>Camping Stove Frame on Hot Coals</t>
  </si>
  <si>
    <t>热煤野营炉架</t>
  </si>
  <si>
    <t>9075.txt</t>
  </si>
  <si>
    <t>Camping Stove Frame on Ashes</t>
  </si>
  <si>
    <t>灰烬上的野营炉架</t>
  </si>
  <si>
    <t>9076.txt</t>
  </si>
  <si>
    <t>(outdated) Empty Camping Stove on Ashes</t>
  </si>
  <si>
    <t>9077.txt</t>
  </si>
  <si>
    <t>Smith Icon</t>
  </si>
  <si>
    <t>史密斯图标</t>
  </si>
  <si>
    <t>9078.txt</t>
  </si>
  <si>
    <t>Farmer Icon</t>
  </si>
  <si>
    <t>农民图标</t>
  </si>
  <si>
    <t>9079.txt</t>
  </si>
  <si>
    <t>Miner Icon</t>
  </si>
  <si>
    <t>矿工图标</t>
  </si>
  <si>
    <t>9080.txt</t>
  </si>
  <si>
    <t>Cook Icon</t>
  </si>
  <si>
    <t>厨师图标</t>
  </si>
  <si>
    <t>9081.txt</t>
  </si>
  <si>
    <t>Tailor Icon</t>
  </si>
  <si>
    <t>裁缝图标</t>
  </si>
  <si>
    <t>9082.txt</t>
  </si>
  <si>
    <t>Hunter Icon</t>
  </si>
  <si>
    <t>猎人图标</t>
  </si>
  <si>
    <t>9083.txt</t>
  </si>
  <si>
    <t>Shelter with Firewood#dark</t>
  </si>
  <si>
    <t>带木柴的庇护所#dark</t>
  </si>
  <si>
    <t>9084.txt</t>
  </si>
  <si>
    <t>Shelter with Firewood#light</t>
  </si>
  <si>
    <t>带木柴的庇护所#light</t>
  </si>
  <si>
    <t>9085.txt</t>
  </si>
  <si>
    <t>Shelter with Logs#light</t>
  </si>
  <si>
    <t>带原木的庇护所#light</t>
  </si>
  <si>
    <t>9086.txt</t>
  </si>
  <si>
    <t>Shelter with Logs#dark</t>
  </si>
  <si>
    <t>带原木的庇护所#dark</t>
  </si>
  <si>
    <t>9087.txt</t>
  </si>
  <si>
    <t>Wooden Wall Structure with Vines</t>
  </si>
  <si>
    <t>藤蔓木墙结构</t>
  </si>
  <si>
    <t>9088.txt</t>
  </si>
  <si>
    <t>9089.txt</t>
  </si>
  <si>
    <t>9090.txt</t>
  </si>
  <si>
    <t>Wooden Wall Structure with Vines#grown</t>
  </si>
  <si>
    <t>带藤蔓的木墙结构#grown</t>
  </si>
  <si>
    <t>9091.txt</t>
  </si>
  <si>
    <t>9092.txt</t>
  </si>
  <si>
    <t>9094.txt</t>
  </si>
  <si>
    <t>Clover Floor</t>
  </si>
  <si>
    <t>三叶草地板</t>
  </si>
  <si>
    <t>9095.txt</t>
  </si>
  <si>
    <t>Clover</t>
  </si>
  <si>
    <t>三叶草</t>
  </si>
  <si>
    <t>9096.txt</t>
  </si>
  <si>
    <t>Primitive Crown</t>
  </si>
  <si>
    <t>原始王冠</t>
  </si>
  <si>
    <t>9097.txt</t>
  </si>
  <si>
    <t>Nepenthe in Plant Pot</t>
  </si>
  <si>
    <t>花盆里的猪笼草</t>
  </si>
  <si>
    <t>9098.txt</t>
  </si>
  <si>
    <t>Licuala</t>
  </si>
  <si>
    <t>利夸拉</t>
  </si>
  <si>
    <t>9099.txt</t>
  </si>
  <si>
    <t>Nepenthe</t>
  </si>
  <si>
    <t>猪笼草</t>
  </si>
  <si>
    <t>9100.txt</t>
  </si>
  <si>
    <t>Fern#small</t>
  </si>
  <si>
    <t>蕨#small</t>
  </si>
  <si>
    <t>9101.txt</t>
  </si>
  <si>
    <t>Fern#large</t>
  </si>
  <si>
    <t>蕨#large</t>
  </si>
  <si>
    <t>9102.txt</t>
  </si>
  <si>
    <t>Stream</t>
  </si>
  <si>
    <t>溪流</t>
  </si>
  <si>
    <t>9103.txt</t>
  </si>
  <si>
    <t>Dug Nepenthe</t>
  </si>
  <si>
    <t>挖猪笼草</t>
  </si>
  <si>
    <t>9104.txt</t>
  </si>
  <si>
    <t>9105.txt</t>
  </si>
  <si>
    <t>Quarry#explosion</t>
  </si>
  <si>
    <t>采石场#explosion</t>
  </si>
  <si>
    <t>9106.txt</t>
  </si>
  <si>
    <t>Quarry#explosive</t>
  </si>
  <si>
    <t>采石场#explosive</t>
  </si>
  <si>
    <t>9107.txt</t>
  </si>
  <si>
    <t>Quarry#explosive lit</t>
  </si>
  <si>
    <t>采石场#explosive lit</t>
  </si>
  <si>
    <t>9109.txt</t>
  </si>
  <si>
    <t>Quarry Cave</t>
  </si>
  <si>
    <t>9110.txt</t>
  </si>
  <si>
    <t>Random Quarry Cave Outcome</t>
  </si>
  <si>
    <t>随机采石场洞穴结果</t>
  </si>
  <si>
    <t>9111.txt</t>
  </si>
  <si>
    <t>Quarry Cave #empty</t>
  </si>
  <si>
    <t>采石场洞穴#empty</t>
  </si>
  <si>
    <t>9112.txt</t>
  </si>
  <si>
    <t>Bear Cave with Explosive#empty</t>
  </si>
  <si>
    <t>熊洞里有炸药#empty</t>
  </si>
  <si>
    <t>9113.txt</t>
  </si>
  <si>
    <t>Bear Cave#explosion</t>
  </si>
  <si>
    <t>熊洞#explosion</t>
  </si>
  <si>
    <t>9114.txt</t>
  </si>
  <si>
    <t>Bear Cave Rubble#full</t>
  </si>
  <si>
    <t>熊洞瓦砾#full</t>
  </si>
  <si>
    <t>9115.txt</t>
  </si>
  <si>
    <t>Bear Cave Rubble#1</t>
  </si>
  <si>
    <t>熊洞碎石#1</t>
  </si>
  <si>
    <t>9116.txt</t>
  </si>
  <si>
    <t>Bear Cave Rubble#2</t>
  </si>
  <si>
    <t>熊洞碎石#2</t>
  </si>
  <si>
    <t>9117.txt</t>
  </si>
  <si>
    <t>Bear Cave Rubble#3</t>
  </si>
  <si>
    <t>熊洞碎石#3</t>
  </si>
  <si>
    <t>9118.txt</t>
  </si>
  <si>
    <t>Bear Cave Rubble#4</t>
  </si>
  <si>
    <t>熊洞碎石#4</t>
  </si>
  <si>
    <t>9122.txt</t>
  </si>
  <si>
    <t>Bear Cave Rubble#5</t>
  </si>
  <si>
    <t>熊洞碎石#5</t>
  </si>
  <si>
    <t>9123.txt</t>
  </si>
  <si>
    <t>Bear Cave Rubble#6</t>
  </si>
  <si>
    <t>熊洞碎石#6</t>
  </si>
  <si>
    <t>9124.txt</t>
  </si>
  <si>
    <t>Bear Cave with Explosive#empty lit</t>
  </si>
  <si>
    <t>熊洞爆炸#empty lit</t>
  </si>
  <si>
    <t>9125.txt</t>
  </si>
  <si>
    <t>Nepenthe in Plant Pot#ate</t>
  </si>
  <si>
    <t>花盆中的猪笼草#ate</t>
  </si>
  <si>
    <t>9126.txt</t>
  </si>
  <si>
    <t>Raccoon#eating</t>
  </si>
  <si>
    <t>浣熊#eating</t>
  </si>
  <si>
    <t>9127.txt</t>
  </si>
  <si>
    <t>@ Any Raw Meat</t>
  </si>
  <si>
    <t>9128.txt</t>
  </si>
  <si>
    <t>Skinned Raccoon with Fur</t>
  </si>
  <si>
    <t>带皮毛的浣熊</t>
  </si>
  <si>
    <t>9129.txt</t>
  </si>
  <si>
    <t>Raccoon Fur</t>
  </si>
  <si>
    <t>貉子毛</t>
  </si>
  <si>
    <t>9130.txt</t>
  </si>
  <si>
    <t>Raccoon Hat</t>
  </si>
  <si>
    <t>浣熊帽</t>
  </si>
  <si>
    <t>9131.txt</t>
  </si>
  <si>
    <t>Dead Raccoon</t>
  </si>
  <si>
    <t>死浣熊</t>
  </si>
  <si>
    <t>9132.txt</t>
  </si>
  <si>
    <t>Skinned Raccoon</t>
  </si>
  <si>
    <t>剥皮浣熊</t>
  </si>
  <si>
    <t>9133.txt</t>
  </si>
  <si>
    <t>Alpaca#rope</t>
  </si>
  <si>
    <t>羊驼#rope</t>
  </si>
  <si>
    <t>9134.txt</t>
  </si>
  <si>
    <t>Fed Alpaca#rope</t>
  </si>
  <si>
    <t>喂羊驼#rope</t>
  </si>
  <si>
    <t>9135.txt</t>
  </si>
  <si>
    <t>Shorn Alpaca#rope</t>
  </si>
  <si>
    <t>羊驼毛#rope</t>
  </si>
  <si>
    <t>9136.txt</t>
  </si>
  <si>
    <t>Fed Shorn Alpaca#rope</t>
  </si>
  <si>
    <t>美联储剪毛羊驼#rope</t>
  </si>
  <si>
    <t>9137.txt</t>
  </si>
  <si>
    <t>Baby Alpaca#rope</t>
  </si>
  <si>
    <t>羊驼宝宝#rope</t>
  </si>
  <si>
    <t>9138.txt</t>
  </si>
  <si>
    <t>Fed Baby Alpaca#rope</t>
  </si>
  <si>
    <t>喂养婴儿羊驼#rope</t>
  </si>
  <si>
    <t>9139.txt</t>
  </si>
  <si>
    <t>Wild Beet#seed</t>
  </si>
  <si>
    <t>野生甜菜#seed</t>
  </si>
  <si>
    <t>9140.txt</t>
  </si>
  <si>
    <t>Beet Seed</t>
  </si>
  <si>
    <t>甜菜种子</t>
  </si>
  <si>
    <t>9141.txt</t>
  </si>
  <si>
    <t>Ant Mound</t>
  </si>
  <si>
    <t>蚁丘</t>
  </si>
  <si>
    <t>9142.txt</t>
  </si>
  <si>
    <t>Wild Rice</t>
  </si>
  <si>
    <t>野米</t>
  </si>
  <si>
    <t>9143.txt</t>
  </si>
  <si>
    <t>Cattails</t>
  </si>
  <si>
    <t>香蒲</t>
  </si>
  <si>
    <t>9144.txt</t>
  </si>
  <si>
    <t>Dandelion</t>
  </si>
  <si>
    <t>蒲公英</t>
  </si>
  <si>
    <t>9145.txt</t>
  </si>
  <si>
    <t>Red Snapdragon</t>
  </si>
  <si>
    <t>红金鱼草</t>
  </si>
  <si>
    <t>9146.txt</t>
  </si>
  <si>
    <t>Pink Peony</t>
  </si>
  <si>
    <t>粉红牡丹</t>
  </si>
  <si>
    <t>9147.txt</t>
  </si>
  <si>
    <t>Blue Chrysanthemum</t>
  </si>
  <si>
    <t>蓝菊花</t>
  </si>
  <si>
    <t>9148.txt</t>
  </si>
  <si>
    <t>Red Windflower</t>
  </si>
  <si>
    <t>红风花</t>
  </si>
  <si>
    <t>9149.txt</t>
  </si>
  <si>
    <t>Pink Delphinium</t>
  </si>
  <si>
    <t>粉红飞燕草</t>
  </si>
  <si>
    <t>9150.txt</t>
  </si>
  <si>
    <t>Yellow Daisy</t>
  </si>
  <si>
    <t>黄色雏菊</t>
  </si>
  <si>
    <t>9151.txt</t>
  </si>
  <si>
    <t>Corn Flower</t>
  </si>
  <si>
    <t>玉米花</t>
  </si>
  <si>
    <t>9152.txt</t>
  </si>
  <si>
    <t>Fire Weed</t>
  </si>
  <si>
    <t>火草</t>
  </si>
  <si>
    <t>9153.txt</t>
  </si>
  <si>
    <t>Snake Plant</t>
  </si>
  <si>
    <t>蛇植物</t>
  </si>
  <si>
    <t>9154.txt</t>
  </si>
  <si>
    <t>Monstera</t>
  </si>
  <si>
    <t>龟背竹</t>
  </si>
  <si>
    <t>9155.txt</t>
  </si>
  <si>
    <t>England Ivy</t>
  </si>
  <si>
    <t>英格兰常春藤</t>
  </si>
  <si>
    <t>9156.txt</t>
  </si>
  <si>
    <t>Plane Tree</t>
  </si>
  <si>
    <t>梧桐树</t>
  </si>
  <si>
    <t>9157.txt</t>
  </si>
  <si>
    <t>9158.txt</t>
  </si>
  <si>
    <t>Birch Tree</t>
  </si>
  <si>
    <t>白桦树</t>
  </si>
  <si>
    <t>10000.txt</t>
  </si>
  <si>
    <t>Dry Fertile Coconut Tree</t>
  </si>
  <si>
    <t>干燥肥沃的椰子树</t>
  </si>
  <si>
    <t>10001.txt</t>
  </si>
  <si>
    <t>Wet Fertile Coconut Tree</t>
  </si>
  <si>
    <t>潮湿肥沃的椰子树</t>
  </si>
  <si>
    <t>10002.txt</t>
  </si>
  <si>
    <t>Pile of Wild Peppers</t>
  </si>
  <si>
    <t>一堆野辣椒</t>
  </si>
  <si>
    <t>10003.txt</t>
  </si>
  <si>
    <t>Pile of Wild Tomato Clusters</t>
  </si>
  <si>
    <t>一堆野生番茄串</t>
  </si>
  <si>
    <t>10004.txt</t>
  </si>
  <si>
    <t>一堆裸盖菇蘑菇</t>
  </si>
  <si>
    <t>10005.txt</t>
  </si>
  <si>
    <t>Pile of Raw Beef</t>
  </si>
  <si>
    <t>一堆生牛肉</t>
  </si>
  <si>
    <t>10006.txt</t>
  </si>
  <si>
    <t>Pile of Raw Pork</t>
  </si>
  <si>
    <t>一堆生猪肉</t>
  </si>
  <si>
    <t>10007.txt</t>
  </si>
  <si>
    <t>Pile of Cooked Pork</t>
  </si>
  <si>
    <t>一堆熟猪肉</t>
  </si>
  <si>
    <t>10008.txt</t>
  </si>
  <si>
    <t>Pile of Cooked Mutton</t>
  </si>
  <si>
    <t>一堆熟羊肉</t>
  </si>
  <si>
    <t>10009.txt</t>
  </si>
  <si>
    <t>Pile of Cooked Beef</t>
  </si>
  <si>
    <t>一堆熟牛肉</t>
  </si>
  <si>
    <t>10010.txt</t>
  </si>
  <si>
    <t>Pile of Sausages</t>
  </si>
  <si>
    <t>一堆香肠</t>
  </si>
  <si>
    <t>10011.txt</t>
  </si>
  <si>
    <t>Pile of Cooked Sausages</t>
  </si>
  <si>
    <t>一堆煮熟的香肠</t>
  </si>
  <si>
    <t>10012.txt</t>
  </si>
  <si>
    <t>Satisfied Mouth</t>
  </si>
  <si>
    <t>满意的嘴</t>
  </si>
  <si>
    <t>10014.txt</t>
  </si>
  <si>
    <t>带全锅炉的多功能纽科门</t>
  </si>
  <si>
    <t>10015.txt</t>
  </si>
  <si>
    <t>多功能纽科门木炭</t>
  </si>
  <si>
    <t>10023.txt</t>
  </si>
  <si>
    <t>Baked Squash Chunks</t>
  </si>
  <si>
    <t>烤南瓜块</t>
  </si>
  <si>
    <t>10024.txt</t>
  </si>
  <si>
    <t>Brick Half Wall</t>
  </si>
  <si>
    <t>砖半墙</t>
  </si>
  <si>
    <t>10025.txt</t>
  </si>
  <si>
    <t>10026.txt</t>
  </si>
  <si>
    <t>Sandstone Half Wall</t>
  </si>
  <si>
    <t>砂岩半墙</t>
  </si>
  <si>
    <t>10027.txt</t>
  </si>
  <si>
    <t>10028.txt</t>
  </si>
  <si>
    <t>Planted Bamboo Sprouts</t>
  </si>
  <si>
    <t>种植的竹芽</t>
  </si>
  <si>
    <t>10030.txt</t>
  </si>
  <si>
    <t>Wet Bamboo Sprouts</t>
  </si>
  <si>
    <t>湿竹芽</t>
  </si>
  <si>
    <t>10032.txt</t>
  </si>
  <si>
    <t>Dry Bamboo Shoots</t>
  </si>
  <si>
    <t>干笋</t>
  </si>
  <si>
    <t>10033.txt</t>
  </si>
  <si>
    <t>Wet Bamboo Shoots</t>
  </si>
  <si>
    <t>湿笋</t>
  </si>
  <si>
    <t>10034.txt</t>
  </si>
  <si>
    <t>Domestic Bamboo</t>
  </si>
  <si>
    <t>国产竹</t>
  </si>
  <si>
    <t>10035.txt</t>
  </si>
  <si>
    <t>Cut Domestic Bamboo #shoots2</t>
  </si>
  <si>
    <t>砍伐国产竹子#shoots2</t>
  </si>
  <si>
    <t>10036.txt</t>
  </si>
  <si>
    <t>Cut Domestic Bamboo #shoots1</t>
  </si>
  <si>
    <t>切割国产竹子#shoots1</t>
  </si>
  <si>
    <t>10037.txt</t>
  </si>
  <si>
    <t>Domestic Bamboo Stumps</t>
  </si>
  <si>
    <t>国产竹桩</t>
  </si>
  <si>
    <t>10038.txt</t>
  </si>
  <si>
    <t>East-West Wall Stakes with Bricks#half</t>
  </si>
  <si>
    <t>东西墙用砖桩#half</t>
  </si>
  <si>
    <t>10039.txt</t>
  </si>
  <si>
    <t>Corner Wall Stakes with Bricks#half</t>
  </si>
  <si>
    <t>带砖的角墙桩#half</t>
  </si>
  <si>
    <t>10043.txt</t>
  </si>
  <si>
    <t>Horse #black,lead</t>
  </si>
  <si>
    <t>马#black,lead</t>
  </si>
  <si>
    <t>10044.txt</t>
  </si>
  <si>
    <t>Horse #black,loose</t>
  </si>
  <si>
    <t>马#black,loose</t>
  </si>
  <si>
    <t>10045.txt</t>
  </si>
  <si>
    <t>Horse #black,hitched,saddled</t>
  </si>
  <si>
    <t>马#black,hitched,saddled</t>
  </si>
  <si>
    <t>10048.txt</t>
  </si>
  <si>
    <t>Work Bridle</t>
  </si>
  <si>
    <t>工作缰绳</t>
  </si>
  <si>
    <t>10049.txt</t>
  </si>
  <si>
    <t>Show Bridle</t>
  </si>
  <si>
    <t>显示缰绳</t>
  </si>
  <si>
    <t>10050.txt</t>
  </si>
  <si>
    <t>Show Horse #black,riding</t>
  </si>
  <si>
    <t>显示马#black,riding</t>
  </si>
  <si>
    <t>10052.txt</t>
  </si>
  <si>
    <t>Work Horse #black,hitched</t>
  </si>
  <si>
    <t>工作马#black,hitched</t>
  </si>
  <si>
    <t>10053.txt</t>
  </si>
  <si>
    <t>Horse #black,hitched</t>
  </si>
  <si>
    <t>马#black,hitched</t>
  </si>
  <si>
    <t>10054.txt</t>
  </si>
  <si>
    <t>Show Horse #black,hitched</t>
  </si>
  <si>
    <t>显示马#black,hitched</t>
  </si>
  <si>
    <t>10055.txt</t>
  </si>
  <si>
    <t>Horse-Drawn Cart #black,hitched</t>
  </si>
  <si>
    <t>马车#black,hitched</t>
  </si>
  <si>
    <t>10056.txt</t>
  </si>
  <si>
    <t>Horse-Drawn Cart #black,riding</t>
  </si>
  <si>
    <t>马车#black,riding</t>
  </si>
  <si>
    <t>10057.txt</t>
  </si>
  <si>
    <t>Horse-Drawn Cart with Tires #black,riding</t>
  </si>
  <si>
    <t>带轮胎的马车#black,riding</t>
  </si>
  <si>
    <t>10058.txt</t>
  </si>
  <si>
    <t>Four Full and Two Cut Leather Sheets</t>
  </si>
  <si>
    <t>四张全皮和两张切割皮</t>
  </si>
  <si>
    <t>10059.txt</t>
  </si>
  <si>
    <t>Four Leather Sheets</t>
  </si>
  <si>
    <t>四张皮革</t>
  </si>
  <si>
    <t>10060.txt</t>
  </si>
  <si>
    <t>Three Leather Sheets</t>
  </si>
  <si>
    <t>三张皮革片</t>
  </si>
  <si>
    <t>10061.txt</t>
  </si>
  <si>
    <t>Four Pieces of Cut Leather Sheet with Lasso</t>
  </si>
  <si>
    <t>四片带套索的切割皮革片</t>
  </si>
  <si>
    <t>10062.txt</t>
  </si>
  <si>
    <t>Horse-Drawn Cart with Tires #black,hitched</t>
  </si>
  <si>
    <t>带轮胎的马车#black,hitched</t>
  </si>
  <si>
    <t>10063.txt</t>
  </si>
  <si>
    <t>Broken Horse Cart #black,bit</t>
  </si>
  <si>
    <t>断马车#black,bit</t>
  </si>
  <si>
    <t>10064.txt</t>
  </si>
  <si>
    <t>Broken Horse Cart with Tires #black,bit</t>
  </si>
  <si>
    <t>带轮胎的破马车#black,bit</t>
  </si>
  <si>
    <t>10065.txt</t>
  </si>
  <si>
    <t>Broken Horse Cart #black,ground</t>
  </si>
  <si>
    <t>断马车#black,ground</t>
  </si>
  <si>
    <t>10066.txt</t>
  </si>
  <si>
    <t>Broken Horse Cart with Tires #black,ground</t>
  </si>
  <si>
    <t>带轮胎的破马车#black,ground</t>
  </si>
  <si>
    <t>10067.txt</t>
  </si>
  <si>
    <t>Pile of Raw Mutton</t>
  </si>
  <si>
    <t>一堆生羊肉</t>
  </si>
  <si>
    <t>10068.txt</t>
  </si>
  <si>
    <t>Rooting Plane Tree Cutting</t>
  </si>
  <si>
    <t>生根悬铃木砍伐</t>
  </si>
  <si>
    <t>10069.txt</t>
  </si>
  <si>
    <t>Shears with Plane Tree Cutting</t>
  </si>
  <si>
    <t>梧桐树剪</t>
  </si>
  <si>
    <t>10070.txt</t>
  </si>
  <si>
    <t>Dry Plane Tree Sapling</t>
  </si>
  <si>
    <t>干悬铃木树苗</t>
  </si>
  <si>
    <t>10071.txt</t>
  </si>
  <si>
    <t>Wet Plane Tree Sapling</t>
  </si>
  <si>
    <t>湿悬铃树树苗</t>
  </si>
  <si>
    <t>10072.txt</t>
  </si>
  <si>
    <t>Wet Plane Tree Sapling Cutting</t>
  </si>
  <si>
    <t>湿法悬铃木树苗切割</t>
  </si>
  <si>
    <t>10073.txt</t>
  </si>
  <si>
    <t>Dry Plane Tree Sapling Cutting</t>
  </si>
  <si>
    <t>干悬铃木树苗切割</t>
  </si>
  <si>
    <t>10074.txt</t>
  </si>
  <si>
    <t>Shears with Birch Cutting</t>
  </si>
  <si>
    <t>桦木剪刀</t>
  </si>
  <si>
    <t>10075.txt</t>
  </si>
  <si>
    <t>Wet Birch Sapling</t>
  </si>
  <si>
    <t>湿桦树苗</t>
  </si>
  <si>
    <t>10076.txt</t>
  </si>
  <si>
    <t>Dry Birch Sapling</t>
  </si>
  <si>
    <t>干桦树苗</t>
  </si>
  <si>
    <t>10077.txt</t>
  </si>
  <si>
    <t>Wet Birch Sapling Cutting</t>
  </si>
  <si>
    <t>湿法切割桦树苗</t>
  </si>
  <si>
    <t>10078.txt</t>
  </si>
  <si>
    <t>Dry Birch Sapling Cutting</t>
  </si>
  <si>
    <t>干桦树苗切割</t>
  </si>
  <si>
    <t>10079.txt</t>
  </si>
  <si>
    <t>Table with Leavened Dough</t>
  </si>
  <si>
    <t>桌子上放着发酵面团</t>
  </si>
  <si>
    <t>10080.txt</t>
  </si>
  <si>
    <t>Table with Pizza Crust</t>
  </si>
  <si>
    <t>带披萨皮的桌子</t>
  </si>
  <si>
    <t>10081.txt</t>
  </si>
  <si>
    <t>Table with Raw Pizza</t>
  </si>
  <si>
    <t>餐桌上有生披萨</t>
  </si>
  <si>
    <t>10082.txt</t>
  </si>
  <si>
    <t>Cheese Wedges</t>
  </si>
  <si>
    <t>芝士块</t>
  </si>
  <si>
    <t>10083.txt</t>
  </si>
  <si>
    <t>Table with Raw Pizza #meat,onion</t>
  </si>
  <si>
    <t>餐桌上有生披萨#meat,onion</t>
  </si>
  <si>
    <t>10084.txt</t>
  </si>
  <si>
    <t>Table with Raw Pizza #meat,onion,tomato</t>
  </si>
  <si>
    <t>餐桌上有生披萨#meat,onion,tomato</t>
  </si>
  <si>
    <t>10085.txt</t>
  </si>
  <si>
    <t>Table with Raw Pizza #meat,onion,tomato,mushroom</t>
  </si>
  <si>
    <t>桌子上有生披萨#meat,onion,tomato,mushroom</t>
  </si>
  <si>
    <t>10086.txt</t>
  </si>
  <si>
    <t>Table with Pizza</t>
  </si>
  <si>
    <t>比萨饼桌</t>
  </si>
  <si>
    <t>10087.txt</t>
  </si>
  <si>
    <t>Raw Pizza on Flat Rock</t>
  </si>
  <si>
    <t>平岩上的生披萨</t>
  </si>
  <si>
    <t>10088.txt</t>
  </si>
  <si>
    <t>Pizza on Flat Rock</t>
  </si>
  <si>
    <t>平岩披萨</t>
  </si>
  <si>
    <t>10089.txt</t>
  </si>
  <si>
    <t>Slice of Pizza</t>
  </si>
  <si>
    <t>一片披萨</t>
  </si>
  <si>
    <t>10090.txt</t>
  </si>
  <si>
    <t>Sliced Pizza</t>
  </si>
  <si>
    <t>切片披萨</t>
  </si>
  <si>
    <t>10091.txt</t>
  </si>
  <si>
    <t>Table with Raw Pizza #meat,garlic justmade</t>
  </si>
  <si>
    <t>桌子上有生披萨#meat,garlic justmade</t>
  </si>
  <si>
    <t>10092.txt</t>
  </si>
  <si>
    <t>Table with Raw Pizza #meat,onion,tomato justmade</t>
  </si>
  <si>
    <t>桌子上有生披萨#meat,onion,tomato justmade</t>
  </si>
  <si>
    <t>10093.txt</t>
  </si>
  <si>
    <t>Table with Raw Pizza #meat,onion,tomato,mushroom justmade</t>
  </si>
  <si>
    <t>桌子上有生披萨#meat,onion,tomato,mushroom justmade</t>
  </si>
  <si>
    <t>10096.txt</t>
  </si>
  <si>
    <t>Table with Raw Pizza #meat</t>
  </si>
  <si>
    <t>生披萨桌#meat</t>
  </si>
  <si>
    <t>10097.txt</t>
  </si>
  <si>
    <t>Crock with Fish Bones</t>
  </si>
  <si>
    <t>鱼骨瓦罐</t>
  </si>
  <si>
    <t>10098.txt</t>
  </si>
  <si>
    <t>Soaking Fish Bones</t>
  </si>
  <si>
    <t>浸泡鱼骨</t>
  </si>
  <si>
    <t>10099.txt</t>
  </si>
  <si>
    <t>Cooking Fish Stew</t>
  </si>
  <si>
    <t>煮鱼炖菜</t>
  </si>
  <si>
    <t>10100.txt</t>
  </si>
  <si>
    <t>Fish Stew</t>
  </si>
  <si>
    <t>鱼汤</t>
  </si>
  <si>
    <t>10101.txt</t>
  </si>
  <si>
    <t>Bowl of Fish Stew</t>
  </si>
  <si>
    <t>一碗炖鱼</t>
  </si>
  <si>
    <t>10102.txt</t>
  </si>
  <si>
    <t>Soaking Fish Bones and Veggies</t>
  </si>
  <si>
    <t>浸泡鱼骨和蔬菜</t>
  </si>
  <si>
    <t>10118.txt</t>
  </si>
  <si>
    <t>East-West Wall Stakes with Bricks#half,partial</t>
  </si>
  <si>
    <t>东西墙用砖桩#half,partial</t>
  </si>
  <si>
    <t>10119.txt</t>
  </si>
  <si>
    <t>Corner Wall Stakes with Bricks#half,partial</t>
  </si>
  <si>
    <t>带砖的角墙桩#half,partial</t>
  </si>
  <si>
    <t>10120.txt</t>
  </si>
  <si>
    <t>North-South Wall Stakes with Bricks#half</t>
  </si>
  <si>
    <t>南北墙桩与砖#half</t>
  </si>
  <si>
    <t>10121.txt</t>
  </si>
  <si>
    <t>North-South Wall Stakes with Bricks#half,partial</t>
  </si>
  <si>
    <t>南北墙砖桩#half,partial</t>
  </si>
  <si>
    <t>10129.txt</t>
  </si>
  <si>
    <t>10130.txt</t>
  </si>
  <si>
    <t>10131.txt</t>
  </si>
  <si>
    <t>Small Cut Sandstone</t>
  </si>
  <si>
    <t>小切砂岩</t>
  </si>
  <si>
    <t>10132.txt</t>
  </si>
  <si>
    <t>Basket of Small Cut Sandstone</t>
  </si>
  <si>
    <t>一篮小切砂岩</t>
  </si>
  <si>
    <t>10133.txt</t>
  </si>
  <si>
    <t>Small Cut Sandstone #just dumped</t>
  </si>
  <si>
    <t>小切砂岩#just dumped</t>
  </si>
  <si>
    <t>10137.txt</t>
  </si>
  <si>
    <t>10138.txt</t>
  </si>
  <si>
    <t>10141.txt</t>
  </si>
  <si>
    <t>Dug Fire Weed</t>
  </si>
  <si>
    <t>挖火草</t>
  </si>
  <si>
    <t>10142.txt</t>
  </si>
  <si>
    <t>Dug England Ivy</t>
  </si>
  <si>
    <t>挖英格兰常春藤</t>
  </si>
  <si>
    <t>10143.txt</t>
  </si>
  <si>
    <t>Dug Corn Flower</t>
  </si>
  <si>
    <t>挖玉米花</t>
  </si>
  <si>
    <t>10144.txt</t>
  </si>
  <si>
    <t>Dug Yellow Daisy</t>
  </si>
  <si>
    <t>挖黄色雏菊</t>
  </si>
  <si>
    <t>10145.txt</t>
  </si>
  <si>
    <t>Dug Pink Delphinium</t>
  </si>
  <si>
    <t>挖出粉红飞燕草</t>
  </si>
  <si>
    <t>10146.txt</t>
  </si>
  <si>
    <t>Dug Blue Chrysanthemum</t>
  </si>
  <si>
    <t>挖了蓝菊花</t>
  </si>
  <si>
    <t>10147.txt</t>
  </si>
  <si>
    <t>Dug Red Snapdragon</t>
  </si>
  <si>
    <t>挖出红金鱼</t>
  </si>
  <si>
    <t>10150.txt</t>
  </si>
  <si>
    <t>Dug Pink Peony</t>
  </si>
  <si>
    <t>挖粉红牡丹</t>
  </si>
  <si>
    <t>10151.txt</t>
  </si>
  <si>
    <t>Dug Red Windflower</t>
  </si>
  <si>
    <t>挖了红风花</t>
  </si>
  <si>
    <t>10152.txt</t>
  </si>
  <si>
    <t>Dug Dandelion</t>
  </si>
  <si>
    <t>挖蒲公英</t>
  </si>
  <si>
    <t>10153.txt</t>
  </si>
  <si>
    <t>Dry Planted Morning Glory</t>
  </si>
  <si>
    <t>干植牵牛花</t>
  </si>
  <si>
    <t>10154.txt</t>
  </si>
  <si>
    <t>Wet Planted Morning Glory</t>
  </si>
  <si>
    <t>湿植牵牛花</t>
  </si>
  <si>
    <t>10155.txt</t>
  </si>
  <si>
    <t>Dry Morning Glory Sprout</t>
  </si>
  <si>
    <t>干牵牛花芽</t>
  </si>
  <si>
    <t>10156.txt</t>
  </si>
  <si>
    <t>Wet Morning Glory Sprout</t>
  </si>
  <si>
    <t>湿牵牛花芽</t>
  </si>
  <si>
    <t>10157.txt</t>
  </si>
  <si>
    <t>Budding Morning Glory</t>
  </si>
  <si>
    <t>含苞待放的牵牛花</t>
  </si>
  <si>
    <t>10161.txt</t>
  </si>
  <si>
    <t>Dug Snake Plant</t>
  </si>
  <si>
    <t>挖蛇厂</t>
  </si>
  <si>
    <t>10174.txt</t>
  </si>
  <si>
    <t>Dead Dandelion</t>
  </si>
  <si>
    <t>死蒲公英</t>
  </si>
  <si>
    <t>10175.txt</t>
  </si>
  <si>
    <t>Dead Snake Plant</t>
  </si>
  <si>
    <t>死蛇植物</t>
  </si>
  <si>
    <t>10176.txt</t>
  </si>
  <si>
    <t>Dead Red Windflower</t>
  </si>
  <si>
    <t>死红风花</t>
  </si>
  <si>
    <t>10177.txt</t>
  </si>
  <si>
    <t>Dead Pink Peony</t>
  </si>
  <si>
    <t>死粉红牡丹</t>
  </si>
  <si>
    <t>10178.txt</t>
  </si>
  <si>
    <t>Dead Blue Chrysanthemum</t>
  </si>
  <si>
    <t>死蓝菊花</t>
  </si>
  <si>
    <t>10179.txt</t>
  </si>
  <si>
    <t>Dead Pink Delphinium</t>
  </si>
  <si>
    <t>死粉红飞燕草</t>
  </si>
  <si>
    <t>10180.txt</t>
  </si>
  <si>
    <t>Dead Yellow Daisy</t>
  </si>
  <si>
    <t>死黄雏菊</t>
  </si>
  <si>
    <t>10181.txt</t>
  </si>
  <si>
    <t>Dead Corn Flower</t>
  </si>
  <si>
    <t>死玉米花</t>
  </si>
  <si>
    <t>10182.txt</t>
  </si>
  <si>
    <t>Dead England Ivy</t>
  </si>
  <si>
    <t>死去的英格兰常春藤</t>
  </si>
  <si>
    <t>10183.txt</t>
  </si>
  <si>
    <t>Dead Fire Weed</t>
  </si>
  <si>
    <t>死火杂草</t>
  </si>
  <si>
    <t>10184.txt</t>
  </si>
  <si>
    <t>@ Decorative Plants #dug</t>
  </si>
  <si>
    <t>10185.txt</t>
  </si>
  <si>
    <t>@ Decorative Plants #dead</t>
  </si>
  <si>
    <t>10187.txt</t>
  </si>
  <si>
    <t>Dead Red Snapdragon</t>
  </si>
  <si>
    <t>死红金鱼草</t>
  </si>
  <si>
    <t>10189.txt</t>
  </si>
  <si>
    <t>Dead Morning Glory</t>
  </si>
  <si>
    <t>死牵牛花</t>
  </si>
  <si>
    <t>10191.txt</t>
  </si>
  <si>
    <t>Dug Monstera</t>
  </si>
  <si>
    <t>挖龟背竹</t>
  </si>
  <si>
    <t>10192.txt</t>
  </si>
  <si>
    <t>Dead Monstera</t>
  </si>
  <si>
    <t>死龟背竹</t>
  </si>
  <si>
    <t>10198.txt</t>
  </si>
  <si>
    <t>Fire Weed #bee</t>
  </si>
  <si>
    <t>火草#bee</t>
  </si>
  <si>
    <t>10199.txt</t>
  </si>
  <si>
    <t>Corn Flower #bee</t>
  </si>
  <si>
    <t>玉米花#bee</t>
  </si>
  <si>
    <t>10200.txt</t>
  </si>
  <si>
    <t>Yellow Daisy #bee</t>
  </si>
  <si>
    <t>黄色雏菊#bee</t>
  </si>
  <si>
    <t>10201.txt</t>
  </si>
  <si>
    <t>Pink Delphinium #bee</t>
  </si>
  <si>
    <t>粉红飞燕草#bee</t>
  </si>
  <si>
    <t>10202.txt</t>
  </si>
  <si>
    <t>Red Windflower #bee</t>
  </si>
  <si>
    <t>红风花#bee</t>
  </si>
  <si>
    <t>10203.txt</t>
  </si>
  <si>
    <t>Blue Chrysanthemum #bee</t>
  </si>
  <si>
    <t>蓝菊花#bee</t>
  </si>
  <si>
    <t>10204.txt</t>
  </si>
  <si>
    <t>Pink Peony #bee</t>
  </si>
  <si>
    <t>粉红牡丹#bee</t>
  </si>
  <si>
    <t>10205.txt</t>
  </si>
  <si>
    <t>Red Snapdragon #bee</t>
  </si>
  <si>
    <t>红色金鱼草#bee</t>
  </si>
  <si>
    <t>10206.txt</t>
  </si>
  <si>
    <t>Dandelion #bee</t>
  </si>
  <si>
    <t>蒲公英#bee</t>
  </si>
  <si>
    <t>10207.txt</t>
  </si>
  <si>
    <t>@ Pollinating Flowers</t>
  </si>
  <si>
    <t>10208.txt</t>
  </si>
  <si>
    <t>@ Pollinating Flowers #bee</t>
  </si>
  <si>
    <t>10209.txt</t>
  </si>
  <si>
    <t>Rocky Hill#explosive</t>
  </si>
  <si>
    <t>采石矿山#explosive</t>
  </si>
  <si>
    <t>10210.txt</t>
  </si>
  <si>
    <t>Rocky Hill#explosion</t>
  </si>
  <si>
    <t>采石矿山#explosion</t>
  </si>
  <si>
    <t>10211.txt</t>
  </si>
  <si>
    <t>Rocky Hill#explosive lit</t>
  </si>
  <si>
    <t>洛基山#explosive lit</t>
  </si>
  <si>
    <t>10213.txt</t>
  </si>
  <si>
    <t>Quarry Cave Rubble#full</t>
  </si>
  <si>
    <t>采石场洞穴碎石#full</t>
  </si>
  <si>
    <t>10214.txt</t>
  </si>
  <si>
    <t>Quarry Cave Rubble#1</t>
  </si>
  <si>
    <t>采石场洞穴碎石#1</t>
  </si>
  <si>
    <t>10215.txt</t>
  </si>
  <si>
    <t>Quarry Cave Rubble#2</t>
  </si>
  <si>
    <t>采石场洞穴碎石#2</t>
  </si>
  <si>
    <t>10216.txt</t>
  </si>
  <si>
    <t>Quarry Cave Rubble#3</t>
  </si>
  <si>
    <t>采石场洞穴碎石#3</t>
  </si>
  <si>
    <t>10217.txt</t>
  </si>
  <si>
    <t>Quarry Cave Rubble#4</t>
  </si>
  <si>
    <t>采石场洞穴碎石#4</t>
  </si>
  <si>
    <t>10218.txt</t>
  </si>
  <si>
    <t>Quarry Cave Rubble#5</t>
  </si>
  <si>
    <t>采石场洞穴碎石#5</t>
  </si>
  <si>
    <t>10219.txt</t>
  </si>
  <si>
    <t>Quarry Cave Rubble#6</t>
  </si>
  <si>
    <t>采石场洞穴碎石#6</t>
  </si>
  <si>
    <t>10220.txt</t>
  </si>
  <si>
    <t>Quarry Cave #explosion</t>
  </si>
  <si>
    <t>采石场洞穴#explosion</t>
  </si>
  <si>
    <t>10221.txt</t>
  </si>
  <si>
    <t>Quarry Cave#explosive</t>
  </si>
  <si>
    <t>10222.txt</t>
  </si>
  <si>
    <t>Quarry Cave#explosive lit</t>
  </si>
  <si>
    <t>10223.txt</t>
  </si>
  <si>
    <t>Morning Glory #bee</t>
  </si>
  <si>
    <t>牵牛花#bee</t>
  </si>
  <si>
    <t>10225.txt</t>
  </si>
  <si>
    <t>Crock with Wood Shavings</t>
  </si>
  <si>
    <t>瓦罐与木屑</t>
  </si>
  <si>
    <t>10226.txt</t>
  </si>
  <si>
    <t>Crock with Soaked Wood Shavings</t>
  </si>
  <si>
    <t>陶罐与浸泡过的木屑</t>
  </si>
  <si>
    <t>10227.txt</t>
  </si>
  <si>
    <t>Simmering Wood Shavings</t>
  </si>
  <si>
    <t>煨木屑</t>
  </si>
  <si>
    <t>10228.txt</t>
  </si>
  <si>
    <t>Crock with Cooked Wood Shavings</t>
  </si>
  <si>
    <t>瓦罐与熟木屑</t>
  </si>
  <si>
    <t>10229.txt</t>
  </si>
  <si>
    <t>Cooked Wood Shavings</t>
  </si>
  <si>
    <t>熟木屑</t>
  </si>
  <si>
    <t>10230.txt</t>
  </si>
  <si>
    <t>Crock with Wood Pulp</t>
  </si>
  <si>
    <t>木浆陶罐</t>
  </si>
  <si>
    <t>10231.txt</t>
  </si>
  <si>
    <t>Table with Wood Pulp</t>
  </si>
  <si>
    <t>木浆桌子</t>
  </si>
  <si>
    <t>10232.txt</t>
  </si>
  <si>
    <t>Table with Pulp Sheets</t>
  </si>
  <si>
    <t>带纸浆板的桌子</t>
  </si>
  <si>
    <t>10233.txt</t>
  </si>
  <si>
    <t>Paper Table</t>
  </si>
  <si>
    <t>纸桌</t>
  </si>
  <si>
    <t>10234.txt</t>
  </si>
  <si>
    <t>Crock with Wood Shavings #full</t>
  </si>
  <si>
    <t>带木屑的陶罐#full</t>
  </si>
  <si>
    <t>10235.txt</t>
  </si>
  <si>
    <t>Crock with Soaked Wood Shavings #full</t>
  </si>
  <si>
    <t>瓦罐与浸泡的木屑#full</t>
  </si>
  <si>
    <t>10236.txt</t>
  </si>
  <si>
    <t>Flat Rock in Wooden Tongs</t>
  </si>
  <si>
    <t>木钳中的扁石</t>
  </si>
  <si>
    <t>10237.txt</t>
  </si>
  <si>
    <t>Hot Partial Sewing Machine #wooden tongs</t>
  </si>
  <si>
    <t>热局部缝纫机#wooden tongs</t>
  </si>
  <si>
    <t>10238.txt</t>
  </si>
  <si>
    <t>Partial Sewing Machine #wooden tongs</t>
  </si>
  <si>
    <t>部分缝纫机#wooden tongs</t>
  </si>
  <si>
    <t>10239.txt</t>
  </si>
  <si>
    <t>Crude Piston #wooden tongs</t>
  </si>
  <si>
    <t>粗活塞#wooden tongs</t>
  </si>
  <si>
    <t>10240.txt</t>
  </si>
  <si>
    <t>Hot Piston #wooden tongs</t>
  </si>
  <si>
    <t>热活塞#wooden tongs</t>
  </si>
  <si>
    <t>10241.txt</t>
  </si>
  <si>
    <t>Hot Iron Griddle #wooden tongs</t>
  </si>
  <si>
    <t>热铁锅#wooden tongs</t>
  </si>
  <si>
    <t>10242.txt</t>
  </si>
  <si>
    <t>Iron Griddle #wooden tongs</t>
  </si>
  <si>
    <t>铁锅#wooden tongs</t>
  </si>
  <si>
    <t>10243.txt</t>
  </si>
  <si>
    <t>(outdated) Hot Stove Pot #wooden tongs</t>
  </si>
  <si>
    <t>#wooden tongs</t>
  </si>
  <si>
    <t>10244.txt</t>
  </si>
  <si>
    <t>Lined Copper Pot with Tin Ingot in Tongs</t>
  </si>
  <si>
    <t>内衬铜锅夹锡锭</t>
  </si>
  <si>
    <t>10245.txt</t>
  </si>
  <si>
    <t>Hot Cylinder #wooden tongs</t>
  </si>
  <si>
    <t>热缸#wooden tongs</t>
  </si>
  <si>
    <t>10246.txt</t>
  </si>
  <si>
    <t>Cylinder #wooden tongs</t>
  </si>
  <si>
    <t>气缸#wooden tongs</t>
  </si>
  <si>
    <t>10247.txt</t>
  </si>
  <si>
    <t>Hot Fuel Tank #wooden tongs</t>
  </si>
  <si>
    <t>热油箱#wooden tongs</t>
  </si>
  <si>
    <t>10248.txt</t>
  </si>
  <si>
    <t>Fuel Tank #wooden tongs</t>
  </si>
  <si>
    <t>油箱#wooden tongs</t>
  </si>
  <si>
    <t>10249.txt</t>
  </si>
  <si>
    <t>Hot Tank #wooden tongs</t>
  </si>
  <si>
    <t>热罐#wooden tongs</t>
  </si>
  <si>
    <t>10250.txt</t>
  </si>
  <si>
    <t>Tank #wooden tongs</t>
  </si>
  <si>
    <t>坦克#wooden tongs</t>
  </si>
  <si>
    <t>10251.txt</t>
  </si>
  <si>
    <t>Hot Iron Door #wooden tongs</t>
  </si>
  <si>
    <t>热铁门#wooden tongs</t>
  </si>
  <si>
    <t>10252.txt</t>
  </si>
  <si>
    <t>Iron Door #wooden tongs</t>
  </si>
  <si>
    <t>铁门#wooden tongs</t>
  </si>
  <si>
    <t>10253.txt</t>
  </si>
  <si>
    <t>@ Wrought Iron Items #tongs</t>
  </si>
  <si>
    <t>10254.txt</t>
  </si>
  <si>
    <t>@ Wrought Iron Items - Hot</t>
  </si>
  <si>
    <t>10255.txt</t>
  </si>
  <si>
    <t>@ Wrought Iron Items - Flat Rock</t>
  </si>
  <si>
    <t>10256.txt</t>
  </si>
  <si>
    <t>@ Wrought Iron Items - Hot Flat Rock</t>
  </si>
  <si>
    <t>10257.txt</t>
  </si>
  <si>
    <t>@ Wrought Iron Items</t>
  </si>
  <si>
    <t>10258.txt</t>
  </si>
  <si>
    <t>一碗鹅蛋</t>
  </si>
  <si>
    <t>10263.txt</t>
  </si>
  <si>
    <t>Apple Juice Bottle</t>
  </si>
  <si>
    <t>苹果汁瓶</t>
  </si>
  <si>
    <t>10264.txt</t>
  </si>
  <si>
    <t>(outdated) Glass of Apple Juice</t>
  </si>
  <si>
    <t>10265.txt</t>
  </si>
  <si>
    <t>Orange Juice Bottle</t>
  </si>
  <si>
    <t>橙汁瓶</t>
  </si>
  <si>
    <t>10266.txt</t>
  </si>
  <si>
    <t>(outdated) Glass of Orange Juice</t>
  </si>
  <si>
    <t>10267.txt</t>
  </si>
  <si>
    <t>Lemonade Bottle</t>
  </si>
  <si>
    <t>柠檬水瓶</t>
  </si>
  <si>
    <t>10268.txt</t>
  </si>
  <si>
    <t>(outdated) Glass of Lemonade</t>
  </si>
  <si>
    <t>10269.txt</t>
  </si>
  <si>
    <t>Crock with Apples</t>
  </si>
  <si>
    <t>瓦罐苹果</t>
  </si>
  <si>
    <t>10270.txt</t>
  </si>
  <si>
    <t>Crock with Apples #full</t>
  </si>
  <si>
    <t>苹果罐#full</t>
  </si>
  <si>
    <t>10271.txt</t>
  </si>
  <si>
    <t>Crock with Juiced Apples</t>
  </si>
  <si>
    <t>苹果汁瓦罐</t>
  </si>
  <si>
    <t>10272.txt</t>
  </si>
  <si>
    <t>Crock with Apple Juice</t>
  </si>
  <si>
    <t>瓦罐苹果汁</t>
  </si>
  <si>
    <t>10273.txt</t>
  </si>
  <si>
    <t>Crock with Oranges</t>
  </si>
  <si>
    <t>瓦罐橙子</t>
  </si>
  <si>
    <t>10274.txt</t>
  </si>
  <si>
    <t>Crock with Oranges #full</t>
  </si>
  <si>
    <t>瓦罐橙子#full</t>
  </si>
  <si>
    <t>10275.txt</t>
  </si>
  <si>
    <t>Crock with Juiced Oranges</t>
  </si>
  <si>
    <t>罐装橙汁</t>
  </si>
  <si>
    <t>10276.txt</t>
  </si>
  <si>
    <t>Crock with Orange Juice</t>
  </si>
  <si>
    <t>瓦罐橙汁</t>
  </si>
  <si>
    <t>10277.txt</t>
  </si>
  <si>
    <t>Crock with Lemons</t>
  </si>
  <si>
    <t>罐柠檬</t>
  </si>
  <si>
    <t>10278.txt</t>
  </si>
  <si>
    <t>Crock with Lemons #full</t>
  </si>
  <si>
    <t>罐装柠檬#full</t>
  </si>
  <si>
    <t>10279.txt</t>
  </si>
  <si>
    <t>Crock with Juiced Lemons</t>
  </si>
  <si>
    <t>罐装柠檬汁</t>
  </si>
  <si>
    <t>10280.txt</t>
  </si>
  <si>
    <t>Crock with Lemonade</t>
  </si>
  <si>
    <t>瓦罐柠檬水</t>
  </si>
  <si>
    <t>10284.txt</t>
  </si>
  <si>
    <t>Birch Tree Cutting</t>
  </si>
  <si>
    <t>白桦树砍伐</t>
  </si>
  <si>
    <t>10285.txt</t>
  </si>
  <si>
    <t>Rooting Birch Tree Cutting</t>
  </si>
  <si>
    <t>生根桦树切割</t>
  </si>
  <si>
    <t>10286.txt</t>
  </si>
  <si>
    <t>Plane Tree Cutting</t>
  </si>
  <si>
    <t>梧桐树砍伐</t>
  </si>
  <si>
    <t>10287.txt</t>
  </si>
  <si>
    <t>Perhaps Big Plane Tree</t>
  </si>
  <si>
    <t>也许是大梧桐树</t>
  </si>
  <si>
    <t>10288.txt</t>
  </si>
  <si>
    <t>Ashes with Crock of Cooked Wood Shavings</t>
  </si>
  <si>
    <t>灰烬与一缸熟木屑</t>
  </si>
  <si>
    <t>10290.txt</t>
  </si>
  <si>
    <t>Raw Beaver</t>
  </si>
  <si>
    <t>生海狸</t>
  </si>
  <si>
    <t>10291.txt</t>
  </si>
  <si>
    <t>Beaver Bones</t>
  </si>
  <si>
    <t>海狸骨头</t>
  </si>
  <si>
    <t>10292.txt</t>
  </si>
  <si>
    <t>Burnt Beaver</t>
  </si>
  <si>
    <t>烧焦的海狸</t>
  </si>
  <si>
    <t>10293.txt</t>
  </si>
  <si>
    <t>10294.txt</t>
  </si>
  <si>
    <t>Basket of Beaver Bones</t>
  </si>
  <si>
    <t>一篮子海狸骨头</t>
  </si>
  <si>
    <t>10295.txt</t>
  </si>
  <si>
    <t>Shears with England Ivy Cutting</t>
  </si>
  <si>
    <t>英格兰常春藤剪裁剪刀</t>
  </si>
  <si>
    <t>10296.txt</t>
  </si>
  <si>
    <t>England Ivy Cutting</t>
  </si>
  <si>
    <t>英格兰常春藤切割</t>
  </si>
  <si>
    <t>10297.txt</t>
  </si>
  <si>
    <t>Rooting England Ivy Cutting</t>
  </si>
  <si>
    <t>扎根英格兰常春藤修剪</t>
  </si>
  <si>
    <t>10298.txt</t>
  </si>
  <si>
    <t>Dry Planted England Ivy</t>
  </si>
  <si>
    <t>干植英格兰常春藤</t>
  </si>
  <si>
    <t>10299.txt</t>
  </si>
  <si>
    <t>Wet Planted England Ivy</t>
  </si>
  <si>
    <t>湿植英格兰常春藤</t>
  </si>
  <si>
    <t>10300.txt</t>
  </si>
  <si>
    <t>Dry England Ivy Sprout</t>
  </si>
  <si>
    <t>干英格兰常春藤芽</t>
  </si>
  <si>
    <t>10301.txt</t>
  </si>
  <si>
    <t>Wet England Ivy Sprout</t>
  </si>
  <si>
    <t>湿英格兰常春藤芽</t>
  </si>
  <si>
    <t>10302.txt</t>
  </si>
  <si>
    <t>Maturing England Ivy</t>
  </si>
  <si>
    <t>成熟的英格兰常春藤</t>
  </si>
  <si>
    <t>10303.txt</t>
  </si>
  <si>
    <t>Shears with Yellow Daisy Cutting</t>
  </si>
  <si>
    <t>黄色雏菊剪</t>
  </si>
  <si>
    <t>10304.txt</t>
  </si>
  <si>
    <t>Yellow Daisy Cutting</t>
  </si>
  <si>
    <t>黄色雏菊切割</t>
  </si>
  <si>
    <t>10305.txt</t>
  </si>
  <si>
    <t>Rooting Yellow Daisy Cutting</t>
  </si>
  <si>
    <t>生根黄色雏菊切割</t>
  </si>
  <si>
    <t>10306.txt</t>
  </si>
  <si>
    <t>Dry Planted Yellow Daisy</t>
  </si>
  <si>
    <t>干植黄雏菊</t>
  </si>
  <si>
    <t>10307.txt</t>
  </si>
  <si>
    <t>Wet Planted Yellow Daisy</t>
  </si>
  <si>
    <t>湿植黄雏菊</t>
  </si>
  <si>
    <t>10308.txt</t>
  </si>
  <si>
    <t>Dry Yellow Daisy Sprout</t>
  </si>
  <si>
    <t>干黄雏菊芽</t>
  </si>
  <si>
    <t>10309.txt</t>
  </si>
  <si>
    <t>Wet Yellow Daisy Sprout</t>
  </si>
  <si>
    <t>湿黄雏菊芽</t>
  </si>
  <si>
    <t>10310.txt</t>
  </si>
  <si>
    <t>Budding Yellow Daisy</t>
  </si>
  <si>
    <t>含苞待放的黄色雏菊</t>
  </si>
  <si>
    <t>10311.txt</t>
  </si>
  <si>
    <t>Shears with Monstera Cutting</t>
  </si>
  <si>
    <t>龟背竹剪剪</t>
  </si>
  <si>
    <t>10312.txt</t>
  </si>
  <si>
    <t>Monstera Cutting</t>
  </si>
  <si>
    <t>龟背竹切割</t>
  </si>
  <si>
    <t>10313.txt</t>
  </si>
  <si>
    <t>Rooting Monstera Cutting</t>
  </si>
  <si>
    <t>龟背竹生根切割</t>
  </si>
  <si>
    <t>10314.txt</t>
  </si>
  <si>
    <t>Dry Planted Monstera</t>
  </si>
  <si>
    <t>干植龟背竹</t>
  </si>
  <si>
    <t>10315.txt</t>
  </si>
  <si>
    <t>Wet Planted Monstera</t>
  </si>
  <si>
    <t>湿植龟背竹</t>
  </si>
  <si>
    <t>10316.txt</t>
  </si>
  <si>
    <t>Dry Monstera Sprout</t>
  </si>
  <si>
    <t>干龟背竹芽</t>
  </si>
  <si>
    <t>10317.txt</t>
  </si>
  <si>
    <t>Wet Monstera Sprout</t>
  </si>
  <si>
    <t>湿龟背竹芽</t>
  </si>
  <si>
    <t>10318.txt</t>
  </si>
  <si>
    <t>Maturing Monstera</t>
  </si>
  <si>
    <t>龟背竹的成熟</t>
  </si>
  <si>
    <t>10319.txt</t>
  </si>
  <si>
    <t>Shears with Blue Chrysanthemum Cutting</t>
  </si>
  <si>
    <t>蓝菊花剪</t>
  </si>
  <si>
    <t>10320.txt</t>
  </si>
  <si>
    <t>Blue Chrysanthemum Cutting</t>
  </si>
  <si>
    <t>蓝菊花切花</t>
  </si>
  <si>
    <t>10321.txt</t>
  </si>
  <si>
    <t>Rooting Blue Chrysanthemum Cutting</t>
  </si>
  <si>
    <t>生根蓝菊花切割</t>
  </si>
  <si>
    <t>10322.txt</t>
  </si>
  <si>
    <t>Dry Planted Blue Chrysanthemum</t>
  </si>
  <si>
    <t>干植蓝菊花</t>
  </si>
  <si>
    <t>10323.txt</t>
  </si>
  <si>
    <t>Wet Planted Blue Chrysanthemum</t>
  </si>
  <si>
    <t>湿植蓝菊花</t>
  </si>
  <si>
    <t>10324.txt</t>
  </si>
  <si>
    <t>Dry Blue Chrysanthemum Sprout</t>
  </si>
  <si>
    <t>干蓝菊花芽</t>
  </si>
  <si>
    <t>10325.txt</t>
  </si>
  <si>
    <t>Wet Blue Chrysanthemum Sprout</t>
  </si>
  <si>
    <t>蓝湿菊花芽</t>
  </si>
  <si>
    <t>10326.txt</t>
  </si>
  <si>
    <t>Budding Blue Chrysanthemum</t>
  </si>
  <si>
    <t>含苞待放的蓝菊花</t>
  </si>
  <si>
    <t>10327.txt</t>
  </si>
  <si>
    <t>Shears with Fire Weed Cutting</t>
  </si>
  <si>
    <t>带火除草的剪刀</t>
  </si>
  <si>
    <t>10328.txt</t>
  </si>
  <si>
    <t>Fire Weed Cutting</t>
  </si>
  <si>
    <t>火除草</t>
  </si>
  <si>
    <t>10329.txt</t>
  </si>
  <si>
    <t>Rooting Fire Weed Cutting</t>
  </si>
  <si>
    <t>生根火除草</t>
  </si>
  <si>
    <t>10330.txt</t>
  </si>
  <si>
    <t>Dry Planted Fire Weed</t>
  </si>
  <si>
    <t>干植火草</t>
  </si>
  <si>
    <t>10331.txt</t>
  </si>
  <si>
    <t>Wet Planted Fire Weed</t>
  </si>
  <si>
    <t>湿植火草</t>
  </si>
  <si>
    <t>10332.txt</t>
  </si>
  <si>
    <t>Dry Fire Weed Sprout</t>
  </si>
  <si>
    <t>干火杂草发芽</t>
  </si>
  <si>
    <t>10333.txt</t>
  </si>
  <si>
    <t>Wet Fire Weed Sprout</t>
  </si>
  <si>
    <t>湿火杂草芽</t>
  </si>
  <si>
    <t>10334.txt</t>
  </si>
  <si>
    <t>Budding Fire Weed</t>
  </si>
  <si>
    <t>发芽的火草</t>
  </si>
  <si>
    <t>10335.txt</t>
  </si>
  <si>
    <t>Shears with Red Windflower Cutting</t>
  </si>
  <si>
    <t>红色白头翁剪</t>
  </si>
  <si>
    <t>10336.txt</t>
  </si>
  <si>
    <t>Red Windflower Cutting</t>
  </si>
  <si>
    <t>红风花切割</t>
  </si>
  <si>
    <t>10337.txt</t>
  </si>
  <si>
    <t>Rooting Red Windflower Cutting</t>
  </si>
  <si>
    <t>生根红风花切割</t>
  </si>
  <si>
    <t>10338.txt</t>
  </si>
  <si>
    <t>Dry Planted Red Windflower</t>
  </si>
  <si>
    <t>干植红白头翁</t>
  </si>
  <si>
    <t>10339.txt</t>
  </si>
  <si>
    <t>Wet Planted Red Windflower</t>
  </si>
  <si>
    <t>湿植红白头翁</t>
  </si>
  <si>
    <t>10340.txt</t>
  </si>
  <si>
    <t>Dry Red Windflower Sprout</t>
  </si>
  <si>
    <t>干红白头翁花芽</t>
  </si>
  <si>
    <t>10341.txt</t>
  </si>
  <si>
    <t>Wet Red Windflower Sprout</t>
  </si>
  <si>
    <t>湿红白头翁花芽</t>
  </si>
  <si>
    <t>10342.txt</t>
  </si>
  <si>
    <t>Budding Red Windflower</t>
  </si>
  <si>
    <t>含苞待放的红风花</t>
  </si>
  <si>
    <t>10343.txt</t>
  </si>
  <si>
    <t>Shears with Corn Flower Cutting</t>
  </si>
  <si>
    <t>玉米花剪</t>
  </si>
  <si>
    <t>10344.txt</t>
  </si>
  <si>
    <t>Corn Flower Cutting</t>
  </si>
  <si>
    <t>玉米花切花</t>
  </si>
  <si>
    <t>10345.txt</t>
  </si>
  <si>
    <t>Rooting Corn Flower Cutting</t>
  </si>
  <si>
    <t>生根玉米花切花</t>
  </si>
  <si>
    <t>10346.txt</t>
  </si>
  <si>
    <t>Dry Planted Corn Flower</t>
  </si>
  <si>
    <t>干植玉米花</t>
  </si>
  <si>
    <t>10347.txt</t>
  </si>
  <si>
    <t>Wet Planted Corn Flower</t>
  </si>
  <si>
    <t>湿植玉米花</t>
  </si>
  <si>
    <t>10348.txt</t>
  </si>
  <si>
    <t>Dry Corn Flower Sprout</t>
  </si>
  <si>
    <t>干玉米花芽</t>
  </si>
  <si>
    <t>10349.txt</t>
  </si>
  <si>
    <t>Wet Corn Flower Sprout</t>
  </si>
  <si>
    <t>湿玉米花芽</t>
  </si>
  <si>
    <t>10350.txt</t>
  </si>
  <si>
    <t>Budding Corn Flower</t>
  </si>
  <si>
    <t>含苞待放的玉米花</t>
  </si>
  <si>
    <t>10351.txt</t>
  </si>
  <si>
    <t>Shears with Pink Delphinium Cutting</t>
  </si>
  <si>
    <t>粉色翠雀花剪</t>
  </si>
  <si>
    <t>10352.txt</t>
  </si>
  <si>
    <t>Pink Delphinium Cutting</t>
  </si>
  <si>
    <t>粉色飞燕草切割</t>
  </si>
  <si>
    <t>10353.txt</t>
  </si>
  <si>
    <t>Rooting Pink Delphinium Cutting</t>
  </si>
  <si>
    <t>生根粉色飞燕草切割</t>
  </si>
  <si>
    <t>10354.txt</t>
  </si>
  <si>
    <t>Dry Planted Pink Delphinium</t>
  </si>
  <si>
    <t>干植粉红飞燕草</t>
  </si>
  <si>
    <t>10355.txt</t>
  </si>
  <si>
    <t>Wet Planted Pink Delphinium</t>
  </si>
  <si>
    <t>湿植粉红飞燕草</t>
  </si>
  <si>
    <t>10356.txt</t>
  </si>
  <si>
    <t>Dry Pink Delphinium Sprout</t>
  </si>
  <si>
    <t>干粉红飞燕草芽</t>
  </si>
  <si>
    <t>10357.txt</t>
  </si>
  <si>
    <t>Wet Pink Delphinium Sprout</t>
  </si>
  <si>
    <t>湿粉红飞燕草芽</t>
  </si>
  <si>
    <t>10358.txt</t>
  </si>
  <si>
    <t>Budding Pink Delphinium</t>
  </si>
  <si>
    <t>萌芽的粉红飞燕草</t>
  </si>
  <si>
    <t>10359.txt</t>
  </si>
  <si>
    <t>Shears with Dandelion Cutting</t>
  </si>
  <si>
    <t>剪蒲公英的剪刀</t>
  </si>
  <si>
    <t>10360.txt</t>
  </si>
  <si>
    <t>Dandelion Cutting</t>
  </si>
  <si>
    <t>蒲公英切割</t>
  </si>
  <si>
    <t>10361.txt</t>
  </si>
  <si>
    <t>Rooting Dandelion Cutting</t>
  </si>
  <si>
    <t>生根蒲公英切割</t>
  </si>
  <si>
    <t>10362.txt</t>
  </si>
  <si>
    <t>Dry Planted Dandelion</t>
  </si>
  <si>
    <t>干植蒲公英</t>
  </si>
  <si>
    <t>10363.txt</t>
  </si>
  <si>
    <t>Wet Planted Dandelion</t>
  </si>
  <si>
    <t>湿植蒲公英</t>
  </si>
  <si>
    <t>10364.txt</t>
  </si>
  <si>
    <t>Dry Dandelion Sprout</t>
  </si>
  <si>
    <t>干蒲公英芽</t>
  </si>
  <si>
    <t>10365.txt</t>
  </si>
  <si>
    <t>Wet Dandelion Sprout</t>
  </si>
  <si>
    <t>湿蒲公英芽</t>
  </si>
  <si>
    <t>10366.txt</t>
  </si>
  <si>
    <t>Budding Dandelion</t>
  </si>
  <si>
    <t>含苞待放的蒲公英</t>
  </si>
  <si>
    <t>10367.txt</t>
  </si>
  <si>
    <t>Shears with Pink Peony Cutting</t>
  </si>
  <si>
    <t>粉色牡丹剪剪</t>
  </si>
  <si>
    <t>10368.txt</t>
  </si>
  <si>
    <t>Pink Peony Cutting</t>
  </si>
  <si>
    <t>粉红牡丹切割</t>
  </si>
  <si>
    <t>10369.txt</t>
  </si>
  <si>
    <t>Rooting Pink Peony Cutting</t>
  </si>
  <si>
    <t>生根粉红牡丹切割</t>
  </si>
  <si>
    <t>10370.txt</t>
  </si>
  <si>
    <t>Dry Planted Pink Peony</t>
  </si>
  <si>
    <t>干植粉红牡丹</t>
  </si>
  <si>
    <t>10371.txt</t>
  </si>
  <si>
    <t>Wet Planted Pink Peony</t>
  </si>
  <si>
    <t>湿植粉红牡丹</t>
  </si>
  <si>
    <t>10372.txt</t>
  </si>
  <si>
    <t>Dry Pink Peony Sprout</t>
  </si>
  <si>
    <t>干粉红牡丹芽</t>
  </si>
  <si>
    <t>10373.txt</t>
  </si>
  <si>
    <t>Wet Pink Peony Sprout</t>
  </si>
  <si>
    <t>湿粉红牡丹芽</t>
  </si>
  <si>
    <t>10374.txt</t>
  </si>
  <si>
    <t>Budding Pink Peony</t>
  </si>
  <si>
    <t>含苞待放的粉红牡丹</t>
  </si>
  <si>
    <t>10375.txt</t>
  </si>
  <si>
    <t>Shears with Red Snapdragon Cutting</t>
  </si>
  <si>
    <t>红金鱼草剪刀</t>
  </si>
  <si>
    <t>10376.txt</t>
  </si>
  <si>
    <t>Red Snapdragon Cutting</t>
  </si>
  <si>
    <t>红金鱼草切割</t>
  </si>
  <si>
    <t>10377.txt</t>
  </si>
  <si>
    <t>Rooting Red Snapdragon Cutting</t>
  </si>
  <si>
    <t>生根红金鱼草切割</t>
  </si>
  <si>
    <t>10378.txt</t>
  </si>
  <si>
    <t>Dry Planted Red Snapdragon</t>
  </si>
  <si>
    <t>干植红金鱼草</t>
  </si>
  <si>
    <t>10379.txt</t>
  </si>
  <si>
    <t>Wet Planted Red Snapdragon</t>
  </si>
  <si>
    <t>湿植红金鱼草</t>
  </si>
  <si>
    <t>10380.txt</t>
  </si>
  <si>
    <t>Dry Red Snapdragon Sprout</t>
  </si>
  <si>
    <t>干红金鱼芽</t>
  </si>
  <si>
    <t>10381.txt</t>
  </si>
  <si>
    <t>Wet Red Snapdragon Sprout</t>
  </si>
  <si>
    <t>湿红金鱼草芽</t>
  </si>
  <si>
    <t>10382.txt</t>
  </si>
  <si>
    <t>Budding Red Snapdragon</t>
  </si>
  <si>
    <t>萌芽的红金鱼草</t>
  </si>
  <si>
    <t>10383.txt</t>
  </si>
  <si>
    <t>Shears with Snake Plant Cutting</t>
  </si>
  <si>
    <t>带蛇植物切割的剪刀</t>
  </si>
  <si>
    <t>10384.txt</t>
  </si>
  <si>
    <t>Snake Plant Cutting</t>
  </si>
  <si>
    <t>蛇植物切割</t>
  </si>
  <si>
    <t>10385.txt</t>
  </si>
  <si>
    <t>Rooting Snake Plant Cutting</t>
  </si>
  <si>
    <t>生根蛇植物切割</t>
  </si>
  <si>
    <t>10386.txt</t>
  </si>
  <si>
    <t>Dry Planted Snake Plant</t>
  </si>
  <si>
    <t>旱植蛇植物</t>
  </si>
  <si>
    <t>10387.txt</t>
  </si>
  <si>
    <t>Wet Planted Snake Plant</t>
  </si>
  <si>
    <t>湿植蛇植物</t>
  </si>
  <si>
    <t>10388.txt</t>
  </si>
  <si>
    <t>Dry Snake Plant Sprout</t>
  </si>
  <si>
    <t>干蛇植物芽</t>
  </si>
  <si>
    <t>10389.txt</t>
  </si>
  <si>
    <t>Wet Snake Plant Sprout</t>
  </si>
  <si>
    <t>湿蛇植物发芽</t>
  </si>
  <si>
    <t>10390.txt</t>
  </si>
  <si>
    <t>Maturing Snake Plant</t>
  </si>
  <si>
    <t>成熟的蛇植物</t>
  </si>
  <si>
    <t>10391.txt</t>
  </si>
  <si>
    <t>(outdated) Bowl with Raw Rubber Stopper</t>
  </si>
  <si>
    <t>10392.txt</t>
  </si>
  <si>
    <t>(outdated) Bowl with Vulcanized Rubber Stopper</t>
  </si>
  <si>
    <t>10393.txt</t>
  </si>
  <si>
    <t>(outdated) Rubber Stopper</t>
  </si>
  <si>
    <t>10394.txt</t>
  </si>
  <si>
    <t>(outdated) Bowl with Raw Rubber Stoppers</t>
  </si>
  <si>
    <t>10395.txt</t>
  </si>
  <si>
    <t>Sealed Apple Juice Bottle</t>
  </si>
  <si>
    <t>密封苹果汁瓶</t>
  </si>
  <si>
    <t>10396.txt</t>
  </si>
  <si>
    <t>Sealed Lemonade Bottle</t>
  </si>
  <si>
    <t>密封柠檬水瓶</t>
  </si>
  <si>
    <t>10397.txt</t>
  </si>
  <si>
    <t>Sealed Maple Syrup Bottle</t>
  </si>
  <si>
    <t>密封枫糖浆瓶</t>
  </si>
  <si>
    <t>10398.txt</t>
  </si>
  <si>
    <t>Sealed Orange Juice Bottle</t>
  </si>
  <si>
    <t>密封橙汁瓶</t>
  </si>
  <si>
    <t>10399.txt</t>
  </si>
  <si>
    <t>(outdated) Bottle of Vinegar #stopper</t>
  </si>
  <si>
    <t>#stopper</t>
  </si>
  <si>
    <t>10400.txt</t>
  </si>
  <si>
    <t>Empty Wine Bottle with Funnel</t>
  </si>
  <si>
    <t>带漏斗的空酒瓶</t>
  </si>
  <si>
    <t>10401.txt</t>
  </si>
  <si>
    <t>(outdated) Bottle of Vinegar #funnel</t>
  </si>
  <si>
    <t>#funnel</t>
  </si>
  <si>
    <t>10402.txt</t>
  </si>
  <si>
    <t>Orange Juice Bottle with Funnel</t>
  </si>
  <si>
    <t>带漏斗的橙汁瓶</t>
  </si>
  <si>
    <t>10403.txt</t>
  </si>
  <si>
    <t>Maple Syrup Bottle with Funnel</t>
  </si>
  <si>
    <t>带漏斗的枫糖浆瓶</t>
  </si>
  <si>
    <t>10405.txt</t>
  </si>
  <si>
    <t>Apple Juice Bottle with Funnel</t>
  </si>
  <si>
    <t>带漏斗的苹果汁瓶</t>
  </si>
  <si>
    <t>10406.txt</t>
  </si>
  <si>
    <t>Lemonade Bottle with Funnel</t>
  </si>
  <si>
    <t>带漏斗的柠檬水瓶</t>
  </si>
  <si>
    <t>10407.txt</t>
  </si>
  <si>
    <t>(outdated) Glass Funnel #justremoved</t>
  </si>
  <si>
    <t>#justremoved</t>
  </si>
  <si>
    <t>10408.txt</t>
  </si>
  <si>
    <t>Sealed Empty Wine Bottle</t>
  </si>
  <si>
    <t>密封的空酒瓶</t>
  </si>
  <si>
    <t>10409.txt</t>
  </si>
  <si>
    <t>@ Bottles - stopper</t>
  </si>
  <si>
    <t>10410.txt</t>
  </si>
  <si>
    <t>@ Bottles - funnel</t>
  </si>
  <si>
    <t>10412.txt</t>
  </si>
  <si>
    <t>@ Bottles - open</t>
  </si>
  <si>
    <t>10413.txt</t>
  </si>
  <si>
    <t>Sealed Wine Bottle</t>
  </si>
  <si>
    <t>密封酒瓶</t>
  </si>
  <si>
    <t>10414.txt</t>
  </si>
  <si>
    <t>Wine Bottle with Funnel</t>
  </si>
  <si>
    <t>带漏斗的酒瓶</t>
  </si>
  <si>
    <t>10415.txt</t>
  </si>
  <si>
    <t>@ Bottles - bowl elements</t>
  </si>
  <si>
    <t>10416.txt</t>
  </si>
  <si>
    <t>@ Bottles - crock elements</t>
  </si>
  <si>
    <t>10417.txt</t>
  </si>
  <si>
    <t>@ Bottles - barrel elements</t>
  </si>
  <si>
    <t>10418.txt</t>
  </si>
  <si>
    <t>@ Bottles - pouch elements</t>
  </si>
  <si>
    <t>10419.txt</t>
  </si>
  <si>
    <t>@ Bottles - from crocks</t>
  </si>
  <si>
    <t>10420.txt</t>
  </si>
  <si>
    <t>@ Bottles - from barrels</t>
  </si>
  <si>
    <t>10421.txt</t>
  </si>
  <si>
    <t>@ Bottles - from pouches</t>
  </si>
  <si>
    <t>10422.txt</t>
  </si>
  <si>
    <t>@ Bottles - from bowls</t>
  </si>
  <si>
    <t>10423.txt</t>
  </si>
  <si>
    <t>(outdated) Bottle of Cream</t>
  </si>
  <si>
    <t>10424.txt</t>
  </si>
  <si>
    <t>(outdated) Bottle of Cream #stopper</t>
  </si>
  <si>
    <t>10425.txt</t>
  </si>
  <si>
    <t>(outdated) Bottle of Cream #funnel</t>
  </si>
  <si>
    <t>10426.txt</t>
  </si>
  <si>
    <t>(outdated) Bottle of Whole Milk</t>
  </si>
  <si>
    <t>10427.txt</t>
  </si>
  <si>
    <t>(outdated) Bottle of Whole Milk #stopper</t>
  </si>
  <si>
    <t>10428.txt</t>
  </si>
  <si>
    <t>(outdated) Bottle of Whole Milk #funnel</t>
  </si>
  <si>
    <t>10429.txt</t>
  </si>
  <si>
    <t>(outdated) Bottle of Skim Milk</t>
  </si>
  <si>
    <t>10430.txt</t>
  </si>
  <si>
    <t>(outdated) Bottle of Skim Milk #stopper</t>
  </si>
  <si>
    <t>10431.txt</t>
  </si>
  <si>
    <t>(outdated) Bottle of Skim Milk #funnel</t>
  </si>
  <si>
    <t>10432.txt</t>
  </si>
  <si>
    <t>野黄瓜植物</t>
  </si>
  <si>
    <t>10433.txt</t>
  </si>
  <si>
    <t>空的野黄瓜植物</t>
  </si>
  <si>
    <t>10434.txt</t>
  </si>
  <si>
    <t>野黄瓜</t>
  </si>
  <si>
    <t>10435.txt</t>
  </si>
  <si>
    <t>(outdated) Cucumber Seeds</t>
  </si>
  <si>
    <t>10436.txt</t>
  </si>
  <si>
    <t>干种植黄瓜种子</t>
  </si>
  <si>
    <t>10437.txt</t>
  </si>
  <si>
    <t>湿种植黄瓜种子</t>
  </si>
  <si>
    <t>10439.txt</t>
  </si>
  <si>
    <t>Cucumber Sprout</t>
  </si>
  <si>
    <t>黄瓜芽</t>
  </si>
  <si>
    <t>10440.txt</t>
  </si>
  <si>
    <t>Staked Cucumber Sprout</t>
  </si>
  <si>
    <t>扎黄瓜芽</t>
  </si>
  <si>
    <t>10441.txt</t>
  </si>
  <si>
    <t>Growing Cucumber Plant</t>
  </si>
  <si>
    <t>种植黄瓜植物</t>
  </si>
  <si>
    <t>10442.txt</t>
  </si>
  <si>
    <t>Blooming Cucumber Plant</t>
  </si>
  <si>
    <t>开花的黄瓜植物</t>
  </si>
  <si>
    <t>10443.txt</t>
  </si>
  <si>
    <t>Ripe Cucumber Plant</t>
  </si>
  <si>
    <t>成熟的黄瓜植物</t>
  </si>
  <si>
    <t>10444.txt</t>
  </si>
  <si>
    <t>Pickling Cucumber</t>
  </si>
  <si>
    <t>黄瓜</t>
  </si>
  <si>
    <t>10445.txt</t>
  </si>
  <si>
    <t>(outdated) Bowl of Cucumber Seeds</t>
  </si>
  <si>
    <t>10446.txt</t>
  </si>
  <si>
    <t>Dug Wild Cucumber Plant</t>
  </si>
  <si>
    <t>挖野黄瓜植物</t>
  </si>
  <si>
    <t>10448.txt</t>
  </si>
  <si>
    <t>Cucumber Seeds# just sliced</t>
  </si>
  <si>
    <t>黄瓜籽# just sliced</t>
  </si>
  <si>
    <t>10449.txt</t>
  </si>
  <si>
    <t>Pile of Pickling Cucumbers</t>
  </si>
  <si>
    <t>一堆腌黄瓜</t>
  </si>
  <si>
    <t>10450.txt</t>
  </si>
  <si>
    <t>Seeding Wild Dill</t>
  </si>
  <si>
    <t>播种野生莳萝</t>
  </si>
  <si>
    <t>10451.txt</t>
  </si>
  <si>
    <t>Wild Dill</t>
  </si>
  <si>
    <t>野生莳萝</t>
  </si>
  <si>
    <t>10452.txt</t>
  </si>
  <si>
    <t>Dug Wild Dill</t>
  </si>
  <si>
    <t>挖野莳萝</t>
  </si>
  <si>
    <t>10453.txt</t>
  </si>
  <si>
    <t>(outdated) Dill Seed Head</t>
  </si>
  <si>
    <t>10454.txt</t>
  </si>
  <si>
    <t>(outdated) Bowl of Dill Seeds</t>
  </si>
  <si>
    <t>10455.txt</t>
  </si>
  <si>
    <t>Dry Planted Dill Seeds</t>
  </si>
  <si>
    <t>干种植莳萝种子</t>
  </si>
  <si>
    <t>10456.txt</t>
  </si>
  <si>
    <t>Wet Planted Dill Seeds</t>
  </si>
  <si>
    <t>湿种植莳萝种子</t>
  </si>
  <si>
    <t>10457.txt</t>
  </si>
  <si>
    <t>Dill Sprouts</t>
  </si>
  <si>
    <t>莳萝芽</t>
  </si>
  <si>
    <t>10458.txt</t>
  </si>
  <si>
    <t>Fresh Dill Plant</t>
  </si>
  <si>
    <t>新鲜莳萝植物</t>
  </si>
  <si>
    <t>10459.txt</t>
  </si>
  <si>
    <t>Seeding Dill Plant</t>
  </si>
  <si>
    <t>播种莳萝植物</t>
  </si>
  <si>
    <t>10460.txt</t>
  </si>
  <si>
    <t>Fresh Dill</t>
  </si>
  <si>
    <t>新鲜的莳萝</t>
  </si>
  <si>
    <t>10461.txt</t>
  </si>
  <si>
    <t>Cut Fresh Dill</t>
  </si>
  <si>
    <t>切新鲜莳萝</t>
  </si>
  <si>
    <t>10462.txt</t>
  </si>
  <si>
    <t>Wild Garlic</t>
  </si>
  <si>
    <t>野蒜</t>
  </si>
  <si>
    <t>10463.txt</t>
  </si>
  <si>
    <t>10464.txt</t>
  </si>
  <si>
    <t>Dry Planted Wild Garlic</t>
  </si>
  <si>
    <t>干植野蒜</t>
  </si>
  <si>
    <t>10465.txt</t>
  </si>
  <si>
    <t>Wet Planted Wild Garlic</t>
  </si>
  <si>
    <t>湿植野蒜</t>
  </si>
  <si>
    <t>10466.txt</t>
  </si>
  <si>
    <t>Mature Garlic</t>
  </si>
  <si>
    <t>成熟大蒜</t>
  </si>
  <si>
    <t>10467.txt</t>
  </si>
  <si>
    <t>Garlic Bulb</t>
  </si>
  <si>
    <t>大蒜球茎</t>
  </si>
  <si>
    <t>10468.txt</t>
  </si>
  <si>
    <t>Garlic Bulb Pile</t>
  </si>
  <si>
    <t>大蒜球茎堆</t>
  </si>
  <si>
    <t>10469.txt</t>
  </si>
  <si>
    <t>Garlic Clove</t>
  </si>
  <si>
    <t>蒜瓣</t>
  </si>
  <si>
    <t>10470.txt</t>
  </si>
  <si>
    <t>Bowl of Garlic Cloves</t>
  </si>
  <si>
    <t>碗蒜瓣</t>
  </si>
  <si>
    <t>10471.txt</t>
  </si>
  <si>
    <t>Bowl with Garlic Bulb</t>
  </si>
  <si>
    <t>大蒜球碗</t>
  </si>
  <si>
    <t>10472.txt</t>
  </si>
  <si>
    <t>Bowl of Garlic Cloves# just peeled</t>
  </si>
  <si>
    <t>一碗蒜瓣# just peeled</t>
  </si>
  <si>
    <t>10473.txt</t>
  </si>
  <si>
    <t>Dry Planted Garlic</t>
  </si>
  <si>
    <t>干植大蒜</t>
  </si>
  <si>
    <t>10474.txt</t>
  </si>
  <si>
    <t>Wet Planted Garlic</t>
  </si>
  <si>
    <t>湿植大蒜</t>
  </si>
  <si>
    <t>10475.txt</t>
  </si>
  <si>
    <t>Garlic Sprouts</t>
  </si>
  <si>
    <t>蒜苗</t>
  </si>
  <si>
    <t>10476.txt</t>
  </si>
  <si>
    <t>10477.txt</t>
  </si>
  <si>
    <t>Pile of Wild Garlic</t>
  </si>
  <si>
    <t>一堆野蒜</t>
  </si>
  <si>
    <t>10480.txt</t>
  </si>
  <si>
    <t>Bay Tree</t>
  </si>
  <si>
    <t>湾树</t>
  </si>
  <si>
    <t>10481.txt</t>
  </si>
  <si>
    <t>Bay Leaf</t>
  </si>
  <si>
    <t>月桂叶</t>
  </si>
  <si>
    <t>10483.txt</t>
  </si>
  <si>
    <t>Rubber Tree with Pepper Vine</t>
  </si>
  <si>
    <t>橡胶树与胡椒藤</t>
  </si>
  <si>
    <t>10484.txt</t>
  </si>
  <si>
    <t>Fresh Peppercorn Cluster</t>
  </si>
  <si>
    <t>新鲜花椒串</t>
  </si>
  <si>
    <t>10485.txt</t>
  </si>
  <si>
    <t>Rubber Tree with Empty Pepper Vine</t>
  </si>
  <si>
    <t>橡胶树与空胡椒藤</t>
  </si>
  <si>
    <t>10486.txt</t>
  </si>
  <si>
    <t>Rubber Tree# vine removed</t>
  </si>
  <si>
    <t>橡胶树# vine removed</t>
  </si>
  <si>
    <t>10487.txt</t>
  </si>
  <si>
    <t>Blanched Peppercorn Cluster</t>
  </si>
  <si>
    <t>白胡椒串</t>
  </si>
  <si>
    <t>10488.txt</t>
  </si>
  <si>
    <t>Dried Peppercorn Cluster</t>
  </si>
  <si>
    <t>干花椒簇</t>
  </si>
  <si>
    <t>10489.txt</t>
  </si>
  <si>
    <t>Bowl of Loose Peppercorns# just harvested</t>
  </si>
  <si>
    <t>一碗散装花椒# just harvested</t>
  </si>
  <si>
    <t>10495.txt</t>
  </si>
  <si>
    <t>Bowl of Loose Peppercorns</t>
  </si>
  <si>
    <t>一碗散装胡椒粒</t>
  </si>
  <si>
    <t>10496.txt</t>
  </si>
  <si>
    <t>Rubber Tree with Fertile Soil</t>
  </si>
  <si>
    <t>土壤肥沃的橡胶树</t>
  </si>
  <si>
    <t>10497.txt</t>
  </si>
  <si>
    <t>Dry Planted Peppercorn</t>
  </si>
  <si>
    <t>干植花椒</t>
  </si>
  <si>
    <t>10499.txt</t>
  </si>
  <si>
    <t>Wet Planted Peppercorn</t>
  </si>
  <si>
    <t>湿植花椒</t>
  </si>
  <si>
    <t>10500.txt</t>
  </si>
  <si>
    <t>Pepper Vine Sprout</t>
  </si>
  <si>
    <t>胡椒藤芽</t>
  </si>
  <si>
    <t>10501.txt</t>
  </si>
  <si>
    <t>Rubber Tree with Growing Pepper Vine</t>
  </si>
  <si>
    <t>橡胶树与生长的胡椒藤</t>
  </si>
  <si>
    <t>10502.txt</t>
  </si>
  <si>
    <t>Pickle Crock</t>
  </si>
  <si>
    <t>泡菜缸</t>
  </si>
  <si>
    <t>10503.txt</t>
  </si>
  <si>
    <t>Snipped Pickling Cucumber</t>
  </si>
  <si>
    <t>切段腌黄瓜</t>
  </si>
  <si>
    <t>10504.txt</t>
  </si>
  <si>
    <t>Pickle Crock with Garlic</t>
  </si>
  <si>
    <t>大蒜泡菜缸</t>
  </si>
  <si>
    <t>10505.txt</t>
  </si>
  <si>
    <t>Pickle Crock with Dill</t>
  </si>
  <si>
    <t>莳萝泡菜缸</t>
  </si>
  <si>
    <t>10506.txt</t>
  </si>
  <si>
    <t>Pickle Crock with Peppercorns</t>
  </si>
  <si>
    <t>泡椒缸</t>
  </si>
  <si>
    <t>10507.txt</t>
  </si>
  <si>
    <t>Pickle Crock with Bay Leaf</t>
  </si>
  <si>
    <t>月桂叶泡菜缸</t>
  </si>
  <si>
    <t>10508.txt</t>
  </si>
  <si>
    <t>Pickle Crock with Salt</t>
  </si>
  <si>
    <t>加盐泡菜缸</t>
  </si>
  <si>
    <t>10509.txt</t>
  </si>
  <si>
    <t>Full Pickle Crock</t>
  </si>
  <si>
    <t>全泡菜缸</t>
  </si>
  <si>
    <t>10510.txt</t>
  </si>
  <si>
    <t>Covered Fresh Pickle Crock</t>
  </si>
  <si>
    <t>有盖新鲜泡菜罐</t>
  </si>
  <si>
    <t>10511.txt</t>
  </si>
  <si>
    <t>Weighted Fresh Pickle Crock</t>
  </si>
  <si>
    <t>加重新鲜泡菜缸</t>
  </si>
  <si>
    <t>10512.txt</t>
  </si>
  <si>
    <t>Fermented Pickle Crock</t>
  </si>
  <si>
    <t>发酵泡菜缸</t>
  </si>
  <si>
    <t>10513.txt</t>
  </si>
  <si>
    <t>Covered Fermented Pickle Crock</t>
  </si>
  <si>
    <t>有盖发酵泡菜缸</t>
  </si>
  <si>
    <t>10514.txt</t>
  </si>
  <si>
    <t>Open Fermented Pickle Crock</t>
  </si>
  <si>
    <t>开放式发酵泡菜罐</t>
  </si>
  <si>
    <t>10516.txt</t>
  </si>
  <si>
    <t>Pickle</t>
  </si>
  <si>
    <t>泡菜</t>
  </si>
  <si>
    <t>10517.txt</t>
  </si>
  <si>
    <t>Shears with Bay Cutting</t>
  </si>
  <si>
    <t>带湾切的剪刀</t>
  </si>
  <si>
    <t>10518.txt</t>
  </si>
  <si>
    <t>Bay Tree Cutting</t>
  </si>
  <si>
    <t>月桂树砍伐</t>
  </si>
  <si>
    <t>10519.txt</t>
  </si>
  <si>
    <t>Dry Bay Sapling Cutting</t>
  </si>
  <si>
    <t>干湾树苗切割</t>
  </si>
  <si>
    <t>10520.txt</t>
  </si>
  <si>
    <t>Wet Bay Sapling Cutting</t>
  </si>
  <si>
    <t>湿湾树苗切割</t>
  </si>
  <si>
    <t>10522.txt</t>
  </si>
  <si>
    <t>Dry Bay Sapling</t>
  </si>
  <si>
    <t>干湾树苗</t>
  </si>
  <si>
    <t>10523.txt</t>
  </si>
  <si>
    <t>Wet Bay Sapling</t>
  </si>
  <si>
    <t>湿湾树苗</t>
  </si>
  <si>
    <t>10524.txt</t>
  </si>
  <si>
    <t>Rooting Bay Tree Cutting</t>
  </si>
  <si>
    <t>生根湾树砍伐</t>
  </si>
  <si>
    <t>10525.txt</t>
  </si>
  <si>
    <t>Bowl of Ground Pepper</t>
  </si>
  <si>
    <t>一碗胡椒粉</t>
  </si>
  <si>
    <t>10526.txt</t>
  </si>
  <si>
    <t>Spoon of Ground Pepper</t>
  </si>
  <si>
    <t>一勺胡椒粉</t>
  </si>
  <si>
    <t>10527.txt</t>
  </si>
  <si>
    <t>(outdated) Full Bowl of Ground Pepper</t>
  </si>
  <si>
    <t>10528.txt</t>
  </si>
  <si>
    <t>(outdated) Full Bowl of Ground Pepper# just ground</t>
  </si>
  <si>
    <t># just ground</t>
  </si>
  <si>
    <t>10535.txt</t>
  </si>
  <si>
    <t>Plate of Garlic Shrimp</t>
  </si>
  <si>
    <t>蒜蓉虾盘</t>
  </si>
  <si>
    <t>10537.txt</t>
  </si>
  <si>
    <t>Plate of Seasoned Shrimp</t>
  </si>
  <si>
    <t>一盘调味虾</t>
  </si>
  <si>
    <t>10539.txt</t>
  </si>
  <si>
    <t>Cooked Seasoned Shrimp</t>
  </si>
  <si>
    <t>煮熟的调味虾</t>
  </si>
  <si>
    <t>10540.txt</t>
  </si>
  <si>
    <t>Raw Mutton with Dry Rub</t>
  </si>
  <si>
    <t>干擦生羊肉</t>
  </si>
  <si>
    <t>10541.txt</t>
  </si>
  <si>
    <t>Bowl with Bay Leaf</t>
  </si>
  <si>
    <t>碗与月桂叶</t>
  </si>
  <si>
    <t>10542.txt</t>
  </si>
  <si>
    <t>Dry Rub Bowl with Hot Pepper</t>
  </si>
  <si>
    <t>干擦碗与辣椒</t>
  </si>
  <si>
    <t>10543.txt</t>
  </si>
  <si>
    <t>Dry Rub Bowl with Salt</t>
  </si>
  <si>
    <t>用盐干擦碗</t>
  </si>
  <si>
    <t>10544.txt</t>
  </si>
  <si>
    <t>Dry Rub Bowl with Sugar</t>
  </si>
  <si>
    <t>用糖干擦碗</t>
  </si>
  <si>
    <t>10545.txt</t>
  </si>
  <si>
    <t>Dry Rub Bowl with Ground Pepper</t>
  </si>
  <si>
    <t>干磨胡椒粉碗</t>
  </si>
  <si>
    <t>10546.txt</t>
  </si>
  <si>
    <t>Full Bowl of Dry Rub# just ground</t>
  </si>
  <si>
    <t>满碗干擦# just ground</t>
  </si>
  <si>
    <t>10547.txt</t>
  </si>
  <si>
    <t>(outdated) Full Bowl of Dry Rub</t>
  </si>
  <si>
    <t>10548.txt</t>
  </si>
  <si>
    <t>(outdated) Bowl of Dry Rub</t>
  </si>
  <si>
    <t>10549.txt</t>
  </si>
  <si>
    <t>Spoon of Dry Rub</t>
  </si>
  <si>
    <t>一勺干擦</t>
  </si>
  <si>
    <t>10556.txt</t>
  </si>
  <si>
    <t>Cooked Mutton with Rub</t>
  </si>
  <si>
    <t>擦熟羊肉</t>
  </si>
  <si>
    <t>10557.txt</t>
  </si>
  <si>
    <t>Chopped Garlic on Plate</t>
  </si>
  <si>
    <t>切碎的大蒜放在盘子里</t>
  </si>
  <si>
    <t>10558.txt</t>
  </si>
  <si>
    <t>Garlic Clove on Plate</t>
  </si>
  <si>
    <t>盘子里的蒜瓣</t>
  </si>
  <si>
    <t>10559.txt</t>
  </si>
  <si>
    <t>Raw Beef with Dry Rub</t>
  </si>
  <si>
    <t>干擦生牛肉</t>
  </si>
  <si>
    <t>10560.txt</t>
  </si>
  <si>
    <t>Raw Pork with Dry Rub</t>
  </si>
  <si>
    <t>干擦生猪肉</t>
  </si>
  <si>
    <t>10561.txt</t>
  </si>
  <si>
    <t>Cooked Pork with Rub</t>
  </si>
  <si>
    <t>煮熟的猪肉擦</t>
  </si>
  <si>
    <t>10562.txt</t>
  </si>
  <si>
    <t>Cooked Beef with Rub</t>
  </si>
  <si>
    <t>煮熟的牛肉擦</t>
  </si>
  <si>
    <t>10563.txt</t>
  </si>
  <si>
    <t>Plate with Raw Mutton</t>
  </si>
  <si>
    <t>生羊肉盘</t>
  </si>
  <si>
    <t>10564.txt</t>
  </si>
  <si>
    <t>Plate with Raw Pork</t>
  </si>
  <si>
    <t>生猪肉盘</t>
  </si>
  <si>
    <t>10565.txt</t>
  </si>
  <si>
    <t>Plate with Raw Beef</t>
  </si>
  <si>
    <t>生牛肉盘</t>
  </si>
  <si>
    <t>10566.txt</t>
  </si>
  <si>
    <t>Hot Cast Iron Pan with Butter</t>
  </si>
  <si>
    <t>热铸铁锅加黄油</t>
  </si>
  <si>
    <t>10568.txt</t>
  </si>
  <si>
    <t>Hot Cast Iron Pan with Mutton</t>
  </si>
  <si>
    <t>热铸铁锅羊肉</t>
  </si>
  <si>
    <t>10569.txt</t>
  </si>
  <si>
    <t>Hot Cast Iron Pan with Pork</t>
  </si>
  <si>
    <t>热铸铁锅猪肉</t>
  </si>
  <si>
    <t>10570.txt</t>
  </si>
  <si>
    <t>Hot Cast Iron Pan with Beef</t>
  </si>
  <si>
    <t>热铸铁锅牛肉</t>
  </si>
  <si>
    <t>10571.txt</t>
  </si>
  <si>
    <t>Hot Cast Iron Pan with Seasoned Shrimp</t>
  </si>
  <si>
    <t>热铸铁锅配调味虾</t>
  </si>
  <si>
    <t>10572.txt</t>
  </si>
  <si>
    <t>Hot Cast Iron Pan with Seasoned Sardines</t>
  </si>
  <si>
    <t>热铸铁锅配调味沙丁鱼</t>
  </si>
  <si>
    <t>10573.txt</t>
  </si>
  <si>
    <t>Plate of Garlic Sardines</t>
  </si>
  <si>
    <t>盘大蒜沙丁鱼</t>
  </si>
  <si>
    <t>10574.txt</t>
  </si>
  <si>
    <t>Plate of Seasoned Sardines</t>
  </si>
  <si>
    <t>盘调味沙丁鱼</t>
  </si>
  <si>
    <t>10575.txt</t>
  </si>
  <si>
    <t>Hot Cast Iron Pan with Seasoned Char Fillet</t>
  </si>
  <si>
    <t>热铸铁锅配调味炭鱼片</t>
  </si>
  <si>
    <t>10576.txt</t>
  </si>
  <si>
    <t>Hot Cast Iron Pan with Seasoned Bass Fillet</t>
  </si>
  <si>
    <t>热铸铁锅配调味鲈鱼片</t>
  </si>
  <si>
    <t>10577.txt</t>
  </si>
  <si>
    <t>Hot Cast Iron Pan with Seasoned Cod Fillet</t>
  </si>
  <si>
    <t>热铸铁锅配调味鳕鱼片</t>
  </si>
  <si>
    <t>10578.txt</t>
  </si>
  <si>
    <t>Hot Cast Iron Pan with Seasoned Pike Fillet</t>
  </si>
  <si>
    <t>热铸铁锅配调味派克鱼片</t>
  </si>
  <si>
    <t>10579.txt</t>
  </si>
  <si>
    <t>Hot Cast Iron Pan with Seasoned Trout Fillet</t>
  </si>
  <si>
    <t>热铸铁锅配调味鳟鱼片</t>
  </si>
  <si>
    <t>10580.txt</t>
  </si>
  <si>
    <t>Filleted Trout</t>
  </si>
  <si>
    <t>鳟鱼片</t>
  </si>
  <si>
    <t>10581.txt</t>
  </si>
  <si>
    <t>Filleted Bass</t>
  </si>
  <si>
    <t>鲈鱼片</t>
  </si>
  <si>
    <t>10582.txt</t>
  </si>
  <si>
    <t>Filleted Cod</t>
  </si>
  <si>
    <t>鳕鱼片</t>
  </si>
  <si>
    <t>10583.txt</t>
  </si>
  <si>
    <t>Filleted Pike</t>
  </si>
  <si>
    <t>梭子鱼片</t>
  </si>
  <si>
    <t>10584.txt</t>
  </si>
  <si>
    <t>Filleted Char</t>
  </si>
  <si>
    <t>圆角炭</t>
  </si>
  <si>
    <t>10585.txt</t>
  </si>
  <si>
    <t>Garlic Char</t>
  </si>
  <si>
    <t>大蒜炭</t>
  </si>
  <si>
    <t>10586.txt</t>
  </si>
  <si>
    <t>Garlic Pike</t>
  </si>
  <si>
    <t>大蒜梭子鱼</t>
  </si>
  <si>
    <t>10587.txt</t>
  </si>
  <si>
    <t>Garlic Bass</t>
  </si>
  <si>
    <t>大蒜鲈鱼</t>
  </si>
  <si>
    <t>10588.txt</t>
  </si>
  <si>
    <t>Garlic Cod</t>
  </si>
  <si>
    <t>大蒜鳕鱼</t>
  </si>
  <si>
    <t>10589.txt</t>
  </si>
  <si>
    <t>Garlic Trout</t>
  </si>
  <si>
    <t>大蒜鳟鱼</t>
  </si>
  <si>
    <t>10590.txt</t>
  </si>
  <si>
    <t>Seasoned Trout</t>
  </si>
  <si>
    <t>调味鳟鱼</t>
  </si>
  <si>
    <t>10591.txt</t>
  </si>
  <si>
    <t>Seasoned Bass</t>
  </si>
  <si>
    <t>调味鲈鱼</t>
  </si>
  <si>
    <t>10592.txt</t>
  </si>
  <si>
    <t>Seasoned Pike</t>
  </si>
  <si>
    <t>调味派克</t>
  </si>
  <si>
    <t>10593.txt</t>
  </si>
  <si>
    <t>Seasoned Cod</t>
  </si>
  <si>
    <t>调味鳕鱼</t>
  </si>
  <si>
    <t>10594.txt</t>
  </si>
  <si>
    <t>Seasoned Char</t>
  </si>
  <si>
    <t>调味炭</t>
  </si>
  <si>
    <t>10595.txt</t>
  </si>
  <si>
    <t>@ Fish Plate - Seasoned</t>
  </si>
  <si>
    <t>10596.txt</t>
  </si>
  <si>
    <t>@ Fish Plate - Garlic</t>
  </si>
  <si>
    <t>10597.txt</t>
  </si>
  <si>
    <t>@ Fish Plate</t>
  </si>
  <si>
    <t>10598.txt</t>
  </si>
  <si>
    <t>Cooked Seasoned Char</t>
  </si>
  <si>
    <t>煮熟的调味炭</t>
  </si>
  <si>
    <t>10599.txt</t>
  </si>
  <si>
    <t>Cooked Seasoned Bass</t>
  </si>
  <si>
    <t>煮熟的调味鲈鱼</t>
  </si>
  <si>
    <t>10600.txt</t>
  </si>
  <si>
    <t>Cooked Seasoned Cod</t>
  </si>
  <si>
    <t>煮熟的调味鳕鱼</t>
  </si>
  <si>
    <t>10601.txt</t>
  </si>
  <si>
    <t>Cooked Seasoned Trout</t>
  </si>
  <si>
    <t>煮熟的调味鳟鱼</t>
  </si>
  <si>
    <t>10602.txt</t>
  </si>
  <si>
    <t>Cooked Seasoned Pike</t>
  </si>
  <si>
    <t>煮熟的调味派克</t>
  </si>
  <si>
    <t>10603.txt</t>
  </si>
  <si>
    <t>Plate of Cooked Seasoned Sardines</t>
  </si>
  <si>
    <t>一盘煮熟的调味沙丁鱼</t>
  </si>
  <si>
    <t>10604.txt</t>
  </si>
  <si>
    <t>(outdated) Partial Stone Oven #rack</t>
  </si>
  <si>
    <t>#rack</t>
  </si>
  <si>
    <t>10605.txt</t>
  </si>
  <si>
    <t>(outdated) Partial Stone Oven #door</t>
  </si>
  <si>
    <t>#door</t>
  </si>
  <si>
    <t>10606.txt</t>
  </si>
  <si>
    <t>(outdated) Partial Stone Oven #stove top</t>
  </si>
  <si>
    <t>#stove top</t>
  </si>
  <si>
    <t>10607.txt</t>
  </si>
  <si>
    <t>(outdated) Stone Oven</t>
  </si>
  <si>
    <t>10608.txt</t>
  </si>
  <si>
    <t>(outdated) Stone Oven #hot</t>
  </si>
  <si>
    <t>#hot</t>
  </si>
  <si>
    <t>10609.txt</t>
  </si>
  <si>
    <t>Pile of Iron Rods</t>
  </si>
  <si>
    <t>一堆铁棒</t>
  </si>
  <si>
    <t>10610.txt</t>
  </si>
  <si>
    <t>Oven Rack</t>
  </si>
  <si>
    <t>烤箱架</t>
  </si>
  <si>
    <t>10611.txt</t>
  </si>
  <si>
    <t>Sheet Metal</t>
  </si>
  <si>
    <t>钣金</t>
  </si>
  <si>
    <t>10612.txt</t>
  </si>
  <si>
    <t>10613.txt</t>
  </si>
  <si>
    <t>Oven Door</t>
  </si>
  <si>
    <t>烤箱门</t>
  </si>
  <si>
    <t>10614.txt</t>
  </si>
  <si>
    <t>Copper Coils</t>
  </si>
  <si>
    <t>10615.txt</t>
  </si>
  <si>
    <t>(outdated) Fueled Stone Oven</t>
  </si>
  <si>
    <t>10616.txt</t>
  </si>
  <si>
    <t>(outdated) Stone Oven #cool</t>
  </si>
  <si>
    <t>10617.txt</t>
  </si>
  <si>
    <t>Molten Glass on Flat Rock #2</t>
  </si>
  <si>
    <t>平坦岩石上的熔融玻璃#2</t>
  </si>
  <si>
    <t>10618.txt</t>
  </si>
  <si>
    <t>Pressurised Molten Glass on Flat Rock #2</t>
  </si>
  <si>
    <t>平坦岩石上的加压熔融玻璃#2</t>
  </si>
  <si>
    <t>10619.txt</t>
  </si>
  <si>
    <t>Pressurised Cool Glass on Flat Rock #2</t>
  </si>
  <si>
    <t>平坦岩石上的加压冷玻璃#2</t>
  </si>
  <si>
    <t>10620.txt</t>
  </si>
  <si>
    <t>Cool Oven Door on Flat Rock</t>
  </si>
  <si>
    <t>Flat Rock 上的冷烤箱门</t>
  </si>
  <si>
    <t>10621.txt</t>
  </si>
  <si>
    <t>Cool Glass on Flat Rock #2</t>
  </si>
  <si>
    <t>平坦岩石上的酷玻璃#2</t>
  </si>
  <si>
    <t>10622.txt</t>
  </si>
  <si>
    <t>Hot Copper Coil in Wooden Tongs</t>
  </si>
  <si>
    <t>木钳中的热铜线圈</t>
  </si>
  <si>
    <t>10623.txt</t>
  </si>
  <si>
    <t>Hot Copper Coil in Wooden Tongs#justBent</t>
  </si>
  <si>
    <t>木钳中的热铜线圈#justBent</t>
  </si>
  <si>
    <t>10624.txt</t>
  </si>
  <si>
    <t>Copper Coil in Wooden Tongs</t>
  </si>
  <si>
    <t>木钳中的铜线圈</t>
  </si>
  <si>
    <t>10625.txt</t>
  </si>
  <si>
    <t>Hot Copper Coil</t>
  </si>
  <si>
    <t>热铜线圈</t>
  </si>
  <si>
    <t>10626.txt</t>
  </si>
  <si>
    <t>Hot Copper Coils</t>
  </si>
  <si>
    <t>10627.txt</t>
  </si>
  <si>
    <t>Hot Thin Copper Rod in Wooden Tongs</t>
  </si>
  <si>
    <t>木钳中的热细铜棒</t>
  </si>
  <si>
    <t>10628.txt</t>
  </si>
  <si>
    <t>Thin Copper Rod in Wooden Tongs</t>
  </si>
  <si>
    <t>木钳中的细铜棒</t>
  </si>
  <si>
    <t>10629.txt</t>
  </si>
  <si>
    <t>Hot Thin Copper Rod</t>
  </si>
  <si>
    <t>热细铜棒</t>
  </si>
  <si>
    <t>10630.txt</t>
  </si>
  <si>
    <t>(outdated) Stone Oven #lit</t>
  </si>
  <si>
    <t>#lit</t>
  </si>
  <si>
    <t>10633.txt</t>
  </si>
  <si>
    <t>@ Oven - hot</t>
  </si>
  <si>
    <t>10634.txt</t>
  </si>
  <si>
    <t>@ Oven - cool</t>
  </si>
  <si>
    <t>10635.txt</t>
  </si>
  <si>
    <t>(outdated) Stone Oven #lit, turkey</t>
  </si>
  <si>
    <t>#lit, turkey</t>
  </si>
  <si>
    <t>10636.txt</t>
  </si>
  <si>
    <t>@ Oven - lit</t>
  </si>
  <si>
    <t>10637.txt</t>
  </si>
  <si>
    <t>(outdated) Stone Oven #hot, turkey</t>
  </si>
  <si>
    <t>#hot, turkey</t>
  </si>
  <si>
    <t>10638.txt</t>
  </si>
  <si>
    <t>(outdated) Stone Oven #cool, turkey</t>
  </si>
  <si>
    <t>#cool, turkey</t>
  </si>
  <si>
    <t>10640.txt</t>
  </si>
  <si>
    <t>(outdated) Stone Oven #lit, steak pie</t>
  </si>
  <si>
    <t>#lit, steak pie</t>
  </si>
  <si>
    <t>10641.txt</t>
  </si>
  <si>
    <t>(outdated) Stone Oven #hot, steak pie</t>
  </si>
  <si>
    <t>#hot, steak pie</t>
  </si>
  <si>
    <t>10642.txt</t>
  </si>
  <si>
    <t>(outdated) Stone Oven #cool, steak pie</t>
  </si>
  <si>
    <t>#cool, steak pie</t>
  </si>
  <si>
    <t>10643.txt</t>
  </si>
  <si>
    <t>(outdated) Stone Oven #lit, steak and onion pie</t>
  </si>
  <si>
    <t>#lit, steak and onion pie</t>
  </si>
  <si>
    <t>10644.txt</t>
  </si>
  <si>
    <t>(outdated) Stone Oven #hot, steak and onion pie</t>
  </si>
  <si>
    <t>#hot, steak and onion pie</t>
  </si>
  <si>
    <t>10645.txt</t>
  </si>
  <si>
    <t>(outdated) Stone Oven #cool, steak and onion pie</t>
  </si>
  <si>
    <t>#cool, steak and onion pie</t>
  </si>
  <si>
    <t>10646.txt</t>
  </si>
  <si>
    <t>(outdated) Stone Oven #lit, pork pie</t>
  </si>
  <si>
    <t>#lit, pork pie</t>
  </si>
  <si>
    <t>10647.txt</t>
  </si>
  <si>
    <t>(outdated) Stone Oven #hot, pork pie</t>
  </si>
  <si>
    <t>#hot, pork pie</t>
  </si>
  <si>
    <t>10648.txt</t>
  </si>
  <si>
    <t>(outdated) Stone Oven #cool, pork pie</t>
  </si>
  <si>
    <t>#cool, pork pie</t>
  </si>
  <si>
    <t>10649.txt</t>
  </si>
  <si>
    <t>(outdated) Stone Oven #lit, pork and apple pie</t>
  </si>
  <si>
    <t>#lit, pork and apple pie</t>
  </si>
  <si>
    <t>10650.txt</t>
  </si>
  <si>
    <t>(outdated) Stone Oven #hot, pork and apple pie</t>
  </si>
  <si>
    <t>#hot, pork and apple pie</t>
  </si>
  <si>
    <t>10651.txt</t>
  </si>
  <si>
    <t>(outdated) Stone Oven #cool, pork and apple pie</t>
  </si>
  <si>
    <t>#cool, pork and apple pie</t>
  </si>
  <si>
    <t>10652.txt</t>
  </si>
  <si>
    <t>(outdated) Stone Oven #lit, mutton pie</t>
  </si>
  <si>
    <t>#lit, mutton pie</t>
  </si>
  <si>
    <t>10653.txt</t>
  </si>
  <si>
    <t>(outdated) Stone Oven #hot, mutton pie</t>
  </si>
  <si>
    <t>#hot, mutton pie</t>
  </si>
  <si>
    <t>10654.txt</t>
  </si>
  <si>
    <t>(outdated) Stone Oven #cool, mutton pie</t>
  </si>
  <si>
    <t>#cool, mutton pie</t>
  </si>
  <si>
    <t>10656.txt</t>
  </si>
  <si>
    <t>Black Cat #standing</t>
  </si>
  <si>
    <t>黑猫#standing</t>
  </si>
  <si>
    <t>10657.txt</t>
  </si>
  <si>
    <t>Black Cat #pregnant</t>
  </si>
  <si>
    <t>黑猫#pregnant</t>
  </si>
  <si>
    <t>10658.txt</t>
  </si>
  <si>
    <t>Black Cat #held</t>
  </si>
  <si>
    <t>黑猫#held</t>
  </si>
  <si>
    <t>10661.txt</t>
  </si>
  <si>
    <t>Calico Cat #fed</t>
  </si>
  <si>
    <t>印花布猫#fed</t>
  </si>
  <si>
    <t>10662.txt</t>
  </si>
  <si>
    <t>Calico Cat #pregnant</t>
  </si>
  <si>
    <t>印花布猫#pregnant</t>
  </si>
  <si>
    <t>10663.txt</t>
  </si>
  <si>
    <t>Calico Cat #standing</t>
  </si>
  <si>
    <t>印花布猫#standing</t>
  </si>
  <si>
    <t>10664.txt</t>
  </si>
  <si>
    <t>Calico Cat #held</t>
  </si>
  <si>
    <t>印花布猫#held</t>
  </si>
  <si>
    <t>10666.txt</t>
  </si>
  <si>
    <t>Marked Grave #origGrave just placed cat</t>
  </si>
  <si>
    <t>标记的坟墓 #origGrave just placed cat</t>
  </si>
  <si>
    <t>10668.txt</t>
  </si>
  <si>
    <t>Maine Coon Cat #standing</t>
  </si>
  <si>
    <t>缅因猫#standing</t>
  </si>
  <si>
    <t>10669.txt</t>
  </si>
  <si>
    <t>Maine Coon Cat #pregnant</t>
  </si>
  <si>
    <t>缅因猫#pregnant</t>
  </si>
  <si>
    <t>10670.txt</t>
  </si>
  <si>
    <t>Maine Coon Cat #held</t>
  </si>
  <si>
    <t>缅因猫#held</t>
  </si>
  <si>
    <t>10672.txt</t>
  </si>
  <si>
    <t>Maine Coon Cat #laying</t>
  </si>
  <si>
    <t>缅因猫#laying</t>
  </si>
  <si>
    <t>10673.txt</t>
  </si>
  <si>
    <t>Maine Coon Cat #kittens</t>
  </si>
  <si>
    <t>缅因猫#kittens</t>
  </si>
  <si>
    <t>10675.txt</t>
  </si>
  <si>
    <t>Black Cat #kittens</t>
  </si>
  <si>
    <t>黑猫#kittens</t>
  </si>
  <si>
    <t>10676.txt</t>
  </si>
  <si>
    <t>Tabby Cat #laying</t>
  </si>
  <si>
    <t>虎斑猫#laying</t>
  </si>
  <si>
    <t>10678.txt</t>
  </si>
  <si>
    <t>Calico Cat #laying</t>
  </si>
  <si>
    <t>印花布猫#laying</t>
  </si>
  <si>
    <t>10680.txt</t>
  </si>
  <si>
    <t>Shipwreck #sinking</t>
  </si>
  <si>
    <t>沉船#sinking</t>
  </si>
  <si>
    <t>10682.txt</t>
  </si>
  <si>
    <t>Shipwreck #maine coon</t>
  </si>
  <si>
    <t>沉船#maine coon</t>
  </si>
  <si>
    <t>10684.txt</t>
  </si>
  <si>
    <t>White Cat #laying</t>
  </si>
  <si>
    <t>白猫#laying</t>
  </si>
  <si>
    <t>10686.txt</t>
  </si>
  <si>
    <t>White Cat #standing</t>
  </si>
  <si>
    <t>白猫#standing</t>
  </si>
  <si>
    <t>10687.txt</t>
  </si>
  <si>
    <t>White Cat #held</t>
  </si>
  <si>
    <t>白猫#held</t>
  </si>
  <si>
    <t>10690.txt</t>
  </si>
  <si>
    <t>Tabby Cat #standing</t>
  </si>
  <si>
    <t>虎斑猫#standing</t>
  </si>
  <si>
    <t>10691.txt</t>
  </si>
  <si>
    <t>Tabby Cat #pregnant</t>
  </si>
  <si>
    <t>虎斑猫#pregnant</t>
  </si>
  <si>
    <t>10693.txt</t>
  </si>
  <si>
    <t>Tabby Cat #held</t>
  </si>
  <si>
    <t>虎斑猫#held</t>
  </si>
  <si>
    <t>10702.txt</t>
  </si>
  <si>
    <t>Maine Coon Cat #old</t>
  </si>
  <si>
    <t>缅因猫#old</t>
  </si>
  <si>
    <t>10703.txt</t>
  </si>
  <si>
    <t>Dead Maine Coon Cat</t>
  </si>
  <si>
    <t>死去的缅因猫</t>
  </si>
  <si>
    <t>10706.txt</t>
  </si>
  <si>
    <t>Kitten #dark</t>
  </si>
  <si>
    <t>小猫#dark</t>
  </si>
  <si>
    <t>10707.txt</t>
  </si>
  <si>
    <t>Kitten #dark held</t>
  </si>
  <si>
    <t>小猫#dark held</t>
  </si>
  <si>
    <t>10708.txt</t>
  </si>
  <si>
    <t>Black Cat #laying</t>
  </si>
  <si>
    <t>黑猫#laying</t>
  </si>
  <si>
    <t>10710.txt</t>
  </si>
  <si>
    <t>Dead Kitten #dark</t>
  </si>
  <si>
    <t>死小猫#dark</t>
  </si>
  <si>
    <t>10711.txt</t>
  </si>
  <si>
    <t>Kitten #dark fed</t>
  </si>
  <si>
    <t>小猫#dark fed</t>
  </si>
  <si>
    <t>10712.txt</t>
  </si>
  <si>
    <t>Dead Black Cat</t>
  </si>
  <si>
    <t>死黑猫</t>
  </si>
  <si>
    <t>10713.txt</t>
  </si>
  <si>
    <t>Hungry Kitten #dark</t>
  </si>
  <si>
    <t>饥饿的小猫#dark</t>
  </si>
  <si>
    <t>10714.txt</t>
  </si>
  <si>
    <t>Black Cat #old</t>
  </si>
  <si>
    <t>黑猫#old</t>
  </si>
  <si>
    <t>10715.txt</t>
  </si>
  <si>
    <t>Maine Coon Cat #fed</t>
  </si>
  <si>
    <t>缅因猫#fed</t>
  </si>
  <si>
    <t>10720.txt</t>
  </si>
  <si>
    <t>White Cat #pregnant</t>
  </si>
  <si>
    <t>白猫#pregnant</t>
  </si>
  <si>
    <t>10721.txt</t>
  </si>
  <si>
    <t>White Cat #kittens</t>
  </si>
  <si>
    <t>白猫#kittens</t>
  </si>
  <si>
    <t>10722.txt</t>
  </si>
  <si>
    <t>Black Cat #fed</t>
  </si>
  <si>
    <t>黑猫#fed</t>
  </si>
  <si>
    <t>10724.txt</t>
  </si>
  <si>
    <t>@ Cat Pillow - laying white</t>
  </si>
  <si>
    <t>10725.txt</t>
  </si>
  <si>
    <t>Calico Cat #kittens,3</t>
  </si>
  <si>
    <t>印花布猫 #kittens,3</t>
  </si>
  <si>
    <t>10727.txt</t>
  </si>
  <si>
    <t>@ Cat Pillow - laying black</t>
  </si>
  <si>
    <t>10729.txt</t>
  </si>
  <si>
    <t>Tabby Cat #kittens</t>
  </si>
  <si>
    <t>虎斑猫#kittens</t>
  </si>
  <si>
    <t>10730.txt</t>
  </si>
  <si>
    <t>Shipwreck #white cat</t>
  </si>
  <si>
    <t>沉船#white cat</t>
  </si>
  <si>
    <t>10732.txt</t>
  </si>
  <si>
    <t>Shipwreck #tabby</t>
  </si>
  <si>
    <t>沉船#tabby</t>
  </si>
  <si>
    <t>10733.txt</t>
  </si>
  <si>
    <t>Shipwreck #taken</t>
  </si>
  <si>
    <t>沉船#taken</t>
  </si>
  <si>
    <t>10740.txt</t>
  </si>
  <si>
    <t>White Cat #fed</t>
  </si>
  <si>
    <t>白猫#fed</t>
  </si>
  <si>
    <t>10741.txt</t>
  </si>
  <si>
    <t>Dead White Cat</t>
  </si>
  <si>
    <t>死白猫</t>
  </si>
  <si>
    <t>10742.txt</t>
  </si>
  <si>
    <t>White Cat #old</t>
  </si>
  <si>
    <t>白猫#old</t>
  </si>
  <si>
    <t>10748.txt</t>
  </si>
  <si>
    <t>Dead Kitten #light</t>
  </si>
  <si>
    <t>死小猫#light</t>
  </si>
  <si>
    <t>10749.txt</t>
  </si>
  <si>
    <t>Hungry Kitten #light</t>
  </si>
  <si>
    <t>饥饿的小猫#light</t>
  </si>
  <si>
    <t>10755.txt</t>
  </si>
  <si>
    <t>Tabby Cat #fed</t>
  </si>
  <si>
    <t>虎斑猫#fed</t>
  </si>
  <si>
    <t>10756.txt</t>
  </si>
  <si>
    <t>Calico Cat #old</t>
  </si>
  <si>
    <t>印花布猫#old</t>
  </si>
  <si>
    <t>10757.txt</t>
  </si>
  <si>
    <t>Tabby Cat #old</t>
  </si>
  <si>
    <t>虎斑猫#old</t>
  </si>
  <si>
    <t>10758.txt</t>
  </si>
  <si>
    <t>Dead Calico Cat</t>
  </si>
  <si>
    <t>死印花布猫</t>
  </si>
  <si>
    <t>10759.txt</t>
  </si>
  <si>
    <t>Dead Tabby Cat</t>
  </si>
  <si>
    <t>死虎斑猫</t>
  </si>
  <si>
    <t>10765.txt</t>
  </si>
  <si>
    <t>White Pillow Case</t>
  </si>
  <si>
    <t>白色枕套</t>
  </si>
  <si>
    <t>10766.txt</t>
  </si>
  <si>
    <t>White Pillow</t>
  </si>
  <si>
    <t>白色枕头</t>
  </si>
  <si>
    <t>10773.txt</t>
  </si>
  <si>
    <t>White Cat #white sitting</t>
  </si>
  <si>
    <t>白猫#white sitting</t>
  </si>
  <si>
    <t>10774.txt</t>
  </si>
  <si>
    <t>Maine Coon Cat #white sitting</t>
  </si>
  <si>
    <t>缅因猫#white sitting</t>
  </si>
  <si>
    <t>10775.txt</t>
  </si>
  <si>
    <t>Calico Cat #white sitting</t>
  </si>
  <si>
    <t>印花布猫#white sitting</t>
  </si>
  <si>
    <t>10776.txt</t>
  </si>
  <si>
    <t>Tabby Cat #white sitting</t>
  </si>
  <si>
    <t>虎斑猫#white sitting</t>
  </si>
  <si>
    <t>10777.txt</t>
  </si>
  <si>
    <t>Black Cat #white sitting</t>
  </si>
  <si>
    <t>黑猫#white sitting</t>
  </si>
  <si>
    <t>10778.txt</t>
  </si>
  <si>
    <t>Maine Coon Cat #white standing</t>
  </si>
  <si>
    <t>缅因猫#white standing</t>
  </si>
  <si>
    <t>10779.txt</t>
  </si>
  <si>
    <t>Calico Cat #white standing</t>
  </si>
  <si>
    <t>印花布猫#white standing</t>
  </si>
  <si>
    <t>10780.txt</t>
  </si>
  <si>
    <t>Black Cat #white standing</t>
  </si>
  <si>
    <t>黑猫#white standing</t>
  </si>
  <si>
    <t>10781.txt</t>
  </si>
  <si>
    <t>Tabby Cat #white standing</t>
  </si>
  <si>
    <t>虎斑猫#white standing</t>
  </si>
  <si>
    <t>10782.txt</t>
  </si>
  <si>
    <t>White Cat #white standing</t>
  </si>
  <si>
    <t>白猫#white standing</t>
  </si>
  <si>
    <t>10793.txt</t>
  </si>
  <si>
    <t>Black Cat #white laying</t>
  </si>
  <si>
    <t>黑猫#white laying</t>
  </si>
  <si>
    <t>10794.txt</t>
  </si>
  <si>
    <t>Tabby Cat #white laying</t>
  </si>
  <si>
    <t>虎斑猫#white laying</t>
  </si>
  <si>
    <t>10795.txt</t>
  </si>
  <si>
    <t>Calico Cat #white laying</t>
  </si>
  <si>
    <t>印花布猫#white laying</t>
  </si>
  <si>
    <t>10796.txt</t>
  </si>
  <si>
    <t>Maine Coon Cat #white laying</t>
  </si>
  <si>
    <t>缅因猫#white laying</t>
  </si>
  <si>
    <t>10797.txt</t>
  </si>
  <si>
    <t>White Cat #white laying</t>
  </si>
  <si>
    <t>白猫#white laying</t>
  </si>
  <si>
    <t>10806.txt</t>
  </si>
  <si>
    <t>Blue Pillow</t>
  </si>
  <si>
    <t>蓝色枕头</t>
  </si>
  <si>
    <t>10808.txt</t>
  </si>
  <si>
    <t>Yellow Pillow</t>
  </si>
  <si>
    <t>黄色枕头</t>
  </si>
  <si>
    <t>10809.txt</t>
  </si>
  <si>
    <t>Black Pillow</t>
  </si>
  <si>
    <t>黑色枕头</t>
  </si>
  <si>
    <t>10810.txt</t>
  </si>
  <si>
    <t>White Cat #blue sitting</t>
  </si>
  <si>
    <t>白猫#blue sitting</t>
  </si>
  <si>
    <t>10811.txt</t>
  </si>
  <si>
    <t>Black Cat #yellow sitting</t>
  </si>
  <si>
    <t>黑猫#yellow sitting</t>
  </si>
  <si>
    <t>10812.txt</t>
  </si>
  <si>
    <t>Tabby Cat #yellow sitting</t>
  </si>
  <si>
    <t>虎斑猫#yellow sitting</t>
  </si>
  <si>
    <t>10813.txt</t>
  </si>
  <si>
    <t>Calico Cat #black sitting</t>
  </si>
  <si>
    <t>印花布猫#black sitting</t>
  </si>
  <si>
    <t>10818.txt</t>
  </si>
  <si>
    <t>Marked Pet Grave</t>
  </si>
  <si>
    <t>标记宠物坟墓</t>
  </si>
  <si>
    <t>10821.txt</t>
  </si>
  <si>
    <t>@ Cat Pillows - sitting black</t>
  </si>
  <si>
    <t>10822.txt</t>
  </si>
  <si>
    <t>@ Cat Pillows - sitting white</t>
  </si>
  <si>
    <t>10847.txt</t>
  </si>
  <si>
    <t>White Cat #black sitting</t>
  </si>
  <si>
    <t>白猫#black sitting</t>
  </si>
  <si>
    <t>10850.txt</t>
  </si>
  <si>
    <t>Cat Bones</t>
  </si>
  <si>
    <t>猫骨头</t>
  </si>
  <si>
    <t>10851.txt</t>
  </si>
  <si>
    <t>Basket with Cat Bones</t>
  </si>
  <si>
    <t>带猫骨的篮子</t>
  </si>
  <si>
    <t>10875.txt</t>
  </si>
  <si>
    <t>Calico Cat #blue sitting</t>
  </si>
  <si>
    <t>印花布猫#blue sitting</t>
  </si>
  <si>
    <t>10876.txt</t>
  </si>
  <si>
    <t>Tabby Cat #blue sitting</t>
  </si>
  <si>
    <t>虎斑猫#blue sitting</t>
  </si>
  <si>
    <t>10877.txt</t>
  </si>
  <si>
    <t>Black Cat #blue sitting</t>
  </si>
  <si>
    <t>黑猫#blue sitting</t>
  </si>
  <si>
    <t>10878.txt</t>
  </si>
  <si>
    <t>Maine Coon Cat #blue sitting</t>
  </si>
  <si>
    <t>缅因猫#blue sitting</t>
  </si>
  <si>
    <t>10879.txt</t>
  </si>
  <si>
    <t>Tabby Cat #black sitting</t>
  </si>
  <si>
    <t>虎斑猫#black sitting</t>
  </si>
  <si>
    <t>10880.txt</t>
  </si>
  <si>
    <t>Maine Coon Cat #black sitting</t>
  </si>
  <si>
    <t>缅因猫#black sitting</t>
  </si>
  <si>
    <t>10881.txt</t>
  </si>
  <si>
    <t>Black Cat #black sitting</t>
  </si>
  <si>
    <t>黑猫#black sitting</t>
  </si>
  <si>
    <t>10882.txt</t>
  </si>
  <si>
    <t>Calico Cat #blue standing</t>
  </si>
  <si>
    <t>印花布猫#blue standing</t>
  </si>
  <si>
    <t>10884.txt</t>
  </si>
  <si>
    <t>Calico Cat #blue laying</t>
  </si>
  <si>
    <t>印花布猫#blue laying</t>
  </si>
  <si>
    <t>10886.txt</t>
  </si>
  <si>
    <t>Black Cat #blue laying</t>
  </si>
  <si>
    <t>黑猫#blue laying</t>
  </si>
  <si>
    <t>10887.txt</t>
  </si>
  <si>
    <t>Black Cat #blue standing</t>
  </si>
  <si>
    <t>黑猫#blue standing</t>
  </si>
  <si>
    <t>10889.txt</t>
  </si>
  <si>
    <t>Tabby Cat #blue laying</t>
  </si>
  <si>
    <t>虎斑猫#blue laying</t>
  </si>
  <si>
    <t>10890.txt</t>
  </si>
  <si>
    <t>Tabby Cat #blue standing</t>
  </si>
  <si>
    <t>虎斑猫#blue standing</t>
  </si>
  <si>
    <t>10892.txt</t>
  </si>
  <si>
    <t>Maine Coon Cat #blue laying</t>
  </si>
  <si>
    <t>缅因猫#blue laying</t>
  </si>
  <si>
    <t>10893.txt</t>
  </si>
  <si>
    <t>Maine Coon Cat #blue standing</t>
  </si>
  <si>
    <t>缅因猫#blue standing</t>
  </si>
  <si>
    <t>10894.txt</t>
  </si>
  <si>
    <t>White Cat #blue standing</t>
  </si>
  <si>
    <t>白猫#blue standing</t>
  </si>
  <si>
    <t>10895.txt</t>
  </si>
  <si>
    <t>White Cat #blue laying</t>
  </si>
  <si>
    <t>白猫#blue laying</t>
  </si>
  <si>
    <t>10911.txt</t>
  </si>
  <si>
    <t>Blue Pillow Case</t>
  </si>
  <si>
    <t>蓝色枕套</t>
  </si>
  <si>
    <t>10926.txt</t>
  </si>
  <si>
    <t>Buried Pet Grave #groundOnly</t>
  </si>
  <si>
    <t>埋葬宠物坟墓#groundOnly</t>
  </si>
  <si>
    <t>10928.txt</t>
  </si>
  <si>
    <t>Kitten #light held</t>
  </si>
  <si>
    <t>小猫#light held</t>
  </si>
  <si>
    <t>10929.txt</t>
  </si>
  <si>
    <t>Kitten #light fed</t>
  </si>
  <si>
    <t>小猫#light fed</t>
  </si>
  <si>
    <t>10930.txt</t>
  </si>
  <si>
    <t>Kitten #light</t>
  </si>
  <si>
    <t>小猫#light</t>
  </si>
  <si>
    <t>10931.txt</t>
  </si>
  <si>
    <t>Tabby Cat #yellow standing</t>
  </si>
  <si>
    <t>虎斑猫#yellow standing</t>
  </si>
  <si>
    <t>10932.txt</t>
  </si>
  <si>
    <t>Tabby Cat #yellow laying</t>
  </si>
  <si>
    <t>虎斑猫 #yellow laying</t>
  </si>
  <si>
    <t>10933.txt</t>
  </si>
  <si>
    <t>Tabby Cat #black laying</t>
  </si>
  <si>
    <t>虎斑猫 #black laying</t>
  </si>
  <si>
    <t>10934.txt</t>
  </si>
  <si>
    <t>Tabby Cat #black standing</t>
  </si>
  <si>
    <t>虎斑猫#black standing</t>
  </si>
  <si>
    <t>10935.txt</t>
  </si>
  <si>
    <t>@ Cat Pillows - standing white</t>
  </si>
  <si>
    <t>10936.txt</t>
  </si>
  <si>
    <t>@ Cat Pillows - standing black</t>
  </si>
  <si>
    <t>10938.txt</t>
  </si>
  <si>
    <t>@ Cat - fed</t>
  </si>
  <si>
    <t>10939.txt</t>
  </si>
  <si>
    <t>@ Cat - laying</t>
  </si>
  <si>
    <t>10940.txt</t>
  </si>
  <si>
    <t>@ Cat - standing</t>
  </si>
  <si>
    <t>10941.txt</t>
  </si>
  <si>
    <t>@ Cat - pregnant</t>
  </si>
  <si>
    <t>10942.txt</t>
  </si>
  <si>
    <t>@ Cat - kittens</t>
  </si>
  <si>
    <t>10943.txt</t>
  </si>
  <si>
    <t>@ Cat - held</t>
  </si>
  <si>
    <t>10944.txt</t>
  </si>
  <si>
    <t>@ Kitten - fed</t>
  </si>
  <si>
    <t>10945.txt</t>
  </si>
  <si>
    <t>@ Kitten - hungry</t>
  </si>
  <si>
    <t>10946.txt</t>
  </si>
  <si>
    <t>@ Kitten - held</t>
  </si>
  <si>
    <t>10947.txt</t>
  </si>
  <si>
    <t>@ Kitten</t>
  </si>
  <si>
    <t>10948.txt</t>
  </si>
  <si>
    <t>Perhaps a Light Cat</t>
  </si>
  <si>
    <t>也许是一只轻猫</t>
  </si>
  <si>
    <t>10949.txt</t>
  </si>
  <si>
    <t>Perhaps a Dark Cat</t>
  </si>
  <si>
    <t>也许是一只黑猫</t>
  </si>
  <si>
    <t>10950.txt</t>
  </si>
  <si>
    <t>@ Kitten - dead</t>
  </si>
  <si>
    <t>10951.txt</t>
  </si>
  <si>
    <t>@ Kitten - held hungry</t>
  </si>
  <si>
    <t>10952.txt</t>
  </si>
  <si>
    <t>Hungry Kitten #light held</t>
  </si>
  <si>
    <t>饥饿的小猫#light held</t>
  </si>
  <si>
    <t>10953.txt</t>
  </si>
  <si>
    <t>@ Cat - dead</t>
  </si>
  <si>
    <t>10954.txt</t>
  </si>
  <si>
    <t>@ Cat - old</t>
  </si>
  <si>
    <t>10955.txt</t>
  </si>
  <si>
    <t>@ Cat - dying</t>
  </si>
  <si>
    <t>10956.txt</t>
  </si>
  <si>
    <t>Tabby Cat #dying</t>
  </si>
  <si>
    <t>虎斑猫#dying</t>
  </si>
  <si>
    <t>10958.txt</t>
  </si>
  <si>
    <t>Hungry Kitten #dark held</t>
  </si>
  <si>
    <t>饥饿的小猫#dark held</t>
  </si>
  <si>
    <t>10959.txt</t>
  </si>
  <si>
    <t>Maine Coon Cat #black laying</t>
  </si>
  <si>
    <t>缅因猫 #black laying</t>
  </si>
  <si>
    <t>10960.txt</t>
  </si>
  <si>
    <t>Maine Coon Cat #black standing</t>
  </si>
  <si>
    <t>缅因猫#black standing</t>
  </si>
  <si>
    <t>10961.txt</t>
  </si>
  <si>
    <t>Maine Coon Cat #yellow laying</t>
  </si>
  <si>
    <t>缅因猫 #yellow laying</t>
  </si>
  <si>
    <t>10964.txt</t>
  </si>
  <si>
    <t>Maine Coon Cat #dying</t>
  </si>
  <si>
    <t>缅因猫#dying</t>
  </si>
  <si>
    <t>10965.txt</t>
  </si>
  <si>
    <t>Calico Cat #black laying</t>
  </si>
  <si>
    <t>印花布猫#black laying</t>
  </si>
  <si>
    <t>10966.txt</t>
  </si>
  <si>
    <t>Calico Cat #black standing</t>
  </si>
  <si>
    <t>印花布猫#black standing</t>
  </si>
  <si>
    <t>10967.txt</t>
  </si>
  <si>
    <t>Calico Cat #yellow standing</t>
  </si>
  <si>
    <t>印花布猫#yellow standing</t>
  </si>
  <si>
    <t>10968.txt</t>
  </si>
  <si>
    <t>Calico Cat #yellow sitting</t>
  </si>
  <si>
    <t>印花布猫#yellow sitting</t>
  </si>
  <si>
    <t>10969.txt</t>
  </si>
  <si>
    <t>Calico Cat #yellow laying</t>
  </si>
  <si>
    <t>印花布猫 #yellow laying</t>
  </si>
  <si>
    <t>10970.txt</t>
  </si>
  <si>
    <t>Hungry Kitten #calico held</t>
  </si>
  <si>
    <t>饥饿的小猫#calico held</t>
  </si>
  <si>
    <t>10971.txt</t>
  </si>
  <si>
    <t>Kitten #calico held</t>
  </si>
  <si>
    <t>小猫#calico held</t>
  </si>
  <si>
    <t>10972.txt</t>
  </si>
  <si>
    <t>Kitten #calico fed</t>
  </si>
  <si>
    <t>小猫#calico fed</t>
  </si>
  <si>
    <t>10973.txt</t>
  </si>
  <si>
    <t>Dead Kitten #calico</t>
  </si>
  <si>
    <t>死小猫#calico</t>
  </si>
  <si>
    <t>10974.txt</t>
  </si>
  <si>
    <t>Kitten #calico</t>
  </si>
  <si>
    <t>小猫#calico</t>
  </si>
  <si>
    <t>10975.txt</t>
  </si>
  <si>
    <t>Hungry Kitten #calico</t>
  </si>
  <si>
    <t>饥饿的小猫#calico</t>
  </si>
  <si>
    <t>10976.txt</t>
  </si>
  <si>
    <t>Calico Cat #kittens,2</t>
  </si>
  <si>
    <t>印花布猫 #kittens,2</t>
  </si>
  <si>
    <t>10977.txt</t>
  </si>
  <si>
    <t>Calico Cat #dying</t>
  </si>
  <si>
    <t>印花布猫#dying</t>
  </si>
  <si>
    <t>10978.txt</t>
  </si>
  <si>
    <t>White Cat #yellow standing</t>
  </si>
  <si>
    <t>白猫#yellow standing</t>
  </si>
  <si>
    <t>10979.txt</t>
  </si>
  <si>
    <t>White Cat #yellow sitting</t>
  </si>
  <si>
    <t>白猫#yellow sitting</t>
  </si>
  <si>
    <t>10980.txt</t>
  </si>
  <si>
    <t>White Cat #yellow laying</t>
  </si>
  <si>
    <t>白猫#yellow laying</t>
  </si>
  <si>
    <t>10981.txt</t>
  </si>
  <si>
    <t>White Cat #dying</t>
  </si>
  <si>
    <t>白猫#dying</t>
  </si>
  <si>
    <t>10982.txt</t>
  </si>
  <si>
    <t>White Cat #black laying</t>
  </si>
  <si>
    <t>白猫#black laying</t>
  </si>
  <si>
    <t>10983.txt</t>
  </si>
  <si>
    <t>White Cat #black standing</t>
  </si>
  <si>
    <t>白猫#black standing</t>
  </si>
  <si>
    <t>10984.txt</t>
  </si>
  <si>
    <t>Shipwreck #black cat</t>
  </si>
  <si>
    <t>沉船#black cat</t>
  </si>
  <si>
    <t>10985.txt</t>
  </si>
  <si>
    <t>Black Cat #black laying</t>
  </si>
  <si>
    <t>黑猫#black laying</t>
  </si>
  <si>
    <t>10986.txt</t>
  </si>
  <si>
    <t>Black Cat #black standing</t>
  </si>
  <si>
    <t>黑猫#black standing</t>
  </si>
  <si>
    <t>10987.txt</t>
  </si>
  <si>
    <t>Black Cat #yellow standing</t>
  </si>
  <si>
    <t>黑猫#yellow standing</t>
  </si>
  <si>
    <t>10988.txt</t>
  </si>
  <si>
    <t>Black Cat #yellow laying</t>
  </si>
  <si>
    <t>黑猫#yellow laying</t>
  </si>
  <si>
    <t>10989.txt</t>
  </si>
  <si>
    <t>Black Cat #dying</t>
  </si>
  <si>
    <t>黑猫#dying</t>
  </si>
  <si>
    <t>10990.txt</t>
  </si>
  <si>
    <t>@ Cat Pillow - laying yellow</t>
  </si>
  <si>
    <t>10991.txt</t>
  </si>
  <si>
    <t>@ Cat Pillows - sitting yellow</t>
  </si>
  <si>
    <t>10992.txt</t>
  </si>
  <si>
    <t>@ Cat Pillows - standing yellow</t>
  </si>
  <si>
    <t>10993.txt</t>
  </si>
  <si>
    <t>@ Cat Pillows - sitting blue</t>
  </si>
  <si>
    <t>10994.txt</t>
  </si>
  <si>
    <t>@ Cat Pillow - laying blue</t>
  </si>
  <si>
    <t>10995.txt</t>
  </si>
  <si>
    <t>@ Cat Pillows - standing blue</t>
  </si>
  <si>
    <t>10996.txt</t>
  </si>
  <si>
    <t>Maine Coon Cat #yellow sitting</t>
  </si>
  <si>
    <t>缅因猫#yellow sitting</t>
  </si>
  <si>
    <t>10997.txt</t>
  </si>
  <si>
    <t>Maine Coon Cat #yellow standing</t>
  </si>
  <si>
    <t>缅因猫#yellow standing</t>
  </si>
  <si>
    <t>10999.txt</t>
  </si>
  <si>
    <t>Yellow Pillow Case</t>
  </si>
  <si>
    <t>黄色枕套</t>
  </si>
  <si>
    <t>11000.txt</t>
  </si>
  <si>
    <t>Black Pillow Case</t>
  </si>
  <si>
    <t>黑色枕套</t>
  </si>
  <si>
    <t>11001.txt</t>
  </si>
  <si>
    <t>Three Pieces of Wool Felt</t>
  </si>
  <si>
    <t>三块羊毛毡</t>
  </si>
  <si>
    <t>11002.txt</t>
  </si>
  <si>
    <t>Firewood #onGround</t>
  </si>
  <si>
    <t>木柴#onGround</t>
  </si>
  <si>
    <t>11003.txt</t>
  </si>
  <si>
    <t>Dark Firewood #onGround</t>
  </si>
  <si>
    <t>深色木柴#onGround</t>
  </si>
  <si>
    <t>11004.txt</t>
  </si>
  <si>
    <t>Light Firewood #onGround</t>
  </si>
  <si>
    <t>轻木柴#onGround</t>
  </si>
  <si>
    <t>11006.txt</t>
  </si>
  <si>
    <t>@ Any Firewood Stack</t>
  </si>
  <si>
    <t>11007.txt</t>
  </si>
  <si>
    <t>Crates of Apples #2</t>
  </si>
  <si>
    <t>一箱箱苹果 #2</t>
  </si>
  <si>
    <t>11008.txt</t>
  </si>
  <si>
    <t>Crates of Apples #2 #Empty</t>
  </si>
  <si>
    <t>一箱苹果 #2 #Empty</t>
  </si>
  <si>
    <t>11009.txt</t>
  </si>
  <si>
    <t>Crates of Bananas #2</t>
  </si>
  <si>
    <t>一箱箱香蕉 #2</t>
  </si>
  <si>
    <t>11010.txt</t>
  </si>
  <si>
    <t>Crates of Burdock #2</t>
  </si>
  <si>
    <t>成箱的牛蒡 #2</t>
  </si>
  <si>
    <t>11011.txt</t>
  </si>
  <si>
    <t>Crates of Cabbages #2</t>
  </si>
  <si>
    <t>一箱卷心菜 #2</t>
  </si>
  <si>
    <t>11012.txt</t>
  </si>
  <si>
    <t>Crates of Cactus Fruit #2</t>
  </si>
  <si>
    <t>一箱仙人掌果 #2</t>
  </si>
  <si>
    <t>11013.txt</t>
  </si>
  <si>
    <t>Crates of Carrots #2</t>
  </si>
  <si>
    <t>成箱的胡萝卜 #2</t>
  </si>
  <si>
    <t>11014.txt</t>
  </si>
  <si>
    <t>Crates of Coconuts #2</t>
  </si>
  <si>
    <t>成箱的椰子 #2</t>
  </si>
  <si>
    <t>11015.txt</t>
  </si>
  <si>
    <t>Crates of Corn #2</t>
  </si>
  <si>
    <t>成箱的玉米 #2</t>
  </si>
  <si>
    <t>11016.txt</t>
  </si>
  <si>
    <t>Crates of Eggs #2</t>
  </si>
  <si>
    <t>一箱鸡蛋 #2</t>
  </si>
  <si>
    <t>11017.txt</t>
  </si>
  <si>
    <t>Crates of Goose Eggs #2</t>
  </si>
  <si>
    <t>一箱箱鹅蛋 #2</t>
  </si>
  <si>
    <t>11018.txt</t>
  </si>
  <si>
    <t>Crates of Grapes #2</t>
  </si>
  <si>
    <t>成箱的葡萄 #2</t>
  </si>
  <si>
    <t>11019.txt</t>
  </si>
  <si>
    <t>Crates of Mangoes #2</t>
  </si>
  <si>
    <t>成箱的芒果 #2</t>
  </si>
  <si>
    <t>11020.txt</t>
  </si>
  <si>
    <t>Crates of Onions #2</t>
  </si>
  <si>
    <t>一箱洋葱 #2</t>
  </si>
  <si>
    <t>11021.txt</t>
  </si>
  <si>
    <t>Crates of Oranges #2</t>
  </si>
  <si>
    <t>一箱箱橙子#2</t>
  </si>
  <si>
    <t>11022.txt</t>
  </si>
  <si>
    <t>Crates of Peppers #2</t>
  </si>
  <si>
    <t>成箱的辣椒#2</t>
  </si>
  <si>
    <t>11023.txt</t>
  </si>
  <si>
    <t>Crates of Potatoes #2</t>
  </si>
  <si>
    <t>一箱箱土豆#2</t>
  </si>
  <si>
    <t>11024.txt</t>
  </si>
  <si>
    <t>Crates of Tomatoes #2</t>
  </si>
  <si>
    <t>一箱箱西红柿#2</t>
  </si>
  <si>
    <t>11025.txt</t>
  </si>
  <si>
    <t>Crates of Wild Carrots #2</t>
  </si>
  <si>
    <t>一箱箱野胡萝卜 #2</t>
  </si>
  <si>
    <t>11026.txt</t>
  </si>
  <si>
    <t>Crates of Wild Onions #2</t>
  </si>
  <si>
    <t>成箱的野洋葱#2</t>
  </si>
  <si>
    <t>11027.txt</t>
  </si>
  <si>
    <t>Crates of Lemons #2</t>
  </si>
  <si>
    <t>一箱柠檬 #2</t>
  </si>
  <si>
    <t>11028.txt</t>
  </si>
  <si>
    <t>Crates of Bananas #2 #Empty</t>
  </si>
  <si>
    <t>香蕉箱 #2 #Empty</t>
  </si>
  <si>
    <t>11029.txt</t>
  </si>
  <si>
    <t>Crates of Burdock #2 #Empty</t>
  </si>
  <si>
    <t>牛蒡箱 #2 #Empty</t>
  </si>
  <si>
    <t>11030.txt</t>
  </si>
  <si>
    <t>Crates of Cabbages #2 #Empty</t>
  </si>
  <si>
    <t>一箱卷心菜 #2 #Empty</t>
  </si>
  <si>
    <t>11031.txt</t>
  </si>
  <si>
    <t>Crates of Cactus Fruit #2 #Empty</t>
  </si>
  <si>
    <t>一箱仙人掌果 #2 #Empty</t>
  </si>
  <si>
    <t>11032.txt</t>
  </si>
  <si>
    <t>Crates of Carrots #2 #Empty</t>
  </si>
  <si>
    <t>一箱胡萝卜 #2 #Empty</t>
  </si>
  <si>
    <t>11033.txt</t>
  </si>
  <si>
    <t>Crates of Coconuts #2 #Empty</t>
  </si>
  <si>
    <t>一箱椰子 #2 #Empty</t>
  </si>
  <si>
    <t>11034.txt</t>
  </si>
  <si>
    <t>Crates of Corn #2 #Empty</t>
  </si>
  <si>
    <t>成箱的玉米 #2 #Empty</t>
  </si>
  <si>
    <t>11035.txt</t>
  </si>
  <si>
    <t>Crates of Eggs #2 #Empty</t>
  </si>
  <si>
    <t>一箱鸡蛋 #2 #Empty</t>
  </si>
  <si>
    <t>11036.txt</t>
  </si>
  <si>
    <t>Crates of Goose Eggs #2 #Empty</t>
  </si>
  <si>
    <t>一箱箱鹅蛋 #2 #Empty</t>
  </si>
  <si>
    <t>11037.txt</t>
  </si>
  <si>
    <t>Crates of Grapes #2 #Empty</t>
  </si>
  <si>
    <t>一箱箱葡萄 #2 #Empty</t>
  </si>
  <si>
    <t>11038.txt</t>
  </si>
  <si>
    <t>Crates of Lemons #2 #Empty</t>
  </si>
  <si>
    <t>一箱柠檬 #2 #Empty</t>
  </si>
  <si>
    <t>11039.txt</t>
  </si>
  <si>
    <t>Crates of Mangoes #2 #Empty</t>
  </si>
  <si>
    <t>成箱的芒果 #2 #Empty</t>
  </si>
  <si>
    <t>11040.txt</t>
  </si>
  <si>
    <t>Crates of Onions #2 #Empty</t>
  </si>
  <si>
    <t>一箱洋葱 #2 #Empty</t>
  </si>
  <si>
    <t>11041.txt</t>
  </si>
  <si>
    <t>Crates of Oranges #2 #Empty</t>
  </si>
  <si>
    <t>一箱橙子 #2 #Empty</t>
  </si>
  <si>
    <t>11042.txt</t>
  </si>
  <si>
    <t>Crates of Peppers #2 #Empty</t>
  </si>
  <si>
    <t>成箱的辣椒 #2 #Empty</t>
  </si>
  <si>
    <t>11043.txt</t>
  </si>
  <si>
    <t>Crates of Potatoes #2 #Empty</t>
  </si>
  <si>
    <t>一箱箱土豆 #2 #Empty</t>
  </si>
  <si>
    <t>11044.txt</t>
  </si>
  <si>
    <t>Crates of Tomatoes #2 #Empty</t>
  </si>
  <si>
    <t>一箱箱西红柿 #2 #Empty</t>
  </si>
  <si>
    <t>11045.txt</t>
  </si>
  <si>
    <t>Crates of Wild Carrots #2 #Empty</t>
  </si>
  <si>
    <t>成箱的野胡萝卜 #2 #Empty</t>
  </si>
  <si>
    <t>11046.txt</t>
  </si>
  <si>
    <t>Crates of Wild Onions #2 #Empty</t>
  </si>
  <si>
    <t>成箱的野洋葱 #2 #Empty</t>
  </si>
  <si>
    <t>11047.txt</t>
  </si>
  <si>
    <t>Crates of Apples #3</t>
  </si>
  <si>
    <t>一箱箱苹果 #3</t>
  </si>
  <si>
    <t>11048.txt</t>
  </si>
  <si>
    <t>Crates of Apples #3 #Empty</t>
  </si>
  <si>
    <t>一箱苹果 #3 #Empty</t>
  </si>
  <si>
    <t>11049.txt</t>
  </si>
  <si>
    <t>Crates of Bananas #3</t>
  </si>
  <si>
    <t>一箱箱香蕉 #3</t>
  </si>
  <si>
    <t>11050.txt</t>
  </si>
  <si>
    <t>Crates of Bananas #3 #Empty</t>
  </si>
  <si>
    <t>香蕉箱 #3 #Empty</t>
  </si>
  <si>
    <t>11051.txt</t>
  </si>
  <si>
    <t>Crates of Burdock #3</t>
  </si>
  <si>
    <t>成箱的牛蒡 #3</t>
  </si>
  <si>
    <t>11052.txt</t>
  </si>
  <si>
    <t>Crates of Burdock #3 #Empty</t>
  </si>
  <si>
    <t>牛蒡箱 #3 #Empty</t>
  </si>
  <si>
    <t>11053.txt</t>
  </si>
  <si>
    <t>Crates of Cabbages #3</t>
  </si>
  <si>
    <t>一箱卷心菜 #3</t>
  </si>
  <si>
    <t>11054.txt</t>
  </si>
  <si>
    <t>Crates of Cabbages #3 #Empty</t>
  </si>
  <si>
    <t>一箱卷心菜 #3 #Empty</t>
  </si>
  <si>
    <t>11055.txt</t>
  </si>
  <si>
    <t>Crates of Cactus Fruit #3</t>
  </si>
  <si>
    <t>成箱的仙人掌果 #3</t>
  </si>
  <si>
    <t>11056.txt</t>
  </si>
  <si>
    <t>Crates of Cactus Fruit #3 #Empty</t>
  </si>
  <si>
    <t>一箱仙人掌果 #3 #Empty</t>
  </si>
  <si>
    <t>11057.txt</t>
  </si>
  <si>
    <t>Crates of Carrots #3</t>
  </si>
  <si>
    <t>成箱的胡萝卜 #3</t>
  </si>
  <si>
    <t>11058.txt</t>
  </si>
  <si>
    <t>Crates of Carrots #3 #Empty</t>
  </si>
  <si>
    <t>一箱胡萝卜 #3 #Empty</t>
  </si>
  <si>
    <t>11059.txt</t>
  </si>
  <si>
    <t>Crates of Coconuts #3</t>
  </si>
  <si>
    <t>成箱的椰子 #3</t>
  </si>
  <si>
    <t>11060.txt</t>
  </si>
  <si>
    <t>Crates of Coconuts #3 #Empty</t>
  </si>
  <si>
    <t>一箱椰子 #3 #Empty</t>
  </si>
  <si>
    <t>11061.txt</t>
  </si>
  <si>
    <t>Crates of Corn #3</t>
  </si>
  <si>
    <t>成箱的玉米 #3</t>
  </si>
  <si>
    <t>11062.txt</t>
  </si>
  <si>
    <t>Crates of Corn #3 #Empty</t>
  </si>
  <si>
    <t>一箱箱玉米 #3 #Empty</t>
  </si>
  <si>
    <t>11063.txt</t>
  </si>
  <si>
    <t>Crates of Eggs #3</t>
  </si>
  <si>
    <t>鸡蛋箱 #3</t>
  </si>
  <si>
    <t>11064.txt</t>
  </si>
  <si>
    <t>Crates of Eggs #3 #Empty</t>
  </si>
  <si>
    <t>一箱鸡蛋 #3 #Empty</t>
  </si>
  <si>
    <t>11065.txt</t>
  </si>
  <si>
    <t>Crates of Goose Eggs #3</t>
  </si>
  <si>
    <t>一箱箱鹅蛋 #3</t>
  </si>
  <si>
    <t>11066.txt</t>
  </si>
  <si>
    <t>Crates of Goose Eggs #3 #Empty</t>
  </si>
  <si>
    <t>成箱的鹅蛋 #3 #Empty</t>
  </si>
  <si>
    <t>11067.txt</t>
  </si>
  <si>
    <t>Crates of Grapes #3</t>
  </si>
  <si>
    <t>一箱箱葡萄 #3</t>
  </si>
  <si>
    <t>11068.txt</t>
  </si>
  <si>
    <t>Crates of Grapes #3 #Empty</t>
  </si>
  <si>
    <t>一箱箱葡萄 #3 #Empty</t>
  </si>
  <si>
    <t>11069.txt</t>
  </si>
  <si>
    <t>Crates of Mangoes #3</t>
  </si>
  <si>
    <t>成箱的芒果 #3</t>
  </si>
  <si>
    <t>11070.txt</t>
  </si>
  <si>
    <t>Crates of Mangoes #3 #Empty</t>
  </si>
  <si>
    <t>成箱的芒果 #3 #Empty</t>
  </si>
  <si>
    <t>11071.txt</t>
  </si>
  <si>
    <t>Crates of Onions #3</t>
  </si>
  <si>
    <t>一箱洋葱#3</t>
  </si>
  <si>
    <t>11072.txt</t>
  </si>
  <si>
    <t>Crates of Onions #3 #Empty</t>
  </si>
  <si>
    <t>一箱洋葱 #3 #Empty</t>
  </si>
  <si>
    <t>11073.txt</t>
  </si>
  <si>
    <t>Crates of Oranges #3</t>
  </si>
  <si>
    <t>一箱箱橙子 #3</t>
  </si>
  <si>
    <t>11074.txt</t>
  </si>
  <si>
    <t>Crates of Oranges #3 #Empty</t>
  </si>
  <si>
    <t>一箱橙子 #3 #Empty</t>
  </si>
  <si>
    <t>11075.txt</t>
  </si>
  <si>
    <t>Crates of Peppers #3</t>
  </si>
  <si>
    <t>成箱的辣椒 #3</t>
  </si>
  <si>
    <t>11076.txt</t>
  </si>
  <si>
    <t>Crates of Peppers #3 #Empty</t>
  </si>
  <si>
    <t>成箱的辣椒 #3 #Empty</t>
  </si>
  <si>
    <t>11077.txt</t>
  </si>
  <si>
    <t>Crates of Potatoes #3</t>
  </si>
  <si>
    <t>一箱箱土豆#3</t>
  </si>
  <si>
    <t>11078.txt</t>
  </si>
  <si>
    <t>Crates of Potatoes #3 #Empty</t>
  </si>
  <si>
    <t>一箱箱土豆 #3 #Empty</t>
  </si>
  <si>
    <t>11079.txt</t>
  </si>
  <si>
    <t>Crates of Tomatoes #3</t>
  </si>
  <si>
    <t>一箱箱西红柿#3</t>
  </si>
  <si>
    <t>11080.txt</t>
  </si>
  <si>
    <t>Crates of Tomatoes #3 #Empty</t>
  </si>
  <si>
    <t>一箱箱西红柿 #3 #Empty</t>
  </si>
  <si>
    <t>11081.txt</t>
  </si>
  <si>
    <t>Crates of Wild Carrots #3</t>
  </si>
  <si>
    <t>一箱箱野胡萝卜 #3</t>
  </si>
  <si>
    <t>11082.txt</t>
  </si>
  <si>
    <t>Crates of Wild Carrots #3 #Empty</t>
  </si>
  <si>
    <t>成箱的野胡萝卜 #3 #Empty</t>
  </si>
  <si>
    <t>11083.txt</t>
  </si>
  <si>
    <t>Crates of Wild Onions #3</t>
  </si>
  <si>
    <t>成箱的野洋葱#3</t>
  </si>
  <si>
    <t>11084.txt</t>
  </si>
  <si>
    <t>Crates of Wild Onions #3 #Empty</t>
  </si>
  <si>
    <t>成箱的野洋葱 #3 #Empty</t>
  </si>
  <si>
    <t>11085.txt</t>
  </si>
  <si>
    <t>Crates of Lemons #3</t>
  </si>
  <si>
    <t>一箱柠檬#3</t>
  </si>
  <si>
    <t>11086.txt</t>
  </si>
  <si>
    <t>Crates of Lemons #3 #Empty</t>
  </si>
  <si>
    <t>一箱柠檬 #3 #Empty</t>
  </si>
  <si>
    <t>11087.txt</t>
  </si>
  <si>
    <t>@ Full Crates of Goods #2</t>
  </si>
  <si>
    <t>11088.txt</t>
  </si>
  <si>
    <t>@ Crates of Goods #2</t>
  </si>
  <si>
    <t>11089.txt</t>
  </si>
  <si>
    <t>@ Crates of Goods #2 #Empty</t>
  </si>
  <si>
    <t>11090.txt</t>
  </si>
  <si>
    <t>@ Full Crates of Goods #3</t>
  </si>
  <si>
    <t>11091.txt</t>
  </si>
  <si>
    <t>@ Crates of Goods #3</t>
  </si>
  <si>
    <t>11092.txt</t>
  </si>
  <si>
    <t>@ Crates of Goods #3 #Empty</t>
  </si>
  <si>
    <t>11093.txt</t>
  </si>
  <si>
    <t>Shelter</t>
  </si>
  <si>
    <t>庇护所</t>
  </si>
  <si>
    <t>11094.txt</t>
  </si>
  <si>
    <t>11095.txt</t>
  </si>
  <si>
    <t>@ +contFirewood</t>
  </si>
  <si>
    <t>11096.txt</t>
  </si>
  <si>
    <t>@ +contLog</t>
  </si>
  <si>
    <t>11097.txt</t>
  </si>
  <si>
    <t>11098.txt</t>
  </si>
  <si>
    <t>@ Any Firewood Pattern</t>
  </si>
  <si>
    <t>11099.txt</t>
  </si>
  <si>
    <t>@ Any Log Pattern</t>
  </si>
  <si>
    <t>11100.txt</t>
  </si>
  <si>
    <t>@ Any Log Stack</t>
  </si>
  <si>
    <t>11101.txt</t>
  </si>
  <si>
    <t>Butt Log# onGround</t>
  </si>
  <si>
    <t>对接日志# onGround</t>
  </si>
  <si>
    <t>11102.txt</t>
  </si>
  <si>
    <t>Butt Log #light onGround</t>
  </si>
  <si>
    <t>对接日志#light onGround</t>
  </si>
  <si>
    <t>11103.txt</t>
  </si>
  <si>
    <t>Butt Log #dark onGround</t>
  </si>
  <si>
    <t>屁股日志#dark onGround</t>
  </si>
  <si>
    <t>11104.txt</t>
  </si>
  <si>
    <t>Wooden Table#large +useOnContained</t>
  </si>
  <si>
    <t>木桌#large +useOnContained</t>
  </si>
  <si>
    <t>11105.txt</t>
  </si>
  <si>
    <t>@ +contTableExceptions</t>
  </si>
  <si>
    <t>11106.txt</t>
  </si>
  <si>
    <t>Wooden Table# switching +useOnContained</t>
  </si>
  <si>
    <t>木桌# switching +useOnContained</t>
  </si>
  <si>
    <t>11107.txt</t>
  </si>
  <si>
    <t>@ +contTable</t>
  </si>
  <si>
    <t>11108.txt</t>
  </si>
  <si>
    <t>Boards with Two Shafts# just dismantled</t>
  </si>
  <si>
    <t>两轴板# just dismantled</t>
  </si>
  <si>
    <t>11109.txt</t>
  </si>
  <si>
    <t>@ +contCratesOnShelf</t>
  </si>
  <si>
    <t>11110.txt</t>
  </si>
  <si>
    <t>@ +contTableExceptionsBasket</t>
  </si>
  <si>
    <t>11501.txt</t>
  </si>
  <si>
    <t>Hot Cast Iron Pan with Cooked Seasoned Sardines</t>
  </si>
  <si>
    <t>热铸铁锅煮调味沙丁鱼</t>
  </si>
  <si>
    <t>11502.txt</t>
  </si>
  <si>
    <t>Hot Cast Iron Pan with Cooked Seasoned Shrimp</t>
  </si>
  <si>
    <t>热铸铁锅配煮熟的调味虾</t>
  </si>
  <si>
    <t>11506.txt</t>
  </si>
  <si>
    <t>Hot Cast Iron Pan with Cooked Mutton</t>
  </si>
  <si>
    <t>热铸铁锅煮羊肉</t>
  </si>
  <si>
    <t>11507.txt</t>
  </si>
  <si>
    <t>Hot Cast Iron Pan with Cooked Pork</t>
  </si>
  <si>
    <t>热铸铁锅煮猪肉</t>
  </si>
  <si>
    <t>11508.txt</t>
  </si>
  <si>
    <t>Hot Cast Iron Pan with Cooked Beef</t>
  </si>
  <si>
    <t>热铸铁锅煮牛肉</t>
  </si>
  <si>
    <t>11509.txt</t>
  </si>
  <si>
    <t>Hot Cast Iron Pan with Cooked Seasoned Char Fillet</t>
  </si>
  <si>
    <t>热铸铁锅配煮熟的调味炭鱼片</t>
  </si>
  <si>
    <t>11510.txt</t>
  </si>
  <si>
    <t>Cooked Beef with Dry Rub</t>
  </si>
  <si>
    <t>干擦熟牛肉</t>
  </si>
  <si>
    <t>11511.txt</t>
  </si>
  <si>
    <t>Cooked Pork with Dry Rub</t>
  </si>
  <si>
    <t>干擦熟猪肉</t>
  </si>
  <si>
    <t>11512.txt</t>
  </si>
  <si>
    <t>Cooked Mutton with Dry Rub</t>
  </si>
  <si>
    <t>干擦熟羊肉</t>
  </si>
  <si>
    <t>11513.txt</t>
  </si>
  <si>
    <t>Hot Cast Iron Pan with Cooked Seasoned Cod Fillet</t>
  </si>
  <si>
    <t>热铸铁锅配煮熟的调味鳕鱼片</t>
  </si>
  <si>
    <t>11514.txt</t>
  </si>
  <si>
    <t>Hot Cast Iron Pan with Cooked Seasoned Bass Fillet</t>
  </si>
  <si>
    <t>热铸铁锅配煮熟的调味鲈鱼片</t>
  </si>
  <si>
    <t>11515.txt</t>
  </si>
  <si>
    <t>Hot Cast Iron Pan with Cooked Seasoned Trout Fillet</t>
  </si>
  <si>
    <t>热铸铁锅配煮熟的调味鳟鱼片</t>
  </si>
  <si>
    <t>11516.txt</t>
  </si>
  <si>
    <t>Hot Cast Iron Pan with Cooked Seasoned Pike Fillet</t>
  </si>
  <si>
    <t>热铸铁锅配煮熟的调味派克鱼片</t>
  </si>
  <si>
    <t>11517.txt</t>
  </si>
  <si>
    <t>@ Griddle - raw fish</t>
  </si>
  <si>
    <t>11518.txt</t>
  </si>
  <si>
    <t>@ Griddle - cooked fish</t>
  </si>
  <si>
    <t>11519.txt</t>
  </si>
  <si>
    <t>@ Fish Plate - cooked</t>
  </si>
  <si>
    <t>11521.txt</t>
  </si>
  <si>
    <t>Pile of Pickles</t>
  </si>
  <si>
    <t>一堆泡菜</t>
  </si>
  <si>
    <t>11522.txt</t>
  </si>
  <si>
    <t>Pile of Dill</t>
  </si>
  <si>
    <t>一堆莳萝</t>
  </si>
  <si>
    <t>11525.txt</t>
  </si>
  <si>
    <t>Cucumber Seed Bag</t>
  </si>
  <si>
    <t>黄瓜种子袋</t>
  </si>
  <si>
    <t>11526.txt</t>
  </si>
  <si>
    <t>Dill Seed Bag</t>
  </si>
  <si>
    <t>莳萝种子袋</t>
  </si>
  <si>
    <t>11527.txt</t>
  </si>
  <si>
    <t>Beet Seed Bag</t>
  </si>
  <si>
    <t>甜菜种子袋</t>
  </si>
  <si>
    <t>11528.txt</t>
  </si>
  <si>
    <t>Pile of Beaver Meat</t>
  </si>
  <si>
    <t>一堆海狸肉</t>
  </si>
  <si>
    <t>11529.txt</t>
  </si>
  <si>
    <t>Hot Cast Iron Pan with Chicken</t>
  </si>
  <si>
    <t>热铸铁锅鸡肉</t>
  </si>
  <si>
    <t>11530.txt</t>
  </si>
  <si>
    <t>Hot Cast Iron Pan with Chicken and Rice</t>
  </si>
  <si>
    <t>热铸铁锅鸡肉米饭</t>
  </si>
  <si>
    <t>11531.txt</t>
  </si>
  <si>
    <t>Hot Cast Iron Pan with Chicken Stir Fry</t>
  </si>
  <si>
    <t>热铸铁锅炒鸡肉</t>
  </si>
  <si>
    <t>11532.txt</t>
  </si>
  <si>
    <t>Hot Cast Iron Pan with Cooked Chicken Stir Fry</t>
  </si>
  <si>
    <t>热铸铁锅炒熟鸡肉</t>
  </si>
  <si>
    <t>11533.txt</t>
  </si>
  <si>
    <t>Chicken Stir Fry</t>
  </si>
  <si>
    <t>鸡肉炒</t>
  </si>
  <si>
    <t>11534.txt</t>
  </si>
  <si>
    <t>(outdated) Partial Stone Oven #door removed</t>
  </si>
  <si>
    <t>#door removed</t>
  </si>
  <si>
    <t>11535.txt</t>
  </si>
  <si>
    <t>Ore Vein</t>
  </si>
  <si>
    <t>矿脉</t>
  </si>
  <si>
    <t>11536.txt</t>
  </si>
  <si>
    <t>Tundra Ore Vein</t>
  </si>
  <si>
    <t>苔原矿脉</t>
  </si>
  <si>
    <t>11537.txt</t>
  </si>
  <si>
    <t>(outdated) Stone Oven #cool, pizza</t>
  </si>
  <si>
    <t>#cool, pizza</t>
  </si>
  <si>
    <t>11538.txt</t>
  </si>
  <si>
    <t>(outdated) Stone Oven #hot, pizza</t>
  </si>
  <si>
    <t>#hot, pizza</t>
  </si>
  <si>
    <t>11539.txt</t>
  </si>
  <si>
    <t>(outdated) Stone Oven #lit, pizza</t>
  </si>
  <si>
    <t>#lit, pizza</t>
  </si>
  <si>
    <t>11540.txt</t>
  </si>
  <si>
    <t>Random Mine Results# upgrade 3</t>
  </si>
  <si>
    <t>随机矿井结果# upgrade 3</t>
  </si>
  <si>
    <t>11541.txt</t>
  </si>
  <si>
    <t>Random Mine Results# precious (outdated)</t>
  </si>
  <si>
    <t>随机矿井结果# precious (outdated)</t>
  </si>
  <si>
    <t>11542.txt</t>
  </si>
  <si>
    <t>Random Mine Results# desert</t>
  </si>
  <si>
    <t>随机矿山结果# desert</t>
  </si>
  <si>
    <t>11543.txt</t>
  </si>
  <si>
    <t>11544.txt</t>
  </si>
  <si>
    <t>(outdated) Mining Pit #precious</t>
  </si>
  <si>
    <t>#precious</t>
  </si>
  <si>
    <t>11545.txt</t>
  </si>
  <si>
    <t>Desert Mine #2</t>
  </si>
  <si>
    <t>沙漠矿井#2</t>
  </si>
  <si>
    <t>11546.txt</t>
  </si>
  <si>
    <t>(outdated) Mine Shaft #precious</t>
  </si>
  <si>
    <t>11547.txt</t>
  </si>
  <si>
    <t>(outdated) Mine Shaft #desert</t>
  </si>
  <si>
    <t>#desert</t>
  </si>
  <si>
    <t>11548.txt</t>
  </si>
  <si>
    <t>(outdated) Mine Shaft #exhausted engine</t>
  </si>
  <si>
    <t>#exhausted engine</t>
  </si>
  <si>
    <t>11549.txt</t>
  </si>
  <si>
    <t>(outdated) Mine Shaft #exhausted 3</t>
  </si>
  <si>
    <t>#exhausted 3</t>
  </si>
  <si>
    <t>11550.txt</t>
  </si>
  <si>
    <t>Mine #2 #exhausted</t>
  </si>
  <si>
    <t>我的#2 #exhausted</t>
  </si>
  <si>
    <t>11551.txt</t>
  </si>
  <si>
    <t>Mine with Iron #1 #exhausted</t>
  </si>
  <si>
    <t>我的铁 #1 #exhausted</t>
  </si>
  <si>
    <t>11552.txt</t>
  </si>
  <si>
    <t>(outdated) Mine Shaft #exhausted desert</t>
  </si>
  <si>
    <t>#exhausted desert</t>
  </si>
  <si>
    <t>11553.txt</t>
  </si>
  <si>
    <t>(outdated) Mine Shaft #exhausted precious</t>
  </si>
  <si>
    <t>#exhausted precious</t>
  </si>
  <si>
    <t>11556.txt</t>
  </si>
  <si>
    <t>Mine with Limestone #1</t>
  </si>
  <si>
    <t>石灰石矿山#1</t>
  </si>
  <si>
    <t>11557.txt</t>
  </si>
  <si>
    <t>Mine with Copper #1</t>
  </si>
  <si>
    <t>我的铜#1</t>
  </si>
  <si>
    <t>11558.txt</t>
  </si>
  <si>
    <t>Mine with Cassiterite #1</t>
  </si>
  <si>
    <t>锡石矿洞#1</t>
  </si>
  <si>
    <t>11559.txt</t>
  </si>
  <si>
    <t>Mine with Iron #1</t>
  </si>
  <si>
    <t>我的铁#1</t>
  </si>
  <si>
    <t>11560.txt</t>
  </si>
  <si>
    <t>Broken Bronze Tool</t>
  </si>
  <si>
    <t>破碎的青铜工具</t>
  </si>
  <si>
    <t>11561.txt</t>
  </si>
  <si>
    <t>Mine #1 #exhausted</t>
  </si>
  <si>
    <t>我的#1 #exhausted</t>
  </si>
  <si>
    <t>11562.txt</t>
  </si>
  <si>
    <t>一堆炉甘石</t>
  </si>
  <si>
    <t>11563.txt</t>
  </si>
  <si>
    <t>Pile of Malachite</t>
  </si>
  <si>
    <t>孔雀石堆</t>
  </si>
  <si>
    <t>11564.txt</t>
  </si>
  <si>
    <t>Scrap Bronze</t>
  </si>
  <si>
    <t>废青铜</t>
  </si>
  <si>
    <t>11565.txt</t>
  </si>
  <si>
    <t>Clump of Scrap Bronze</t>
  </si>
  <si>
    <t>一堆废青铜</t>
  </si>
  <si>
    <t>11566.txt</t>
  </si>
  <si>
    <t>Crucible with Bronze Alloy Mixture #tin</t>
  </si>
  <si>
    <t>青铜合金混合物坩埚#tin</t>
  </si>
  <si>
    <t>11567.txt</t>
  </si>
  <si>
    <t>Crucible with Bronze Alloy Mixture #tin copper</t>
  </si>
  <si>
    <t>青铜合金混合物坩埚#tin copper</t>
  </si>
  <si>
    <t>11568.txt</t>
  </si>
  <si>
    <t>Crucible with Bronze Alloy Mixture #copper</t>
  </si>
  <si>
    <t>青铜合金混合物坩埚#copper</t>
  </si>
  <si>
    <t>11569.txt</t>
  </si>
  <si>
    <t>Unforged Sealed Bronze Crucible</t>
  </si>
  <si>
    <t>未锻造密封青铜坩埚</t>
  </si>
  <si>
    <t>11570.txt</t>
  </si>
  <si>
    <t>Forged Bronze Crucible</t>
  </si>
  <si>
    <t>锻青铜坩埚</t>
  </si>
  <si>
    <t>11571.txt</t>
  </si>
  <si>
    <t>Hot Forged Bronze Crucible</t>
  </si>
  <si>
    <t>热锻青铜坩埚</t>
  </si>
  <si>
    <t>11572.txt</t>
  </si>
  <si>
    <t>Unforged Bronze Crucible in Wooden Tongs</t>
  </si>
  <si>
    <t>木钳中的未锻造青铜坩埚</t>
  </si>
  <si>
    <t>11573.txt</t>
  </si>
  <si>
    <t>Hot Bronze Crucible in Wooden Tongs</t>
  </si>
  <si>
    <t>木钳中的热青铜坩埚</t>
  </si>
  <si>
    <t>11574.txt</t>
  </si>
  <si>
    <t>Cool Bronze Crucible in Wooden Tongs</t>
  </si>
  <si>
    <t>木钳中的冷青铜坩埚</t>
  </si>
  <si>
    <t>11575.txt</t>
  </si>
  <si>
    <t>Bronze Ingot</t>
  </si>
  <si>
    <t>青铜锭</t>
  </si>
  <si>
    <t>11576.txt</t>
  </si>
  <si>
    <t>Hot Bronze Ingot in Wooden Tongs</t>
  </si>
  <si>
    <t>木钳中的热青铜锭</t>
  </si>
  <si>
    <t>11577.txt</t>
  </si>
  <si>
    <t>Hot Bronze Ingot</t>
  </si>
  <si>
    <t>热青铜锭</t>
  </si>
  <si>
    <t>11578.txt</t>
  </si>
  <si>
    <t>Bronze Ingot in Wooden Tongs</t>
  </si>
  <si>
    <t>木钳中的青铜锭</t>
  </si>
  <si>
    <t>11579.txt</t>
  </si>
  <si>
    <t>Bronze Ingot in Wooden Tongs #just cooled</t>
  </si>
  <si>
    <t>木钳中的青铜锭#just cooled</t>
  </si>
  <si>
    <t>11580.txt</t>
  </si>
  <si>
    <t>Bronze Ingot on Flat Rock</t>
  </si>
  <si>
    <t>扁平岩石上的青铜锭</t>
  </si>
  <si>
    <t>11581.txt</t>
  </si>
  <si>
    <t>Stack of Bronze Ingots</t>
  </si>
  <si>
    <t>一堆青铜锭</t>
  </si>
  <si>
    <t>11582.txt</t>
  </si>
  <si>
    <t>Crucible with Bronze</t>
  </si>
  <si>
    <t>青铜坩埚</t>
  </si>
  <si>
    <t>11583.txt</t>
  </si>
  <si>
    <t>Hot Bronze Ingot on Flat Rock</t>
  </si>
  <si>
    <t>平坦岩石上热的青铜锭</t>
  </si>
  <si>
    <t>11584.txt</t>
  </si>
  <si>
    <t>Hot Bronze Pick Head on Flat Rock</t>
  </si>
  <si>
    <t>扁平岩石上热的青铜镐头</t>
  </si>
  <si>
    <t>11585.txt</t>
  </si>
  <si>
    <t>Hot Bronze Axe Head on Flat Rock</t>
  </si>
  <si>
    <t>扁平岩石上热的青铜斧头</t>
  </si>
  <si>
    <t>11586.txt</t>
  </si>
  <si>
    <t>Hot Bronze Froe Head on Flat Rock</t>
  </si>
  <si>
    <t>扁平岩石上热的青铜楔刀片</t>
  </si>
  <si>
    <t>11587.txt</t>
  </si>
  <si>
    <t>Hot Bronze Hoe Head on Flat Rock</t>
  </si>
  <si>
    <t>扁平岩石上热的青铜锄头</t>
  </si>
  <si>
    <t>11588.txt</t>
  </si>
  <si>
    <t>(outdated) Mine Shaft with Drill Bit #upgrade 3</t>
  </si>
  <si>
    <t>11589.txt</t>
  </si>
  <si>
    <t>(outdated) Mine Shaft with Drill Bit #upgrade 3 firing</t>
  </si>
  <si>
    <t>#upgrade 3 firing</t>
  </si>
  <si>
    <t>11590.txt</t>
  </si>
  <si>
    <t>Perhaps an Exhausted Mine 3</t>
  </si>
  <si>
    <t>也许是一个枯竭的矿井 3</t>
  </si>
  <si>
    <t>11591.txt</t>
  </si>
  <si>
    <t>Bronze Pick Head on Flat Rock</t>
  </si>
  <si>
    <t>扁平岩石上的青铜镐头</t>
  </si>
  <si>
    <t>11592.txt</t>
  </si>
  <si>
    <t>Bronze Axe Head on Flat Rock</t>
  </si>
  <si>
    <t>平坦岩石上的青铜斧头</t>
  </si>
  <si>
    <t>11593.txt</t>
  </si>
  <si>
    <t>Bronze Froe Head on Flat Rock</t>
  </si>
  <si>
    <t>扁平岩石上的青铜楔刀片</t>
  </si>
  <si>
    <t>11594.txt</t>
  </si>
  <si>
    <t>Bronze Hoe Head on Flat Rock</t>
  </si>
  <si>
    <t>平坦岩石上的青铜锄头</t>
  </si>
  <si>
    <t>11595.txt</t>
  </si>
  <si>
    <t>Bronze Hoe Head</t>
  </si>
  <si>
    <t>11596.txt</t>
  </si>
  <si>
    <t>Bronze Axe Head</t>
  </si>
  <si>
    <t>11597.txt</t>
  </si>
  <si>
    <t>Bronze Mining Pick Head</t>
  </si>
  <si>
    <t>青铜矿镐头</t>
  </si>
  <si>
    <t>11598.txt</t>
  </si>
  <si>
    <t>Bronze Froe Head</t>
  </si>
  <si>
    <t>青铜楔刀片</t>
  </si>
  <si>
    <t>11599.txt</t>
  </si>
  <si>
    <t>Mine with Cassiterite #2</t>
  </si>
  <si>
    <t>锡石矿洞#2</t>
  </si>
  <si>
    <t>11600.txt</t>
  </si>
  <si>
    <t>Mine with Iron #2</t>
  </si>
  <si>
    <t>我的铁#2</t>
  </si>
  <si>
    <t>11601.txt</t>
  </si>
  <si>
    <t>Mine with Limestone #2</t>
  </si>
  <si>
    <t>我的石灰石 #2</t>
  </si>
  <si>
    <t>11602.txt</t>
  </si>
  <si>
    <t>(outdated) Mine with Iron #2 #exhausted</t>
  </si>
  <si>
    <t>#2 #exhausted</t>
  </si>
  <si>
    <t>11603.txt</t>
  </si>
  <si>
    <t>Mine with Malachite #2</t>
  </si>
  <si>
    <t>我的孔雀石 #2</t>
  </si>
  <si>
    <t>11604.txt</t>
  </si>
  <si>
    <t>(outdated) Mine Shaft with Lapis Lazuli #desert</t>
  </si>
  <si>
    <t>11605.txt</t>
  </si>
  <si>
    <t>(outdated) Mine Shaft with Cinnabar #desert</t>
  </si>
  <si>
    <t>11606.txt</t>
  </si>
  <si>
    <t>(outdated) Mine Shaft with Alum #desert</t>
  </si>
  <si>
    <t>11607.txt</t>
  </si>
  <si>
    <t>(outdated) Mine Shaft with Diamond #desert</t>
  </si>
  <si>
    <t>11608.txt</t>
  </si>
  <si>
    <t>(outdated) Mine Shaft with Diamond #precious</t>
  </si>
  <si>
    <t>11609.txt</t>
  </si>
  <si>
    <t>(outdated) Mine Shaft with Gold #precious</t>
  </si>
  <si>
    <t>11610.txt</t>
  </si>
  <si>
    <t>(outdated) Mine Shaft with Silver #precious</t>
  </si>
  <si>
    <t>11611.txt</t>
  </si>
  <si>
    <t>Sack of Silver Flakes #1</t>
  </si>
  <si>
    <t>一袋银片 #1</t>
  </si>
  <si>
    <t>11612.txt</t>
  </si>
  <si>
    <t>Sack of Silver Flakes #2</t>
  </si>
  <si>
    <t>一袋银片 #2</t>
  </si>
  <si>
    <t>11613.txt</t>
  </si>
  <si>
    <t>Sack of Silver Flakes #3</t>
  </si>
  <si>
    <t>一袋银片 #3</t>
  </si>
  <si>
    <t>11614.txt</t>
  </si>
  <si>
    <t>Sack of Silver Flakes #4</t>
  </si>
  <si>
    <t>一袋银片 #4</t>
  </si>
  <si>
    <t>11615.txt</t>
  </si>
  <si>
    <t>Sack of Silver Flakes #5</t>
  </si>
  <si>
    <t>一袋银片 #5</t>
  </si>
  <si>
    <t>11616.txt</t>
  </si>
  <si>
    <t>Sack of Gold Flakes #1</t>
  </si>
  <si>
    <t>一袋金片 #1</t>
  </si>
  <si>
    <t>11617.txt</t>
  </si>
  <si>
    <t>Sack of Gold Flakes #2</t>
  </si>
  <si>
    <t>一袋金片 #2</t>
  </si>
  <si>
    <t>11618.txt</t>
  </si>
  <si>
    <t>Sack of Gold Flakes #3</t>
  </si>
  <si>
    <t>一袋金片 #3</t>
  </si>
  <si>
    <t>11619.txt</t>
  </si>
  <si>
    <t>Sack of Gold Flakes #4</t>
  </si>
  <si>
    <t>一袋金片 #4</t>
  </si>
  <si>
    <t>11620.txt</t>
  </si>
  <si>
    <t>Sack of Gold Flakes #5</t>
  </si>
  <si>
    <t>一袋金片 #5</t>
  </si>
  <si>
    <t>11621.txt</t>
  </si>
  <si>
    <t>11622.txt</t>
  </si>
  <si>
    <t>一堆青金石</t>
  </si>
  <si>
    <t>11623.txt</t>
  </si>
  <si>
    <t>11624.txt</t>
  </si>
  <si>
    <t>Pile of Diamonds</t>
  </si>
  <si>
    <t>一堆钻石</t>
  </si>
  <si>
    <t>11625.txt</t>
  </si>
  <si>
    <t>@ Any Mining Pick</t>
  </si>
  <si>
    <t>11626.txt</t>
  </si>
  <si>
    <t>(outdated) Mine Shaft with Diamond #exhausted desert</t>
  </si>
  <si>
    <t>11627.txt</t>
  </si>
  <si>
    <t>(outdated) Mine Shaft with Diamond #exhausted precious</t>
  </si>
  <si>
    <t>11628.txt</t>
  </si>
  <si>
    <t>Pile of Electrum</t>
  </si>
  <si>
    <t>一堆金金银</t>
  </si>
  <si>
    <t>11629.txt</t>
  </si>
  <si>
    <t>Bronze Smithing Hammer</t>
  </si>
  <si>
    <t>青铜锻造锤</t>
  </si>
  <si>
    <t>11630.txt</t>
  </si>
  <si>
    <t>Hot Bronze Hammer Head on Flat Rock</t>
  </si>
  <si>
    <t>扁平岩石上的热青铜锤头</t>
  </si>
  <si>
    <t>11631.txt</t>
  </si>
  <si>
    <t>Bronze Hammer Head on Flat Rock</t>
  </si>
  <si>
    <t>扁平岩石上的青铜锤头</t>
  </si>
  <si>
    <t>11632.txt</t>
  </si>
  <si>
    <t>Bronze Smithing Hammer Head</t>
  </si>
  <si>
    <t>青铜锻造锤头</t>
  </si>
  <si>
    <t>11633.txt</t>
  </si>
  <si>
    <t>@ Any Smithing Hammer</t>
  </si>
  <si>
    <t>11634.txt</t>
  </si>
  <si>
    <t>Bronze Shovel</t>
  </si>
  <si>
    <t>青铜铲子</t>
  </si>
  <si>
    <t>11635.txt</t>
  </si>
  <si>
    <t>Bronze Shovel Head</t>
  </si>
  <si>
    <t>青铜铲头</t>
  </si>
  <si>
    <t>11636.txt</t>
  </si>
  <si>
    <t>Bronze Shovel Head on Flat Rock</t>
  </si>
  <si>
    <t>扁平岩石上的青铜铲头</t>
  </si>
  <si>
    <t>11637.txt</t>
  </si>
  <si>
    <t>Hot Bronze Shovel Head on Flat Rock</t>
  </si>
  <si>
    <t>扁平岩石上的热青铜铲头</t>
  </si>
  <si>
    <t>11638.txt</t>
  </si>
  <si>
    <t>Bronze Adze</t>
  </si>
  <si>
    <t>青铜锛</t>
  </si>
  <si>
    <t>11639.txt</t>
  </si>
  <si>
    <t>Bronze Adze Head</t>
  </si>
  <si>
    <t>青铜锛头</t>
  </si>
  <si>
    <t>11640.txt</t>
  </si>
  <si>
    <t>Bronze Adze Head on Flat Rock</t>
  </si>
  <si>
    <t>扁石上青铜锛头</t>
  </si>
  <si>
    <t>11641.txt</t>
  </si>
  <si>
    <t>Hot Bronze Adze Head on Flat Rock</t>
  </si>
  <si>
    <t>扁平岩石上的热青铜锛头</t>
  </si>
  <si>
    <t>11642.txt</t>
  </si>
  <si>
    <t>Bronze Saw Blade</t>
  </si>
  <si>
    <t>青铜锯片</t>
  </si>
  <si>
    <t>11643.txt</t>
  </si>
  <si>
    <t>Bronze Hand Saw</t>
  </si>
  <si>
    <t>青铜手锯</t>
  </si>
  <si>
    <t>11644.txt</t>
  </si>
  <si>
    <t>Hot Bronze Chisel on Flat Rock</t>
  </si>
  <si>
    <t>扁平岩石上的热青铜凿子</t>
  </si>
  <si>
    <t>11645.txt</t>
  </si>
  <si>
    <t>Bronze Chisel on Flat Rock</t>
  </si>
  <si>
    <t>扁平岩石上的青铜凿子</t>
  </si>
  <si>
    <t>11646.txt</t>
  </si>
  <si>
    <t>Bronze Chisel</t>
  </si>
  <si>
    <t>青铜凿子</t>
  </si>
  <si>
    <t>11647.txt</t>
  </si>
  <si>
    <t>Bronze Blade</t>
  </si>
  <si>
    <t>青铜刀片</t>
  </si>
  <si>
    <t>11648.txt</t>
  </si>
  <si>
    <t>Bronze Blade Blank</t>
  </si>
  <si>
    <t>青铜刀片毛坯</t>
  </si>
  <si>
    <t>11650.txt</t>
  </si>
  <si>
    <t>Bronze Blade Blank on Flat Rock</t>
  </si>
  <si>
    <t>扁平岩石上的青铜刀片毛坯</t>
  </si>
  <si>
    <t>11651.txt</t>
  </si>
  <si>
    <t>Hot Bronze Blade Blank on Flat Rock</t>
  </si>
  <si>
    <t>扁平岩石上的热青铜刀片毛坯</t>
  </si>
  <si>
    <t>11652.txt</t>
  </si>
  <si>
    <t>Bronze File</t>
  </si>
  <si>
    <t>青铜锉刀</t>
  </si>
  <si>
    <t>11653.txt</t>
  </si>
  <si>
    <t>Oiled Bronze File Blank</t>
  </si>
  <si>
    <t>涂油锉刀毛坯</t>
  </si>
  <si>
    <t>11654.txt</t>
  </si>
  <si>
    <t>Bronze File Blank</t>
  </si>
  <si>
    <t>11655.txt</t>
  </si>
  <si>
    <t>带凿子的涂油锉刀毛坯</t>
  </si>
  <si>
    <t>11656.txt</t>
  </si>
  <si>
    <t>Bronze File Blank on Flat Rock</t>
  </si>
  <si>
    <t>扁平岩石上的青铜锉刀</t>
  </si>
  <si>
    <t>11657.txt</t>
  </si>
  <si>
    <t>Hot Bronze File Blank on Flat Rock</t>
  </si>
  <si>
    <t>扁平岩石上的热的青铜锉刀毛坯</t>
  </si>
  <si>
    <t>11658.txt</t>
  </si>
  <si>
    <t>Bronze File with Chisel</t>
  </si>
  <si>
    <t>带凿子的青铜锉刀</t>
  </si>
  <si>
    <t>11659.txt</t>
  </si>
  <si>
    <t>Two Bronze Blades</t>
  </si>
  <si>
    <t>两把青铜刀片</t>
  </si>
  <si>
    <t>11660.txt</t>
  </si>
  <si>
    <t>Bronze Shears</t>
  </si>
  <si>
    <t>青铜剪刀</t>
  </si>
  <si>
    <t>11661.txt</t>
  </si>
  <si>
    <t>@ Any Shovel</t>
  </si>
  <si>
    <t>11662.txt</t>
  </si>
  <si>
    <t>@ Any Adze</t>
  </si>
  <si>
    <t>11663.txt</t>
  </si>
  <si>
    <t>@ Any Froe</t>
  </si>
  <si>
    <t>11664.txt</t>
  </si>
  <si>
    <t>@ Any Saw</t>
  </si>
  <si>
    <t>11665.txt</t>
  </si>
  <si>
    <t>@ Any Axe</t>
  </si>
  <si>
    <t>11666.txt</t>
  </si>
  <si>
    <t>@ Any Hoe</t>
  </si>
  <si>
    <t>11667.txt</t>
  </si>
  <si>
    <t>@ Any Shears</t>
  </si>
  <si>
    <t>11668.txt</t>
  </si>
  <si>
    <t>@ Any Chisel</t>
  </si>
  <si>
    <t>11669.txt</t>
  </si>
  <si>
    <t>@ Any File</t>
  </si>
  <si>
    <t>11671.txt</t>
  </si>
  <si>
    <t>Bronze Knife</t>
  </si>
  <si>
    <t>青铜刀</t>
  </si>
  <si>
    <t>11672.txt</t>
  </si>
  <si>
    <t>Boards with Bronze Froe #light</t>
  </si>
  <si>
    <t>带有青铜楔刀的板#light</t>
  </si>
  <si>
    <t>11673.txt</t>
  </si>
  <si>
    <t>Boards with Bronze Froe #dark</t>
  </si>
  <si>
    <t>带有青铜楔刀 的板#dark</t>
  </si>
  <si>
    <t>11674.txt</t>
  </si>
  <si>
    <t>Boards with Bronze Froe</t>
  </si>
  <si>
    <t>带有青铜楔刀 的板</t>
  </si>
  <si>
    <t>11675.txt</t>
  </si>
  <si>
    <t>Bronze Froe Wedged In Log</t>
  </si>
  <si>
    <t>楔入原木的青铜弗洛</t>
  </si>
  <si>
    <t>11676.txt</t>
  </si>
  <si>
    <t>Bronze Froe Wedged In Log #dark</t>
  </si>
  <si>
    <t>青铜楔刀楔入原木#dark</t>
  </si>
  <si>
    <t>11677.txt</t>
  </si>
  <si>
    <t>Bronze Froe Wedged In Log #light</t>
  </si>
  <si>
    <t>青铜楔刀楔入原木#light</t>
  </si>
  <si>
    <t>11678.txt</t>
  </si>
  <si>
    <t>Bronze Shears with Cut Thread</t>
  </si>
  <si>
    <t>带切线的青铜剪刀</t>
  </si>
  <si>
    <t>11679.txt</t>
  </si>
  <si>
    <t>Crucible with Scrap Bronze</t>
  </si>
  <si>
    <t>坩埚用废青铜</t>
  </si>
  <si>
    <t>11680.txt</t>
  </si>
  <si>
    <t>Cut Sandstone with Bronze Chisel</t>
  </si>
  <si>
    <t>用青铜凿子切割砂岩</t>
  </si>
  <si>
    <t>11681.txt</t>
  </si>
  <si>
    <t>Cut Stones with Bronze Chisel</t>
  </si>
  <si>
    <t>用青铜凿子切割石头</t>
  </si>
  <si>
    <t>11683.txt</t>
  </si>
  <si>
    <t>Split Big Rock with Bronze Chisel</t>
  </si>
  <si>
    <t>用青铜凿子劈开大石头</t>
  </si>
  <si>
    <t>11684.txt</t>
  </si>
  <si>
    <t>Stone Block with Bronze Chisel</t>
  </si>
  <si>
    <t>带青铜凿子的石块</t>
  </si>
  <si>
    <t>11685.txt</t>
  </si>
  <si>
    <t>Dug Big Rock with Bronze Chisel</t>
  </si>
  <si>
    <t>用青铜凿子挖大石头</t>
  </si>
  <si>
    <t>11686.txt</t>
  </si>
  <si>
    <t>Dug Sandstone with Bronze Chisel</t>
  </si>
  <si>
    <t>用青铜凿子挖砂岩</t>
  </si>
  <si>
    <t>11687.txt</t>
  </si>
  <si>
    <t>Split Sandstone with Bronze Chisel</t>
  </si>
  <si>
    <t>用青铜凿子劈开砂岩</t>
  </si>
  <si>
    <t>11688.txt</t>
  </si>
  <si>
    <t>Bronze Shovel of Dung</t>
  </si>
  <si>
    <t>青铜粪铲</t>
  </si>
  <si>
    <t>11690.txt</t>
  </si>
  <si>
    <t>11691.txt</t>
  </si>
  <si>
    <t>Split Big Rock#bronze chisel</t>
  </si>
  <si>
    <t>劈开大石头#bronze chisel</t>
  </si>
  <si>
    <t>11692.txt</t>
  </si>
  <si>
    <t>Split Sandstone#bronze chisel</t>
  </si>
  <si>
    <t>劈开砂岩#bronze chisel</t>
  </si>
  <si>
    <t>11693.txt</t>
  </si>
  <si>
    <t>Desert Ore Vein</t>
  </si>
  <si>
    <t>沙漠矿脉</t>
  </si>
  <si>
    <t>11694.txt</t>
  </si>
  <si>
    <t>Random Mine Results# upgrade 1</t>
  </si>
  <si>
    <t>随机矿井结果# upgrade 1</t>
  </si>
  <si>
    <t>11695.txt</t>
  </si>
  <si>
    <t>Random Mine Results# upgrade 2</t>
  </si>
  <si>
    <t>随机矿井结果# upgrade 2</t>
  </si>
  <si>
    <t>11696.txt</t>
  </si>
  <si>
    <t>(outdated) Mine Shaft #exhausted dynamite</t>
  </si>
  <si>
    <t>#exhausted dynamite</t>
  </si>
  <si>
    <t>11697.txt</t>
  </si>
  <si>
    <t>Mine with Explosive #2 #exhausted</t>
  </si>
  <si>
    <t>我的炸药 #2 #exhausted</t>
  </si>
  <si>
    <t>11698.txt</t>
  </si>
  <si>
    <t>Mine with Lit Explosive #2 #exhausted</t>
  </si>
  <si>
    <t>我的地雷已点燃炸药 #2 #exhausted</t>
  </si>
  <si>
    <t>11699.txt</t>
  </si>
  <si>
    <t>(outdated) Mine Shaft #exhausted dynamite lit</t>
  </si>
  <si>
    <t>#exhausted dynamite lit</t>
  </si>
  <si>
    <t>11700.txt</t>
  </si>
  <si>
    <t>(outdated) Mine Shaft #exhausted explosion</t>
  </si>
  <si>
    <t>#exhausted explosion</t>
  </si>
  <si>
    <t>11701.txt</t>
  </si>
  <si>
    <t>Mine #2 #exhausted #explosion</t>
  </si>
  <si>
    <t>我的 #2 #exhausted #explosion</t>
  </si>
  <si>
    <t>11702.txt</t>
  </si>
  <si>
    <t>(outdated) Unstable Mine Shaft #2</t>
  </si>
  <si>
    <t>11703.txt</t>
  </si>
  <si>
    <t>(outdated) Unstable Mine Shaft</t>
  </si>
  <si>
    <t>11704.txt</t>
  </si>
  <si>
    <t>(outdated) Excavated Mine Shaft</t>
  </si>
  <si>
    <t>11705.txt</t>
  </si>
  <si>
    <t>(outdated) Excavated Mine Shaft #2</t>
  </si>
  <si>
    <t>11706.txt</t>
  </si>
  <si>
    <t>Disassembled Anvil</t>
  </si>
  <si>
    <t>拆卸的砧座</t>
  </si>
  <si>
    <t>11707.txt</t>
  </si>
  <si>
    <t>Partial Anvil</t>
  </si>
  <si>
    <t>部分砧座</t>
  </si>
  <si>
    <t>11708.txt</t>
  </si>
  <si>
    <t>Iron Anvil on Flat Rock</t>
  </si>
  <si>
    <t>扁平岩石上的铁砧</t>
  </si>
  <si>
    <t>11709.txt</t>
  </si>
  <si>
    <t>Hot Anvil #flat rock</t>
  </si>
  <si>
    <t>热砧#flat rock</t>
  </si>
  <si>
    <t>11710.txt</t>
  </si>
  <si>
    <t>Hot Wrought Iron Ingots#flat rock</t>
  </si>
  <si>
    <t>热锻铁锭#flat rock</t>
  </si>
  <si>
    <t>11711.txt</t>
  </si>
  <si>
    <t>Wrought Iron Ingots on Flat Rock</t>
  </si>
  <si>
    <t>平岩上的锻铁锭</t>
  </si>
  <si>
    <t>11716.txt</t>
  </si>
  <si>
    <t>一堆锌锭</t>
  </si>
  <si>
    <t>11717.txt</t>
  </si>
  <si>
    <t>Horse #dappled,loose</t>
  </si>
  <si>
    <t>马#dappled,loose</t>
  </si>
  <si>
    <t>11718.txt</t>
  </si>
  <si>
    <t>Horse #dappled,lead</t>
  </si>
  <si>
    <t>马#dappled,lead</t>
  </si>
  <si>
    <t>11719.txt</t>
  </si>
  <si>
    <t>Horse #dappled,hitched</t>
  </si>
  <si>
    <t>马#dappled,hitched</t>
  </si>
  <si>
    <t>11720.txt</t>
  </si>
  <si>
    <t>Horse #dappled,hitched,saddled</t>
  </si>
  <si>
    <t>马#dappled,hitched,saddled</t>
  </si>
  <si>
    <t>11721.txt</t>
  </si>
  <si>
    <t>Work Horse #dappled,hitched</t>
  </si>
  <si>
    <t>工作马#dappled,hitched</t>
  </si>
  <si>
    <t>11722.txt</t>
  </si>
  <si>
    <t>Show Horse #dappled,hitched</t>
  </si>
  <si>
    <t>显示马#dappled,hitched</t>
  </si>
  <si>
    <t>11723.txt</t>
  </si>
  <si>
    <t>Show Horse #dappled,riding</t>
  </si>
  <si>
    <t>显示马#dappled,riding</t>
  </si>
  <si>
    <t>11724.txt</t>
  </si>
  <si>
    <t>Broken Horse Cart #dappled,bit</t>
  </si>
  <si>
    <t>断马车#dappled,bit</t>
  </si>
  <si>
    <t>11725.txt</t>
  </si>
  <si>
    <t>Broken Horse Cart #dappled,ground</t>
  </si>
  <si>
    <t>断马车#dappled,ground</t>
  </si>
  <si>
    <t>11726.txt</t>
  </si>
  <si>
    <t>Broken Horse Cart with Tires #dappled,bit</t>
  </si>
  <si>
    <t>带轮胎的破马车#dappled,bit</t>
  </si>
  <si>
    <t>11727.txt</t>
  </si>
  <si>
    <t>Broken Horse Cart with Tires #dappled,ground</t>
  </si>
  <si>
    <t>带轮胎的破马车#dappled,ground</t>
  </si>
  <si>
    <t>11728.txt</t>
  </si>
  <si>
    <t>Horse-Drawn Cart #dappled,hitched</t>
  </si>
  <si>
    <t>马车#dappled,hitched</t>
  </si>
  <si>
    <t>11729.txt</t>
  </si>
  <si>
    <t>Horse-Drawn Cart with Tires #dappled,hitched</t>
  </si>
  <si>
    <t>带轮胎的马车#dappled,hitched</t>
  </si>
  <si>
    <t>11730.txt</t>
  </si>
  <si>
    <t>Horse-Drawn Cart #dappled,riding</t>
  </si>
  <si>
    <t>马车#dappled,riding</t>
  </si>
  <si>
    <t>11731.txt</t>
  </si>
  <si>
    <t>Horse-Drawn Cart with Tires #dappled,riding</t>
  </si>
  <si>
    <t>带轮胎的马车#dappled,riding</t>
  </si>
  <si>
    <t>11733.txt</t>
  </si>
  <si>
    <t>Horse #dappled,fed</t>
  </si>
  <si>
    <t>马#dappled,fed</t>
  </si>
  <si>
    <t>11734.txt</t>
  </si>
  <si>
    <t>Horse #dappled,foal</t>
  </si>
  <si>
    <t>马#dappled,foal</t>
  </si>
  <si>
    <t>11735.txt</t>
  </si>
  <si>
    <t>Horse Foal #dappled</t>
  </si>
  <si>
    <t>马驹#dappled</t>
  </si>
  <si>
    <t>11736.txt</t>
  </si>
  <si>
    <t>Basket of Apples</t>
  </si>
  <si>
    <t>一篮子苹果</t>
  </si>
  <si>
    <t>11737.txt</t>
  </si>
  <si>
    <t>Horse #black,fed</t>
  </si>
  <si>
    <t>马#black,fed</t>
  </si>
  <si>
    <t>11738.txt</t>
  </si>
  <si>
    <t>Horse #black,foal</t>
  </si>
  <si>
    <t>马#black,foal</t>
  </si>
  <si>
    <t>11739.txt</t>
  </si>
  <si>
    <t>Horse Foal #black</t>
  </si>
  <si>
    <t>马驹#black</t>
  </si>
  <si>
    <t>11741.txt</t>
  </si>
  <si>
    <t>Horse-Drawn Wagon #dappled,riding</t>
  </si>
  <si>
    <t>11742.txt</t>
  </si>
  <si>
    <t>Horse-Drawn Wagon #black,riding</t>
  </si>
  <si>
    <t>11743.txt</t>
  </si>
  <si>
    <t>Horse-Drawn Wagon #black,hitched</t>
  </si>
  <si>
    <t>11744.txt</t>
  </si>
  <si>
    <t>Horse-Drawn Wagon #dappled,hitched</t>
  </si>
  <si>
    <t>11745.txt</t>
  </si>
  <si>
    <t>Hand Wagon with Tires</t>
  </si>
  <si>
    <t>11746.txt</t>
  </si>
  <si>
    <t>Wagon Panel</t>
  </si>
  <si>
    <t>货车面板</t>
  </si>
  <si>
    <t>11747.txt</t>
  </si>
  <si>
    <t>Wagon Panels</t>
  </si>
  <si>
    <t>11748.txt</t>
  </si>
  <si>
    <t>Wheel</t>
  </si>
  <si>
    <t>车轮</t>
  </si>
  <si>
    <t>11749.txt</t>
  </si>
  <si>
    <t>Pile of Short Shafts with Curved Shafts</t>
  </si>
  <si>
    <t>带曲轴的短轴堆</t>
  </si>
  <si>
    <t>11750.txt</t>
  </si>
  <si>
    <t>Large Vulcanized Rubber Tire</t>
  </si>
  <si>
    <t>大型硫化橡胶轮胎</t>
  </si>
  <si>
    <t>11751.txt</t>
  </si>
  <si>
    <t>Pile of Short Shafts with Curved Shaft</t>
  </si>
  <si>
    <t>弯轴短轴堆</t>
  </si>
  <si>
    <t>11752.txt</t>
  </si>
  <si>
    <t>Two Wheels</t>
  </si>
  <si>
    <t>两个轮子</t>
  </si>
  <si>
    <t>11753.txt</t>
  </si>
  <si>
    <t>Wagon Panels with Wheels</t>
  </si>
  <si>
    <t>带轮子的货车面板</t>
  </si>
  <si>
    <t>11754.txt</t>
  </si>
  <si>
    <t>Wagon Kit</t>
  </si>
  <si>
    <t>货车套件</t>
  </si>
  <si>
    <t>11755.txt</t>
  </si>
  <si>
    <t>Hand Wagon</t>
  </si>
  <si>
    <t>11757.txt</t>
  </si>
  <si>
    <t>Large Rubber Tires</t>
  </si>
  <si>
    <t>大型橡胶轮胎</t>
  </si>
  <si>
    <t>11758.txt</t>
  </si>
  <si>
    <t>Hand Wagon with Two Tires</t>
  </si>
  <si>
    <t>有两个轮胎的手推车</t>
  </si>
  <si>
    <t>11760.txt</t>
  </si>
  <si>
    <t>Large Raw Rubber Tire</t>
  </si>
  <si>
    <t>大型生胶轮胎</t>
  </si>
  <si>
    <t>11761.txt</t>
  </si>
  <si>
    <t>Wheel with Tire</t>
  </si>
  <si>
    <t>带轮胎的车轮</t>
  </si>
  <si>
    <t>11762.txt</t>
  </si>
  <si>
    <t>带轮胎的两个轮子</t>
  </si>
  <si>
    <t>11763.txt</t>
  </si>
  <si>
    <t>Wagon Kit with Tires</t>
  </si>
  <si>
    <t>带轮胎的货车套件</t>
  </si>
  <si>
    <t>11764.txt</t>
  </si>
  <si>
    <t>Wagon Panels with Tired Wheels</t>
  </si>
  <si>
    <t>带轮胎的货车面板</t>
  </si>
  <si>
    <t>11765.txt</t>
  </si>
  <si>
    <t>Wagon Panels with Shaft</t>
  </si>
  <si>
    <t>带轴的货车面板</t>
  </si>
  <si>
    <t>11767.txt</t>
  </si>
  <si>
    <t>Picket Fence</t>
  </si>
  <si>
    <t>尖桩篱栅</t>
  </si>
  <si>
    <t>11768.txt</t>
  </si>
  <si>
    <t>Picket Fence Gate# +blocksMoving +autoDefaultTrans</t>
  </si>
  <si>
    <t>11769.txt</t>
  </si>
  <si>
    <t>Open Picket Fence Gate# +blocksMoving</t>
  </si>
  <si>
    <t>11770.txt</t>
  </si>
  <si>
    <t>11771.txt</t>
  </si>
  <si>
    <t>11772.txt</t>
  </si>
  <si>
    <t>11773.txt</t>
  </si>
  <si>
    <t>Painted Picket Fence Gate#red justpainted</t>
  </si>
  <si>
    <t>彩绘尖桩栅栏门#red justpainted</t>
  </si>
  <si>
    <t>11774.txt</t>
  </si>
  <si>
    <t>Painted Picket Fence#red</t>
  </si>
  <si>
    <t>彩绘栅栏#red</t>
  </si>
  <si>
    <t>11775.txt</t>
  </si>
  <si>
    <t>11776.txt</t>
  </si>
  <si>
    <t>Open Painted Picket Fence Gate#red +blocksMoving</t>
  </si>
  <si>
    <t>打开彩绘栅栏门#red +blocksMoving</t>
  </si>
  <si>
    <t>11777.txt</t>
  </si>
  <si>
    <t>11778.txt</t>
  </si>
  <si>
    <t>11779.txt</t>
  </si>
  <si>
    <t>Painted Picket Fence#white</t>
  </si>
  <si>
    <t>彩绘尖桩篱栅#white</t>
  </si>
  <si>
    <t>11780.txt</t>
  </si>
  <si>
    <t>11781.txt</t>
  </si>
  <si>
    <t>Open Painted Picket Fence Gate#white +blocksMoving</t>
  </si>
  <si>
    <t>打开彩绘栅栏门#white +blocksMoving</t>
  </si>
  <si>
    <t>11782.txt</t>
  </si>
  <si>
    <t>11783.txt</t>
  </si>
  <si>
    <t>11784.txt</t>
  </si>
  <si>
    <t>Painted Picket Fence Gate#white justpainted</t>
  </si>
  <si>
    <t>彩绘栅栏门#white justpainted</t>
  </si>
  <si>
    <t>11785.txt</t>
  </si>
  <si>
    <t>Painted Picket Fence#black</t>
  </si>
  <si>
    <t>彩绘栅栏#black</t>
  </si>
  <si>
    <t>11786.txt</t>
  </si>
  <si>
    <t>11787.txt</t>
  </si>
  <si>
    <t>Open Painted Picket Fence Gate#black +blocksMoving</t>
  </si>
  <si>
    <t>打开彩绘栅栏门#black +blocksMoving</t>
  </si>
  <si>
    <t>11788.txt</t>
  </si>
  <si>
    <t>11789.txt</t>
  </si>
  <si>
    <t>11790.txt</t>
  </si>
  <si>
    <t>Painted Picket Fence Gate#black justpainted</t>
  </si>
  <si>
    <t>彩绘栅栏门#black justpainted</t>
  </si>
  <si>
    <t>11791.txt</t>
  </si>
  <si>
    <t>Fence Stakes</t>
  </si>
  <si>
    <t>栅栏桩</t>
  </si>
  <si>
    <t>11792.txt</t>
  </si>
  <si>
    <t>Wire Fence</t>
  </si>
  <si>
    <t>铁丝网</t>
  </si>
  <si>
    <t>11793.txt</t>
  </si>
  <si>
    <t>Wire Fence Gate# +blocksMoving +autoDefaultTrans</t>
  </si>
  <si>
    <t>铁丝栅栏门# +blocksMoving +autoDefaultTrans</t>
  </si>
  <si>
    <t>11794.txt</t>
  </si>
  <si>
    <t>11795.txt</t>
  </si>
  <si>
    <t>11796.txt</t>
  </si>
  <si>
    <t>Open Wire Fence Gate# +blocksMoving</t>
  </si>
  <si>
    <t>打开铁丝栅栏门# +blocksMoving</t>
  </si>
  <si>
    <t>11797.txt</t>
  </si>
  <si>
    <t>11798.txt</t>
  </si>
  <si>
    <t>11799.txt</t>
  </si>
  <si>
    <t>11800.txt</t>
  </si>
  <si>
    <t>11801.txt</t>
  </si>
  <si>
    <t>11802.txt</t>
  </si>
  <si>
    <t>11803.txt</t>
  </si>
  <si>
    <t>Wire Fence Kit</t>
  </si>
  <si>
    <t>铁丝网套件</t>
  </si>
  <si>
    <t>11804.txt</t>
  </si>
  <si>
    <t>Painted Picket Fence Gate#white +blocksMoving +autoDefaultTrans</t>
  </si>
  <si>
    <t>彩绘尖桩栅栏门#white +blocksMoving +autoDefaultTrans</t>
  </si>
  <si>
    <t>11805.txt</t>
  </si>
  <si>
    <t>Painted Picket Fence Gate#red +blocksMoving +autoDefaultTrans</t>
  </si>
  <si>
    <t>彩绘尖桩栅栏门#red +blocksMoving +autoDefaultTrans</t>
  </si>
  <si>
    <t>11806.txt</t>
  </si>
  <si>
    <t>Painted Picket Fence Gate#black +blocksMoving +autoDefaultTrans</t>
  </si>
  <si>
    <t>彩绘尖桩栅栏门#black +blocksMoving +autoDefaultTrans</t>
  </si>
  <si>
    <t>11807.txt</t>
  </si>
  <si>
    <t>11808.txt</t>
  </si>
  <si>
    <t>11809.txt</t>
  </si>
  <si>
    <t>11810.txt</t>
  </si>
  <si>
    <t>Picket Fence Gate #loose</t>
  </si>
  <si>
    <t>尖桩篱栅门#loose</t>
  </si>
  <si>
    <t>11811.txt</t>
  </si>
  <si>
    <t>Painted Picket Fence Gate#black loose</t>
  </si>
  <si>
    <t>彩绘栅栏门#black loose</t>
  </si>
  <si>
    <t>11812.txt</t>
  </si>
  <si>
    <t>Painted Picket Fence Gate#red loose</t>
  </si>
  <si>
    <t>彩绘栅栏门#red loose</t>
  </si>
  <si>
    <t>11813.txt</t>
  </si>
  <si>
    <t>Painted Picket Fence Gate#white loose</t>
  </si>
  <si>
    <t>彩绘栅栏门#white loose</t>
  </si>
  <si>
    <t>11814.txt</t>
  </si>
  <si>
    <t>11815.txt</t>
  </si>
  <si>
    <t>11816.txt</t>
  </si>
  <si>
    <t>11817.txt</t>
  </si>
  <si>
    <t>11818.txt</t>
  </si>
  <si>
    <t>Wire Fence Gate #loose</t>
  </si>
  <si>
    <t>铁丝栅栏门#loose</t>
  </si>
  <si>
    <t>11819.txt</t>
  </si>
  <si>
    <t>Wire Fence Gate# +loose</t>
  </si>
  <si>
    <t>铁丝栅栏门# +loose</t>
  </si>
  <si>
    <t>11820.txt</t>
  </si>
  <si>
    <t>Horse-Drawn Wagon #black,ground</t>
  </si>
  <si>
    <t>马车#black,ground</t>
  </si>
  <si>
    <t>11821.txt</t>
  </si>
  <si>
    <t>Horse-Drawn Wagon #dappled,ground</t>
  </si>
  <si>
    <t>马车#dappled,ground</t>
  </si>
  <si>
    <t>11822.txt</t>
  </si>
  <si>
    <t>Horse-Drawn Cart with Tires #dappled,ground</t>
  </si>
  <si>
    <t>带轮胎的马车#dappled,ground</t>
  </si>
  <si>
    <t>11823.txt</t>
  </si>
  <si>
    <t>Horse-Drawn Cart #dappled,ground</t>
  </si>
  <si>
    <t>11824.txt</t>
  </si>
  <si>
    <t>Show Horse #dappled,ground</t>
  </si>
  <si>
    <t>显示马#dappled,ground</t>
  </si>
  <si>
    <t>11825.txt</t>
  </si>
  <si>
    <t>Horse-Drawn Cart with Tires #black,ground</t>
  </si>
  <si>
    <t>带轮胎的马车#black,ground</t>
  </si>
  <si>
    <t>11826.txt</t>
  </si>
  <si>
    <t>Horse-Drawn Cart #black,ground</t>
  </si>
  <si>
    <t>11827.txt</t>
  </si>
  <si>
    <t>Show Horse #black,ground</t>
  </si>
  <si>
    <t>显示马#black,ground</t>
  </si>
  <si>
    <t>11828.txt</t>
  </si>
  <si>
    <t>Saddle Bag</t>
  </si>
  <si>
    <t>马鞍包</t>
  </si>
  <si>
    <t>11829.txt</t>
  </si>
  <si>
    <t>Leather Sheets with Gold Flakes</t>
  </si>
  <si>
    <t>带金片的皮革片</t>
  </si>
  <si>
    <t>11830.txt</t>
  </si>
  <si>
    <t>Show Horse with Saddle Bag #black,ground</t>
  </si>
  <si>
    <t>展示马与马鞍包#black,ground</t>
  </si>
  <si>
    <t>11831.txt</t>
  </si>
  <si>
    <t>Show Horse with Saddle Bag #dappled,ground</t>
  </si>
  <si>
    <t>展示带马鞍袋的马 #dappled,ground</t>
  </si>
  <si>
    <t>11832.txt</t>
  </si>
  <si>
    <t>Show Horse with Saddle Bag#black,riding</t>
  </si>
  <si>
    <t>秀马带马鞍包#black,riding</t>
  </si>
  <si>
    <t>11833.txt</t>
  </si>
  <si>
    <t>Show Horse with Saddle Bag#dappled,riding</t>
  </si>
  <si>
    <t>展示带马鞍包的马#dappled,riding</t>
  </si>
  <si>
    <t>11834.txt</t>
  </si>
  <si>
    <t>Show Horse with Saddle Bag#dappled,hitched</t>
  </si>
  <si>
    <t>展示带马鞍袋的马#dappled,hitched</t>
  </si>
  <si>
    <t>11835.txt</t>
  </si>
  <si>
    <t>Show Horse with Saddle Bag#black,hitched</t>
  </si>
  <si>
    <t>展示马带马鞍包#black,hitched</t>
  </si>
  <si>
    <t>11836.txt</t>
  </si>
  <si>
    <t>Fed Kitten #calico held</t>
  </si>
  <si>
    <t>美联储小猫 #calico held</t>
  </si>
  <si>
    <t>11837.txt</t>
  </si>
  <si>
    <t>Fed Kitten #dark held</t>
  </si>
  <si>
    <t>美联储小猫#dark held</t>
  </si>
  <si>
    <t>11838.txt</t>
  </si>
  <si>
    <t>Fed Kitten #light held</t>
  </si>
  <si>
    <t>美联储小猫#light held</t>
  </si>
  <si>
    <t>11839.txt</t>
  </si>
  <si>
    <t>Dry Fertile Cocoa Tree</t>
  </si>
  <si>
    <t>干燥肥沃的可可树</t>
  </si>
  <si>
    <t>11840.txt</t>
  </si>
  <si>
    <t>Wet Fertile Cocoa Tree</t>
  </si>
  <si>
    <t>湿肥沃的可可树</t>
  </si>
  <si>
    <t>11841.txt</t>
  </si>
  <si>
    <t>Cocoa Pod</t>
  </si>
  <si>
    <t>可可豆荚</t>
  </si>
  <si>
    <t>11842.txt</t>
  </si>
  <si>
    <t>Pile of Cocoa Pods</t>
  </si>
  <si>
    <t>一堆可可豆荚</t>
  </si>
  <si>
    <t>11843.txt</t>
  </si>
  <si>
    <t>Bowl of Cocoa Pods</t>
  </si>
  <si>
    <t>一碗可可豆荚</t>
  </si>
  <si>
    <t>11844.txt</t>
  </si>
  <si>
    <t>Bowl of Cocoa Beans with Pulp</t>
  </si>
  <si>
    <t>一碗带果肉的可可豆</t>
  </si>
  <si>
    <t>11845.txt</t>
  </si>
  <si>
    <t>Bowl of Cleaned Cocoa Beans</t>
  </si>
  <si>
    <t>一碗洗净的可可豆</t>
  </si>
  <si>
    <t>11846.txt</t>
  </si>
  <si>
    <t>Plate of Cocoa Beans and Pulp</t>
  </si>
  <si>
    <t>一盘可可豆和果肉</t>
  </si>
  <si>
    <t>11847.txt</t>
  </si>
  <si>
    <t>Bowl of Roasted Cocoa Beans</t>
  </si>
  <si>
    <t>一碗烤可可豆</t>
  </si>
  <si>
    <t>11848.txt</t>
  </si>
  <si>
    <t>Bowl of Cocoa Powder</t>
  </si>
  <si>
    <t>一碗可可粉</t>
  </si>
  <si>
    <t>11849.txt</t>
  </si>
  <si>
    <t>Bowl of Cake Mix</t>
  </si>
  <si>
    <t>碗蛋糕粉</t>
  </si>
  <si>
    <t>11855.txt</t>
  </si>
  <si>
    <t>Mason Jar with Beets</t>
  </si>
  <si>
    <t>梅森罐甜菜</t>
  </si>
  <si>
    <t>11856.txt</t>
  </si>
  <si>
    <t>Mason Jar with Beets and Garlic</t>
  </si>
  <si>
    <t>梅森罐甜菜和大蒜</t>
  </si>
  <si>
    <t>11857.txt</t>
  </si>
  <si>
    <t>Mason Jar with Pickling Beets</t>
  </si>
  <si>
    <t>梅森罐与腌制甜菜</t>
  </si>
  <si>
    <t>11858.txt</t>
  </si>
  <si>
    <t>Mason Jar with Pickled Beets</t>
  </si>
  <si>
    <t>梅森罐与腌甜菜</t>
  </si>
  <si>
    <t>11860.txt</t>
  </si>
  <si>
    <t>Pile of Beets</t>
  </si>
  <si>
    <t>堆甜菜</t>
  </si>
  <si>
    <t>11865.txt</t>
  </si>
  <si>
    <t>Snake Plant with Snake</t>
  </si>
  <si>
    <t>蛇植物与蛇</t>
  </si>
  <si>
    <t>11866.txt</t>
  </si>
  <si>
    <t>Snake Plant with Snake #peeking</t>
  </si>
  <si>
    <t>蛇植物与蛇#peeking</t>
  </si>
  <si>
    <t>11868.txt</t>
  </si>
  <si>
    <t>Brown Snake</t>
  </si>
  <si>
    <t>棕蛇</t>
  </si>
  <si>
    <t>11870.txt</t>
  </si>
  <si>
    <t>Brown Snake #attacking</t>
  </si>
  <si>
    <t>棕色蛇#attacking</t>
  </si>
  <si>
    <t>11871.txt</t>
  </si>
  <si>
    <t>Snake Plant #snake</t>
  </si>
  <si>
    <t>蛇植物#snake</t>
  </si>
  <si>
    <t>11872.txt</t>
  </si>
  <si>
    <t>Dead Brown Snake</t>
  </si>
  <si>
    <t>死棕色蛇</t>
  </si>
  <si>
    <t>11873.txt</t>
  </si>
  <si>
    <t>Caged Tabby Cat</t>
  </si>
  <si>
    <t>关在笼子里的虎斑猫</t>
  </si>
  <si>
    <t>11874.txt</t>
  </si>
  <si>
    <t>Caged White Cat</t>
  </si>
  <si>
    <t>关在笼子里的白猫</t>
  </si>
  <si>
    <t>11875.txt</t>
  </si>
  <si>
    <t>Caged Black Cat</t>
  </si>
  <si>
    <t>笼中黑猫</t>
  </si>
  <si>
    <t>11876.txt</t>
  </si>
  <si>
    <t>Caged Maine Coon Cat</t>
  </si>
  <si>
    <t>关在笼子里的缅因猫</t>
  </si>
  <si>
    <t>11877.txt</t>
  </si>
  <si>
    <t>Caged Calico Cat</t>
  </si>
  <si>
    <t>笼中的三色猫</t>
  </si>
  <si>
    <t>11878.txt</t>
  </si>
  <si>
    <t>Teddy Bear</t>
  </si>
  <si>
    <t>玩具熊</t>
  </si>
  <si>
    <t>11879.txt</t>
  </si>
  <si>
    <t>Poipack with Teddy Bear</t>
  </si>
  <si>
    <t>Poipack 与泰迪熊</t>
  </si>
  <si>
    <t>11880.txt</t>
  </si>
  <si>
    <t>Backpack with Teddy Bear</t>
  </si>
  <si>
    <t>泰迪熊背包</t>
  </si>
  <si>
    <t>11881.txt</t>
  </si>
  <si>
    <t>Bear Skin with Cotton</t>
  </si>
  <si>
    <t>熊皮棉</t>
  </si>
  <si>
    <t>11882.txt</t>
  </si>
  <si>
    <t>Hot Iron Bloom on Anvil</t>
  </si>
  <si>
    <t>铁砧上的热铁花</t>
  </si>
  <si>
    <t>11883.txt</t>
  </si>
  <si>
    <t>Cold Iron Bloom on Anvil</t>
  </si>
  <si>
    <t>铁砧上的冷铁绽放</t>
  </si>
  <si>
    <t>11884.txt</t>
  </si>
  <si>
    <t>Wrought Iron on Anvil</t>
  </si>
  <si>
    <t>铁砧上的熟铁</t>
  </si>
  <si>
    <t>11885.txt</t>
  </si>
  <si>
    <t>Plate of Chopped Beet</t>
  </si>
  <si>
    <t>切碎的甜菜盘</t>
  </si>
  <si>
    <t>11886.txt</t>
  </si>
  <si>
    <t>Dead Domestic Mouflon #shot</t>
  </si>
  <si>
    <t>死国内摩弗伦羊#shot</t>
  </si>
  <si>
    <t>11888.txt</t>
  </si>
  <si>
    <t>Bronze Knife #just used</t>
  </si>
  <si>
    <t>青铜刀#just used</t>
  </si>
  <si>
    <t>11889.txt</t>
  </si>
  <si>
    <t>Rolling Pin</t>
  </si>
  <si>
    <t>擀面杖</t>
  </si>
  <si>
    <t>11890.txt</t>
  </si>
  <si>
    <t>Table with Thick Pie Crust</t>
  </si>
  <si>
    <t>厚馅饼皮的桌子</t>
  </si>
  <si>
    <t>11891.txt</t>
  </si>
  <si>
    <t>Table with Raw Steak Pie</t>
  </si>
  <si>
    <t>餐桌上有生牛排馅饼</t>
  </si>
  <si>
    <t>11892.txt</t>
  </si>
  <si>
    <t>Table with Raw Steak and Onion Pie</t>
  </si>
  <si>
    <t>餐桌上有生牛排和洋葱派</t>
  </si>
  <si>
    <t>11893.txt</t>
  </si>
  <si>
    <t>Table with Raw Pork Pie</t>
  </si>
  <si>
    <t>餐桌上有生猪肉馅饼</t>
  </si>
  <si>
    <t>11894.txt</t>
  </si>
  <si>
    <t>Table with Raw Pork and Apple Pie</t>
  </si>
  <si>
    <t>餐桌上有生猪肉和苹果派</t>
  </si>
  <si>
    <t>11895.txt</t>
  </si>
  <si>
    <t>Table with Raw Mutton Pie</t>
  </si>
  <si>
    <t>生羊肉馅饼桌</t>
  </si>
  <si>
    <t>11900.txt</t>
  </si>
  <si>
    <t>Shelf Frame</t>
  </si>
  <si>
    <t>货架框架</t>
  </si>
  <si>
    <t>11901.txt</t>
  </si>
  <si>
    <t>Partial Shelf</t>
  </si>
  <si>
    <t>部分货架</t>
  </si>
  <si>
    <t>11902.txt</t>
  </si>
  <si>
    <t>Shelf# +useOnContained</t>
  </si>
  <si>
    <t>架# +useOnContained</t>
  </si>
  <si>
    <t>11903.txt</t>
  </si>
  <si>
    <t>Partial Shelf with boards</t>
  </si>
  <si>
    <t>部分架子带板</t>
  </si>
  <si>
    <t>11904.txt</t>
  </si>
  <si>
    <t>Stack of Shafts #just chopped</t>
  </si>
  <si>
    <t>一堆轴#just chopped</t>
  </si>
  <si>
    <t>11906.txt</t>
  </si>
  <si>
    <t>@ +contShelf</t>
  </si>
  <si>
    <t>11907.txt</t>
  </si>
  <si>
    <t>Dull Knife</t>
  </si>
  <si>
    <t>钝刀</t>
  </si>
  <si>
    <t>11908.txt</t>
  </si>
  <si>
    <t>Knife #just sharpened</t>
  </si>
  <si>
    <t>刀#just sharpened</t>
  </si>
  <si>
    <t>11910.txt</t>
  </si>
  <si>
    <t>Steel Froe #just repaired</t>
  </si>
  <si>
    <t>11911.txt</t>
  </si>
  <si>
    <t>Steel File #just repaired</t>
  </si>
  <si>
    <t>钢锉#just repaired</t>
  </si>
  <si>
    <t>11912.txt</t>
  </si>
  <si>
    <t>Flag Stand</t>
  </si>
  <si>
    <t>旗架</t>
  </si>
  <si>
    <t>11913.txt</t>
  </si>
  <si>
    <t>Honey Bunny House Flag Stand</t>
  </si>
  <si>
    <t>蜂蜜兔子屋旗架</t>
  </si>
  <si>
    <t>11914.txt</t>
  </si>
  <si>
    <t>Rainie House Flag Stand</t>
  </si>
  <si>
    <t>杨丞琳之家旗架</t>
  </si>
  <si>
    <t>11915.txt</t>
  </si>
  <si>
    <t>Unoriginal Artist House Flag Stand</t>
  </si>
  <si>
    <t>非原创艺术家之家旗架</t>
  </si>
  <si>
    <t>11916.txt</t>
  </si>
  <si>
    <t>Liger House Flag Stand</t>
  </si>
  <si>
    <t>狮虎屋旗帜架</t>
  </si>
  <si>
    <t>11917.txt</t>
  </si>
  <si>
    <t>Moon House Flag Stand</t>
  </si>
  <si>
    <t>月亮屋旗架</t>
  </si>
  <si>
    <t>11918.txt</t>
  </si>
  <si>
    <t>Brick Nation Flag Stand</t>
  </si>
  <si>
    <t>砖国旗架</t>
  </si>
  <si>
    <t>11919.txt</t>
  </si>
  <si>
    <t>Engine Empire Flag Stand</t>
  </si>
  <si>
    <t>引擎帝国旗架</t>
  </si>
  <si>
    <t>11920.txt</t>
  </si>
  <si>
    <t>Moon Flag Roll</t>
  </si>
  <si>
    <t>月旗卷</t>
  </si>
  <si>
    <t>11921.txt</t>
  </si>
  <si>
    <t>Unoriginal Artist Flag Roll</t>
  </si>
  <si>
    <t>非原创艺术家卷旗</t>
  </si>
  <si>
    <t>11922.txt</t>
  </si>
  <si>
    <t>Rainie Flag Roll</t>
  </si>
  <si>
    <t>杨丞琳卷旗</t>
  </si>
  <si>
    <t>11923.txt</t>
  </si>
  <si>
    <t>Liger Flag Roll</t>
  </si>
  <si>
    <t>狮虎旗卷</t>
  </si>
  <si>
    <t>11924.txt</t>
  </si>
  <si>
    <t>Honey Bunny Flag Roll</t>
  </si>
  <si>
    <t>亲爱的兔子卷旗</t>
  </si>
  <si>
    <t>11925.txt</t>
  </si>
  <si>
    <t>Simmering Pink Dye</t>
  </si>
  <si>
    <t>沸腾的粉红色染料</t>
  </si>
  <si>
    <t>11926.txt</t>
  </si>
  <si>
    <t>Brick Nation Flag Roll</t>
  </si>
  <si>
    <t>砖国旗卷</t>
  </si>
  <si>
    <t>11927.txt</t>
  </si>
  <si>
    <t>Red Flag Roll</t>
  </si>
  <si>
    <t>红旗卷</t>
  </si>
  <si>
    <t>11928.txt</t>
  </si>
  <si>
    <t>Engine Empire Flag Roll</t>
  </si>
  <si>
    <t>引擎帝国卷旗</t>
  </si>
  <si>
    <t>11929.txt</t>
  </si>
  <si>
    <t>Pink Flower Petals</t>
  </si>
  <si>
    <t>粉红色的花瓣</t>
  </si>
  <si>
    <t>11930.txt</t>
  </si>
  <si>
    <t>Dead Flower Petals</t>
  </si>
  <si>
    <t>死花瓣</t>
  </si>
  <si>
    <t>11931.txt</t>
  </si>
  <si>
    <t>Bowl of Flower Petals</t>
  </si>
  <si>
    <t>碗花瓣</t>
  </si>
  <si>
    <t>11932.txt</t>
  </si>
  <si>
    <t>Bowl of Pink Powder</t>
  </si>
  <si>
    <t>一碗粉色粉末</t>
  </si>
  <si>
    <t>11933.txt</t>
  </si>
  <si>
    <t>Pink Flag Roll</t>
  </si>
  <si>
    <t>粉红旗卷</t>
  </si>
  <si>
    <t>11934.txt</t>
  </si>
  <si>
    <t>Black Flag Roll</t>
  </si>
  <si>
    <t>黑旗卷</t>
  </si>
  <si>
    <t>11935.txt</t>
  </si>
  <si>
    <t>Blue Flag Roll</t>
  </si>
  <si>
    <t>蓝旗卷</t>
  </si>
  <si>
    <t>11936.txt</t>
  </si>
  <si>
    <t>Yellow Flag Roll</t>
  </si>
  <si>
    <t>黄旗卷</t>
  </si>
  <si>
    <t>11937.txt</t>
  </si>
  <si>
    <t>Green Flag Roll</t>
  </si>
  <si>
    <t>绿旗卷</t>
  </si>
  <si>
    <t>11939.txt</t>
  </si>
  <si>
    <t>Bowl of Beet Seeds</t>
  </si>
  <si>
    <t>碗甜菜种子</t>
  </si>
  <si>
    <t>11940.txt</t>
  </si>
  <si>
    <t>Raw Thick Pie Crust</t>
  </si>
  <si>
    <t>生厚馅饼皮</t>
  </si>
  <si>
    <t>11941.txt</t>
  </si>
  <si>
    <t>Horse Foal #black fed</t>
  </si>
  <si>
    <t>马驹#black fed</t>
  </si>
  <si>
    <t>11942.txt</t>
  </si>
  <si>
    <t>Horse Foal #dappled fed</t>
  </si>
  <si>
    <t>马驹#dappled fed</t>
  </si>
  <si>
    <t>11943.txt</t>
  </si>
  <si>
    <t>Large Painting #1</t>
  </si>
  <si>
    <t>大型绘画 #1</t>
  </si>
  <si>
    <t>11944.txt</t>
  </si>
  <si>
    <t>Large Painting #2</t>
  </si>
  <si>
    <t>大型绘画 #2</t>
  </si>
  <si>
    <t>11945.txt</t>
  </si>
  <si>
    <t>Medium Painting #1</t>
  </si>
  <si>
    <t>中画#1</t>
  </si>
  <si>
    <t>11946.txt</t>
  </si>
  <si>
    <t>Medium Painting #2</t>
  </si>
  <si>
    <t>中画 #2</t>
  </si>
  <si>
    <t>11947.txt</t>
  </si>
  <si>
    <t>Medium Painting #3</t>
  </si>
  <si>
    <t>中画#3</t>
  </si>
  <si>
    <t>11948.txt</t>
  </si>
  <si>
    <t>Medium Painting #4</t>
  </si>
  <si>
    <t>中画 #4</t>
  </si>
  <si>
    <t>11949.txt</t>
  </si>
  <si>
    <t>Medium Painting #5</t>
  </si>
  <si>
    <t>中画 #5</t>
  </si>
  <si>
    <t>11950.txt</t>
  </si>
  <si>
    <t>Medium Painting #6</t>
  </si>
  <si>
    <t>中画 #6</t>
  </si>
  <si>
    <t>11951.txt</t>
  </si>
  <si>
    <t>Small Painting #1</t>
  </si>
  <si>
    <t>小画#1</t>
  </si>
  <si>
    <t>11952.txt</t>
  </si>
  <si>
    <t>Small Painting #2</t>
  </si>
  <si>
    <t>小画#2</t>
  </si>
  <si>
    <t>11953.txt</t>
  </si>
  <si>
    <t>Small Painting #3</t>
  </si>
  <si>
    <t>小画#3</t>
  </si>
  <si>
    <t>11954.txt</t>
  </si>
  <si>
    <t>Small Painting #4</t>
  </si>
  <si>
    <t>小画#4</t>
  </si>
  <si>
    <t>11955.txt</t>
  </si>
  <si>
    <t>Small Painting #5</t>
  </si>
  <si>
    <t>小画#5</t>
  </si>
  <si>
    <t>11956.txt</t>
  </si>
  <si>
    <t>Small Painting #6</t>
  </si>
  <si>
    <t>小画#6</t>
  </si>
  <si>
    <t>11957.txt</t>
  </si>
  <si>
    <t>Scroll Painting #1</t>
  </si>
  <si>
    <t>卷轴画#1</t>
  </si>
  <si>
    <t>11958.txt</t>
  </si>
  <si>
    <t>Scroll Painting #2</t>
  </si>
  <si>
    <t>卷轴画#2</t>
  </si>
  <si>
    <t>11959.txt</t>
  </si>
  <si>
    <t>Scroll Painting #3</t>
  </si>
  <si>
    <t>卷轴画#3</t>
  </si>
  <si>
    <t>11960.txt</t>
  </si>
  <si>
    <t>@ +contPainting</t>
  </si>
  <si>
    <t>11961.txt</t>
  </si>
  <si>
    <t>Palette</t>
  </si>
  <si>
    <t>调色板</t>
  </si>
  <si>
    <t>11968.txt</t>
  </si>
  <si>
    <t>Palette with Paints</t>
  </si>
  <si>
    <t>调色板与油漆</t>
  </si>
  <si>
    <t>11969.txt</t>
  </si>
  <si>
    <t>Palette with Paints #2</t>
  </si>
  <si>
    <t>调色板#2</t>
  </si>
  <si>
    <t>11970.txt</t>
  </si>
  <si>
    <t>Full Palette with Paints</t>
  </si>
  <si>
    <t>完整的调色板与油漆</t>
  </si>
  <si>
    <t>11971.txt</t>
  </si>
  <si>
    <t>Palette with Paints #3</t>
  </si>
  <si>
    <t>调色板与油漆＃3#3</t>
  </si>
  <si>
    <t>11972.txt</t>
  </si>
  <si>
    <t>Palette with Paints #4</t>
  </si>
  <si>
    <t>调色板#4</t>
  </si>
  <si>
    <t>11973.txt</t>
  </si>
  <si>
    <t>Palette with Paints #5</t>
  </si>
  <si>
    <t>调色板与颜料 #5</t>
  </si>
  <si>
    <t>11974.txt</t>
  </si>
  <si>
    <t>Silk Sheet #1</t>
  </si>
  <si>
    <t>丝绸床单#1</t>
  </si>
  <si>
    <t>11975.txt</t>
  </si>
  <si>
    <t>Silk Sheets #2</t>
  </si>
  <si>
    <t>丝绸床单#2</t>
  </si>
  <si>
    <t>11976.txt</t>
  </si>
  <si>
    <t>Large Canvas Kit</t>
  </si>
  <si>
    <t>大帆布套件</t>
  </si>
  <si>
    <t>11977.txt</t>
  </si>
  <si>
    <t>Medium Canvas Kit</t>
  </si>
  <si>
    <t>中号帆布套件</t>
  </si>
  <si>
    <t>11978.txt</t>
  </si>
  <si>
    <t>Small Canvas Kit</t>
  </si>
  <si>
    <t>小帆布套件</t>
  </si>
  <si>
    <t>11979.txt</t>
  </si>
  <si>
    <t>Scroll Canvas Kit</t>
  </si>
  <si>
    <t>滚动画布套件</t>
  </si>
  <si>
    <t>11980.txt</t>
  </si>
  <si>
    <t>Large Canvas</t>
  </si>
  <si>
    <t>大画布</t>
  </si>
  <si>
    <t>11981.txt</t>
  </si>
  <si>
    <t>Medium Canvas</t>
  </si>
  <si>
    <t>中号帆布</t>
  </si>
  <si>
    <t>11982.txt</t>
  </si>
  <si>
    <t>Small Canvas</t>
  </si>
  <si>
    <t>小画布</t>
  </si>
  <si>
    <t>11983.txt</t>
  </si>
  <si>
    <t>Scroll Canvas</t>
  </si>
  <si>
    <t>滚动画布</t>
  </si>
  <si>
    <t>11985.txt</t>
  </si>
  <si>
    <t>Paint Brush with Mixed Paint</t>
  </si>
  <si>
    <t>混合油漆的画笔</t>
  </si>
  <si>
    <t>11986.txt</t>
  </si>
  <si>
    <t>Ostrich #tame</t>
  </si>
  <si>
    <t>鸵鸟#tame</t>
  </si>
  <si>
    <t>11996.txt</t>
  </si>
  <si>
    <t>Small Painting #7</t>
  </si>
  <si>
    <t>小画#7</t>
  </si>
  <si>
    <t>11997.txt</t>
  </si>
  <si>
    <t>Small Painting #8</t>
  </si>
  <si>
    <t>小画#8</t>
  </si>
  <si>
    <t>11998.txt</t>
  </si>
  <si>
    <t>Small Painting #9</t>
  </si>
  <si>
    <t>小画#9</t>
  </si>
  <si>
    <t>11999.txt</t>
  </si>
  <si>
    <t>Small Painting #10</t>
  </si>
  <si>
    <t>小画#10</t>
  </si>
  <si>
    <t>12000.txt</t>
  </si>
  <si>
    <t>Small Painting #11</t>
  </si>
  <si>
    <t>小画#11</t>
  </si>
  <si>
    <t>12001.txt</t>
  </si>
  <si>
    <t>Small Painting #12</t>
  </si>
  <si>
    <t>小画#12</t>
  </si>
  <si>
    <t>12002.txt</t>
  </si>
  <si>
    <t>Small Painting #13</t>
  </si>
  <si>
    <t>小画#13</t>
  </si>
  <si>
    <t>12003.txt</t>
  </si>
  <si>
    <t>Small Painting #14</t>
  </si>
  <si>
    <t>小画#14</t>
  </si>
  <si>
    <t>12004.txt</t>
  </si>
  <si>
    <t>Medium Painting #7</t>
  </si>
  <si>
    <t>中画#7</t>
  </si>
  <si>
    <t>12007.txt</t>
  </si>
  <si>
    <t>Mossy Tree</t>
  </si>
  <si>
    <t>长满青苔的树</t>
  </si>
  <si>
    <t>12008.txt</t>
  </si>
  <si>
    <t>Mossy Stump</t>
  </si>
  <si>
    <t>长满青苔的树桩</t>
  </si>
  <si>
    <t>12009.txt</t>
  </si>
  <si>
    <t>Perhaps a Mossy Stump</t>
  </si>
  <si>
    <t>也许是长满青苔的树桩</t>
  </si>
  <si>
    <t>12010.txt</t>
  </si>
  <si>
    <t>Donkey</t>
  </si>
  <si>
    <t>驴</t>
  </si>
  <si>
    <t>12011.txt</t>
  </si>
  <si>
    <t>Pile of Wild Beets</t>
  </si>
  <si>
    <t>一堆野生甜菜</t>
  </si>
  <si>
    <t>12012.txt</t>
  </si>
  <si>
    <t>Flint Knife #just broken</t>
  </si>
  <si>
    <t>燧石刀#just broken</t>
  </si>
  <si>
    <t>12013.txt</t>
  </si>
  <si>
    <t>Ash Tree #straight branch</t>
  </si>
  <si>
    <t>白蜡树#straight branch</t>
  </si>
  <si>
    <t>12014.txt</t>
  </si>
  <si>
    <t>Field Maple Tree #straight branch</t>
  </si>
  <si>
    <t>田间枫树#straight branch</t>
  </si>
  <si>
    <t>12015.txt</t>
  </si>
  <si>
    <t>Jelutong Tree #straight branch</t>
  </si>
  <si>
    <t>日落洞树#straight branch</t>
  </si>
  <si>
    <t>12016.txt</t>
  </si>
  <si>
    <t>Hickory Tree #straight branch</t>
  </si>
  <si>
    <t>山核桃树#straight branch</t>
  </si>
  <si>
    <t>12017.txt</t>
  </si>
  <si>
    <t>Perhaps Field Maple with Branch</t>
  </si>
  <si>
    <t>也许是带树枝的田枫</t>
  </si>
  <si>
    <t>12018.txt</t>
  </si>
  <si>
    <t>Perhaps Ash with Branch</t>
  </si>
  <si>
    <t>也许有树枝的灰烬</t>
  </si>
  <si>
    <t>12019.txt</t>
  </si>
  <si>
    <t>Perhaps Jelutong with Branch</t>
  </si>
  <si>
    <t>也许有分支的日落洞</t>
  </si>
  <si>
    <t>12020.txt</t>
  </si>
  <si>
    <t>Perhaps Hickory with Branch</t>
  </si>
  <si>
    <t>也许有树枝的山核桃木</t>
  </si>
  <si>
    <t>12021.txt</t>
  </si>
  <si>
    <t>Mossy Tree Sapling</t>
  </si>
  <si>
    <t>长满青苔的树苗</t>
  </si>
  <si>
    <t>12022.txt</t>
  </si>
  <si>
    <t>Primitive Fishing Pole with Worm</t>
  </si>
  <si>
    <t>带蠕虫的原始钓鱼竿</t>
  </si>
  <si>
    <t>12023.txt</t>
  </si>
  <si>
    <t>Primitive Fishing Pole#cast</t>
  </si>
  <si>
    <t>原始钓鱼竿#cast</t>
  </si>
  <si>
    <t>12024.txt</t>
  </si>
  <si>
    <t>Primitive Hookless Fishing Pole</t>
  </si>
  <si>
    <t>原始无钩钓鱼竿</t>
  </si>
  <si>
    <t>12025.txt</t>
  </si>
  <si>
    <t>Primitive Fishing Pole with Bass#just caught</t>
  </si>
  <si>
    <t>原始钓鱼竿与鲈鱼#just caught</t>
  </si>
  <si>
    <t>12026.txt</t>
  </si>
  <si>
    <t>Primitive Fishing Pole with Cod#just caught</t>
  </si>
  <si>
    <t>原始钓鱼竿与鳕鱼#just caught</t>
  </si>
  <si>
    <t>12027.txt</t>
  </si>
  <si>
    <t>Perhaps a Fish Tier 1</t>
  </si>
  <si>
    <t>也许是 1 级鱼</t>
  </si>
  <si>
    <t>12028.txt</t>
  </si>
  <si>
    <t>Primitive Fishing Pole with Cod</t>
  </si>
  <si>
    <t>原始的鳕鱼竿</t>
  </si>
  <si>
    <t>12029.txt</t>
  </si>
  <si>
    <t>Primitive Fishing Pole with Bass</t>
  </si>
  <si>
    <t>原始钓鱼竿与鲈鱼</t>
  </si>
  <si>
    <t>12030.txt</t>
  </si>
  <si>
    <t>Primitive Fishing Pole</t>
  </si>
  <si>
    <t>原始钓鱼竿</t>
  </si>
  <si>
    <t>12031.txt</t>
  </si>
  <si>
    <t>Primitive Fishing Pole with Boot</t>
  </si>
  <si>
    <t>带靴子的原始钓鱼竿</t>
  </si>
  <si>
    <t>12032.txt</t>
  </si>
  <si>
    <t>Backpack with Primitive Fishing Pole</t>
  </si>
  <si>
    <t>带原始钓鱼竿的背包</t>
  </si>
  <si>
    <t>12033.txt</t>
  </si>
  <si>
    <t>Backpack with Primitive Hookless Fishing Pole</t>
  </si>
  <si>
    <t>带原始无钩钓鱼竿的背包</t>
  </si>
  <si>
    <t>12034.txt</t>
  </si>
  <si>
    <t>Wooden Wall Arch Structure</t>
  </si>
  <si>
    <t>木墙拱结构</t>
  </si>
  <si>
    <t>12035.txt</t>
  </si>
  <si>
    <t>Adobe Wall Arch</t>
  </si>
  <si>
    <t>土坯墙拱门</t>
  </si>
  <si>
    <t>12036.txt</t>
  </si>
  <si>
    <t>Plaster Wall Arch with Thatched Roof</t>
  </si>
  <si>
    <t>茅草屋顶石膏墙拱门</t>
  </si>
  <si>
    <t>12037.txt</t>
  </si>
  <si>
    <t>Green Plaster Wall Arch with Thatched Roof</t>
  </si>
  <si>
    <t>带茅草屋顶的绿色石膏墙拱门</t>
  </si>
  <si>
    <t>12038.txt</t>
  </si>
  <si>
    <t>Red Plaster Wall Arch with Thatched Roof</t>
  </si>
  <si>
    <t>茅草屋顶的红色石膏墙拱门</t>
  </si>
  <si>
    <t>12039.txt</t>
  </si>
  <si>
    <t>Blue Plaster Wall Arch with Thatched Roof</t>
  </si>
  <si>
    <t>带茅草屋顶的蓝色石膏墙拱门</t>
  </si>
  <si>
    <t>12040.txt</t>
  </si>
  <si>
    <t>Yellow Plaster Wall Arch with Thatched Roof</t>
  </si>
  <si>
    <t>带茅草屋顶的黄色石膏墙拱门</t>
  </si>
  <si>
    <t>12041.txt</t>
  </si>
  <si>
    <t>Black Plaster Wall Arch with Thatched Roof</t>
  </si>
  <si>
    <t>带茅草屋顶的黑色石膏墙拱门</t>
  </si>
  <si>
    <t>12042.txt</t>
  </si>
  <si>
    <t>Adobe Wall Arch with Thatched Roof</t>
  </si>
  <si>
    <t>带茅草屋顶的土坯墙拱门</t>
  </si>
  <si>
    <t>12045.txt</t>
  </si>
  <si>
    <t>Wall Shelves</t>
  </si>
  <si>
    <t>墙架</t>
  </si>
  <si>
    <t>12046.txt</t>
  </si>
  <si>
    <t>Wall Shelf</t>
  </si>
  <si>
    <t>12055.txt</t>
  </si>
  <si>
    <t>Wattle Wall with Double Shelf# +noBackAccess +useOnContained</t>
  </si>
  <si>
    <t>带双架子的荆墙# +noBackAccess +useOnContained</t>
  </si>
  <si>
    <t>12056.txt</t>
  </si>
  <si>
    <t>Wattle Wall with Shelf# +noBackAccess +useOnContained</t>
  </si>
  <si>
    <t>带架子的荆墙# +noBackAccess +useOnContained</t>
  </si>
  <si>
    <t>12058.txt</t>
  </si>
  <si>
    <t>Wattle Wall with Big Stack of Boards#just placed</t>
  </si>
  <si>
    <t>带有大堆木板的荆墙#just placed</t>
  </si>
  <si>
    <t>12059.txt</t>
  </si>
  <si>
    <t>Wattle Wall with Boards#just placed</t>
  </si>
  <si>
    <t>带木板的荆墙#just placed</t>
  </si>
  <si>
    <t>12060.txt</t>
  </si>
  <si>
    <t>Wattle Wall with Big Stack of Boards</t>
  </si>
  <si>
    <t>有大堆木板的荆墙</t>
  </si>
  <si>
    <t>12061.txt</t>
  </si>
  <si>
    <t>Wattle Wall with Boards</t>
  </si>
  <si>
    <t>带木板的荆墙</t>
  </si>
  <si>
    <t>12062.txt</t>
  </si>
  <si>
    <t>Wooden Wall Arch Structure with Rubble</t>
  </si>
  <si>
    <t>碎石木墙拱结构</t>
  </si>
  <si>
    <t>12063.txt</t>
  </si>
  <si>
    <t>Damp Adobe Wall Arch with Thatched Roof</t>
  </si>
  <si>
    <t>带茅草屋顶的潮湿土坯墙拱</t>
  </si>
  <si>
    <t>12064.txt</t>
  </si>
  <si>
    <t>Soft Adobe Wall Arch with Thatched Roof</t>
  </si>
  <si>
    <t>带茅草屋顶的软土坯墙拱门</t>
  </si>
  <si>
    <t>12065.txt</t>
  </si>
  <si>
    <t>Wooden Wall Arch Structure with Adobe</t>
  </si>
  <si>
    <t>土坯木墙拱结构</t>
  </si>
  <si>
    <t>12066.txt</t>
  </si>
  <si>
    <t>Damp Adobe Wall Arch</t>
  </si>
  <si>
    <t>潮湿的土坯墙拱门</t>
  </si>
  <si>
    <t>12067.txt</t>
  </si>
  <si>
    <t>Soft Adobe Wall Arch</t>
  </si>
  <si>
    <t>软土坯墙拱门</t>
  </si>
  <si>
    <t>12068.txt</t>
  </si>
  <si>
    <t>Ancient Brick Wall with Shelf# +noBackAccess +useOnContained</t>
  </si>
  <si>
    <t>带架子的古砖墙# +noBackAccess +useOnContained</t>
  </si>
  <si>
    <t>12069.txt</t>
  </si>
  <si>
    <t>Ancient Brick Wall with Double Shelf# +noBackAccess +useOnContained</t>
  </si>
  <si>
    <t>带双架子的古砖墙# +noBackAccess +useOnContained</t>
  </si>
  <si>
    <t>12070.txt</t>
  </si>
  <si>
    <t>Ancient Brick Wall with Big Stack of Boards</t>
  </si>
  <si>
    <t>有大堆板的古老砖墙</t>
  </si>
  <si>
    <t>12071.txt</t>
  </si>
  <si>
    <t>Ancient Brick Wall with Boards</t>
  </si>
  <si>
    <t>有板的古老砖墙</t>
  </si>
  <si>
    <t>12072.txt</t>
  </si>
  <si>
    <t>Ancient Brick Wall with Big Stack of Boards#just placed</t>
  </si>
  <si>
    <t>古砖墙与大堆木板#just placed</t>
  </si>
  <si>
    <t>12073.txt</t>
  </si>
  <si>
    <t>Ancient Brick Wall with Boards#just placed</t>
  </si>
  <si>
    <t>带木板的古砖墙#just placed</t>
  </si>
  <si>
    <t>12074.txt</t>
  </si>
  <si>
    <t>Shelter with Pine Needles</t>
  </si>
  <si>
    <t>有松针的庇护所</t>
  </si>
  <si>
    <t>12075.txt</t>
  </si>
  <si>
    <t>Bean Seed Bag</t>
  </si>
  <si>
    <t>豆种袋</t>
  </si>
  <si>
    <t>12076.txt</t>
  </si>
  <si>
    <t>Sack of Bagasse #5</t>
  </si>
  <si>
    <t>一袋甘蔗渣 #5</t>
  </si>
  <si>
    <t>12078.txt</t>
  </si>
  <si>
    <t>Sack of Bagasse #3</t>
  </si>
  <si>
    <t>一袋甘蔗渣 #3</t>
  </si>
  <si>
    <t>12079.txt</t>
  </si>
  <si>
    <t>Sack of Bagasse #4</t>
  </si>
  <si>
    <t>一袋甘蔗渣 #4</t>
  </si>
  <si>
    <t>12080.txt</t>
  </si>
  <si>
    <t>Sack of Bagasse #2</t>
  </si>
  <si>
    <t>一袋甘蔗渣 #2</t>
  </si>
  <si>
    <t>12081.txt</t>
  </si>
  <si>
    <t>Sack of Bagasse #1</t>
  </si>
  <si>
    <t>一袋甘蔗渣 #1</t>
  </si>
  <si>
    <t>12082.txt</t>
  </si>
  <si>
    <t>Sack of Glasswort Ashes #5</t>
  </si>
  <si>
    <t>一袋海藻灰#5</t>
  </si>
  <si>
    <t>12083.txt</t>
  </si>
  <si>
    <t>Sack of Glasswort Ashes #4</t>
  </si>
  <si>
    <t>一袋海草灰 #4</t>
  </si>
  <si>
    <t>12084.txt</t>
  </si>
  <si>
    <t>Sack of Glasswort Ashes #3</t>
  </si>
  <si>
    <t>一袋海草灰 #3</t>
  </si>
  <si>
    <t>12085.txt</t>
  </si>
  <si>
    <t>Sack of Glasswort Ashes #2</t>
  </si>
  <si>
    <t>一袋海藻灰 #2</t>
  </si>
  <si>
    <t>12086.txt</t>
  </si>
  <si>
    <t>Sack of Glasswort Ashes #1</t>
  </si>
  <si>
    <t>一袋海藻灰 #1</t>
  </si>
  <si>
    <t>12087.txt</t>
  </si>
  <si>
    <t>Sack of Dried Beans #5</t>
  </si>
  <si>
    <t>一袋干豆 #5</t>
  </si>
  <si>
    <t>12088.txt</t>
  </si>
  <si>
    <t>Sack of Dried Beans #4</t>
  </si>
  <si>
    <t>一袋干豆 #4</t>
  </si>
  <si>
    <t>12089.txt</t>
  </si>
  <si>
    <t>Sack of Dried Beans #3</t>
  </si>
  <si>
    <t>一袋干豆 #3</t>
  </si>
  <si>
    <t>12090.txt</t>
  </si>
  <si>
    <t>Sack of Dried Beans #2</t>
  </si>
  <si>
    <t>一袋干豆 #2</t>
  </si>
  <si>
    <t>12091.txt</t>
  </si>
  <si>
    <t>Sack of Dried Beans #1</t>
  </si>
  <si>
    <t>一袋干豆 #1</t>
  </si>
  <si>
    <t>12092.txt</t>
  </si>
  <si>
    <t>Silk Cocoon</t>
  </si>
  <si>
    <t>蚕茧</t>
  </si>
  <si>
    <t>12093.txt</t>
  </si>
  <si>
    <t>Silk Farm Structure</t>
  </si>
  <si>
    <t>丝场结构</t>
  </si>
  <si>
    <t>12094.txt</t>
  </si>
  <si>
    <t>Mature Silk Farm</t>
  </si>
  <si>
    <t>成熟丝场</t>
  </si>
  <si>
    <t>12095.txt</t>
  </si>
  <si>
    <t>Silk Farm Kit</t>
  </si>
  <si>
    <t>丝绸农场套件</t>
  </si>
  <si>
    <t>12096.txt</t>
  </si>
  <si>
    <t>Pile of Silk Cocoons</t>
  </si>
  <si>
    <t>一堆蚕茧</t>
  </si>
  <si>
    <t>12097.txt</t>
  </si>
  <si>
    <t>Shears with Silk Cocoon</t>
  </si>
  <si>
    <t>蚕丝剪</t>
  </si>
  <si>
    <t>12098.txt</t>
  </si>
  <si>
    <t>Silk Farm with Cocoons</t>
  </si>
  <si>
    <t>有茧的丝绸农场</t>
  </si>
  <si>
    <t>12099.txt</t>
  </si>
  <si>
    <t>Maturing Silk Farm</t>
  </si>
  <si>
    <t>成熟的丝绸农场</t>
  </si>
  <si>
    <t>12100.txt</t>
  </si>
  <si>
    <t>Perhaps a Silk Farm</t>
  </si>
  <si>
    <t>也许是一个丝绸农场</t>
  </si>
  <si>
    <t>12101.txt</t>
  </si>
  <si>
    <t>Bowl of Silk Cocoons</t>
  </si>
  <si>
    <t>碗丝茧</t>
  </si>
  <si>
    <t>12102.txt</t>
  </si>
  <si>
    <t>Crock with Soaked Silk Cocoons</t>
  </si>
  <si>
    <t>陶罐浸泡蚕丝</t>
  </si>
  <si>
    <t>12103.txt</t>
  </si>
  <si>
    <t>Crock with Silk Cocoons</t>
  </si>
  <si>
    <t>蚕茧陶罐</t>
  </si>
  <si>
    <t>12104.txt</t>
  </si>
  <si>
    <t>Simmering Silk Cocoons</t>
  </si>
  <si>
    <t>煨丝茧</t>
  </si>
  <si>
    <t>12105.txt</t>
  </si>
  <si>
    <t>Cooked Silk Cocoons</t>
  </si>
  <si>
    <t>熟蚕丝</t>
  </si>
  <si>
    <t>12106.txt</t>
  </si>
  <si>
    <t>Ashes with Crock of Cooked Silk Cocoons</t>
  </si>
  <si>
    <t>灰烬与一缸煮熟的蚕茧</t>
  </si>
  <si>
    <t>12107.txt</t>
  </si>
  <si>
    <t>Crock with Cooked Silk Cocoons</t>
  </si>
  <si>
    <t>煮蚕丝缸</t>
  </si>
  <si>
    <t>12108.txt</t>
  </si>
  <si>
    <t>Bowl of Cooked Silk Cocoons</t>
  </si>
  <si>
    <t>一碗熟蚕丝</t>
  </si>
  <si>
    <t>12109.txt</t>
  </si>
  <si>
    <t>Cooked Silk Cocoon</t>
  </si>
  <si>
    <t>12110.txt</t>
  </si>
  <si>
    <t>Pile of Cooked Silk Cocoons</t>
  </si>
  <si>
    <t>一堆煮熟的蚕茧</t>
  </si>
  <si>
    <t>12111.txt</t>
  </si>
  <si>
    <t>Small Ball of Cotton Yarn</t>
  </si>
  <si>
    <t>小棉纱球</t>
  </si>
  <si>
    <t>12112.txt</t>
  </si>
  <si>
    <t>Big Ball of Cotton Yarn</t>
  </si>
  <si>
    <t>大棉纱球</t>
  </si>
  <si>
    <t>12113.txt</t>
  </si>
  <si>
    <t>Huge Ball of Silk Yarn</t>
  </si>
  <si>
    <t>巨大的丝线球</t>
  </si>
  <si>
    <t>12114.txt</t>
  </si>
  <si>
    <t>Small Ball of Silk Yarn</t>
  </si>
  <si>
    <t>丝线小球</t>
  </si>
  <si>
    <t>12115.txt</t>
  </si>
  <si>
    <t>Big Ball of Silk Yarn</t>
  </si>
  <si>
    <t>丝线大球</t>
  </si>
  <si>
    <t>12118.txt</t>
  </si>
  <si>
    <t>Silk Moth</t>
  </si>
  <si>
    <t>蚕蛾</t>
  </si>
  <si>
    <t>12119.txt</t>
  </si>
  <si>
    <t>Silk Farm with Nesting Moth</t>
  </si>
  <si>
    <t>有筑巢蛾的丝绸农场</t>
  </si>
  <si>
    <t>12124.txt</t>
  </si>
  <si>
    <t>Silk Farm Structure with Silk Moths</t>
  </si>
  <si>
    <t>蚕丝农场结构与蚕蛾</t>
  </si>
  <si>
    <t>12125.txt</t>
  </si>
  <si>
    <t>Baited Silk Farm Structure</t>
  </si>
  <si>
    <t>诱饵丝场结构</t>
  </si>
  <si>
    <t>12126.txt</t>
  </si>
  <si>
    <t>Silk Moth #just left</t>
  </si>
  <si>
    <t>蚕蛾#just left</t>
  </si>
  <si>
    <t>12127.txt</t>
  </si>
  <si>
    <t>Loom with Wool Blend Cloth</t>
  </si>
  <si>
    <t>羊毛混纺布织机</t>
  </si>
  <si>
    <t>12128.txt</t>
  </si>
  <si>
    <t>Loom with Cotton Blend Cloth</t>
  </si>
  <si>
    <t>棉混纺布织机</t>
  </si>
  <si>
    <t>12129.txt</t>
  </si>
  <si>
    <t>Loom with Cut Wool Blend Cloth</t>
  </si>
  <si>
    <t>剪毛混纺布织机</t>
  </si>
  <si>
    <t>12130.txt</t>
  </si>
  <si>
    <t>Loom with Cut Cotton Blend Cloth</t>
  </si>
  <si>
    <t>剪棉混纺布织机</t>
  </si>
  <si>
    <t>12131.txt</t>
  </si>
  <si>
    <t>Bolt of Cotton Blend Cloth</t>
  </si>
  <si>
    <t>棉混纺布卷</t>
  </si>
  <si>
    <t>12134.txt</t>
  </si>
  <si>
    <t>Bolts of Cotton Blend Cloth</t>
  </si>
  <si>
    <t>棉混纺布匹</t>
  </si>
  <si>
    <t>12135.txt</t>
  </si>
  <si>
    <t>Bolt of Wool Blend Cloth</t>
  </si>
  <si>
    <t>羊毛混纺布卷</t>
  </si>
  <si>
    <t>12136.txt</t>
  </si>
  <si>
    <t>Bolts of Wool Blend Cloth</t>
  </si>
  <si>
    <t>羊毛混纺布匹</t>
  </si>
  <si>
    <t>12137.txt</t>
  </si>
  <si>
    <t>Silk Sheets #4</t>
  </si>
  <si>
    <t>丝绸床单#4</t>
  </si>
  <si>
    <t>12138.txt</t>
  </si>
  <si>
    <t>Silk Sheets #3</t>
  </si>
  <si>
    <t>丝绸床单#3</t>
  </si>
  <si>
    <t>12139.txt</t>
  </si>
  <si>
    <t>Cowboy Hat with Feather</t>
  </si>
  <si>
    <t>带羽毛的牛仔帽</t>
  </si>
  <si>
    <t>12140.txt</t>
  </si>
  <si>
    <t>Black Cowboy Hat with Feather</t>
  </si>
  <si>
    <t>黑色羽毛牛仔帽</t>
  </si>
  <si>
    <t>12141.txt</t>
  </si>
  <si>
    <t>Yellow Cowboy Hat with Feather</t>
  </si>
  <si>
    <t>带羽毛的黄色牛仔帽</t>
  </si>
  <si>
    <t>12142.txt</t>
  </si>
  <si>
    <t>Beaver Leather Hat</t>
  </si>
  <si>
    <t>海狸皮帽</t>
  </si>
  <si>
    <t>12143.txt</t>
  </si>
  <si>
    <t>Silk Shirt</t>
  </si>
  <si>
    <t>真丝衬衫</t>
  </si>
  <si>
    <t>12144.txt</t>
  </si>
  <si>
    <t>Black Silk Shirt</t>
  </si>
  <si>
    <t>黑色真丝衬衫</t>
  </si>
  <si>
    <t>12145.txt</t>
  </si>
  <si>
    <t>Blue Silk Shirt</t>
  </si>
  <si>
    <t>蓝色真丝衬衫</t>
  </si>
  <si>
    <t>12146.txt</t>
  </si>
  <si>
    <t>Yellow Silk Shirt</t>
  </si>
  <si>
    <t>黄色丝绸衬衫</t>
  </si>
  <si>
    <t>12147.txt</t>
  </si>
  <si>
    <t>Red Silk Shirt</t>
  </si>
  <si>
    <t>红色真丝衬衫</t>
  </si>
  <si>
    <t>12148.txt</t>
  </si>
  <si>
    <t>Sheepskin Coat</t>
  </si>
  <si>
    <t>羊皮大衣</t>
  </si>
  <si>
    <t>12149.txt</t>
  </si>
  <si>
    <t>Pile of Ostrich Feathers</t>
  </si>
  <si>
    <t>一堆鸵鸟羽毛</t>
  </si>
  <si>
    <t>12150.txt</t>
  </si>
  <si>
    <t>Ostrich Feather</t>
  </si>
  <si>
    <t>鸵鸟羽毛</t>
  </si>
  <si>
    <t>12151.txt</t>
  </si>
  <si>
    <t>Indigo Wool Coat</t>
  </si>
  <si>
    <t>靛蓝色羊毛大衣</t>
  </si>
  <si>
    <t>12152.txt</t>
  </si>
  <si>
    <t>Red Wool Coat</t>
  </si>
  <si>
    <t>红色羊毛大衣</t>
  </si>
  <si>
    <t>12153.txt</t>
  </si>
  <si>
    <t>Green Wool Coat</t>
  </si>
  <si>
    <t>绿色羊毛大衣</t>
  </si>
  <si>
    <t>12154.txt</t>
  </si>
  <si>
    <t>Wool Coat</t>
  </si>
  <si>
    <t>羊毛大衣</t>
  </si>
  <si>
    <t>12155.txt</t>
  </si>
  <si>
    <t>Black Cotton Long Dress</t>
  </si>
  <si>
    <t>黑色棉质长连衣裙</t>
  </si>
  <si>
    <t>12156.txt</t>
  </si>
  <si>
    <t>Pink Cotton Long Dress</t>
  </si>
  <si>
    <t>粉色棉质长连衣裙</t>
  </si>
  <si>
    <t>12157.txt</t>
  </si>
  <si>
    <t>Blue Cotton Long Dress</t>
  </si>
  <si>
    <t>蓝色棉质长连衣裙</t>
  </si>
  <si>
    <t>12158.txt</t>
  </si>
  <si>
    <t>Black Cotton Short Dress</t>
  </si>
  <si>
    <t>黑色棉质短连衣裙</t>
  </si>
  <si>
    <t>12159.txt</t>
  </si>
  <si>
    <t>Blue Cotton Short Dress</t>
  </si>
  <si>
    <t>蓝色棉质短连衣裙</t>
  </si>
  <si>
    <t>12160.txt</t>
  </si>
  <si>
    <t>Pink Cotton Short Dress</t>
  </si>
  <si>
    <t>粉色棉质短连衣裙</t>
  </si>
  <si>
    <t>12161.txt</t>
  </si>
  <si>
    <t>Pink Cotton Short Dress on Hanger</t>
  </si>
  <si>
    <t>衣架上的粉色棉质短裙</t>
  </si>
  <si>
    <t>12162.txt</t>
  </si>
  <si>
    <t>Clothing Rack</t>
  </si>
  <si>
    <t>服装架</t>
  </si>
  <si>
    <t>12164.txt</t>
  </si>
  <si>
    <t>Blue Cotton Short Dress on Hanger</t>
  </si>
  <si>
    <t>衣架上的蓝色棉质短裙</t>
  </si>
  <si>
    <t>12165.txt</t>
  </si>
  <si>
    <t>Black Cotton Short Dress on Hanger</t>
  </si>
  <si>
    <t>衣架上的黑色棉质短裙</t>
  </si>
  <si>
    <t>12166.txt</t>
  </si>
  <si>
    <t>Blue Cotton Long Dress on Hanger</t>
  </si>
  <si>
    <t>衣架上的蓝色棉质长裙</t>
  </si>
  <si>
    <t>12167.txt</t>
  </si>
  <si>
    <t>Pink Cotton Long Dress on Hanger</t>
  </si>
  <si>
    <t>衣架上的粉色棉质长裙</t>
  </si>
  <si>
    <t>12168.txt</t>
  </si>
  <si>
    <t>Black Cotton Long Dress on Hanger</t>
  </si>
  <si>
    <t>衣架上的黑色棉质长裙</t>
  </si>
  <si>
    <t>12169.txt</t>
  </si>
  <si>
    <t>@ +contHangers</t>
  </si>
  <si>
    <t>12170.txt</t>
  </si>
  <si>
    <t>Wool Coat on Hanger</t>
  </si>
  <si>
    <t>衣架上的羊毛大衣</t>
  </si>
  <si>
    <t>12171.txt</t>
  </si>
  <si>
    <t>Green Wool Coat on Hanger</t>
  </si>
  <si>
    <t>衣架上的绿色羊毛大衣</t>
  </si>
  <si>
    <t>12172.txt</t>
  </si>
  <si>
    <t>Red Wool Coat on Hanger</t>
  </si>
  <si>
    <t>衣架上的红色羊毛大衣</t>
  </si>
  <si>
    <t>12173.txt</t>
  </si>
  <si>
    <t>Indigo Wool Coat on Hanger</t>
  </si>
  <si>
    <t>衣架上的靛蓝羊毛大衣</t>
  </si>
  <si>
    <t>12174.txt</t>
  </si>
  <si>
    <t>Cow Trousers</t>
  </si>
  <si>
    <t>牛裤</t>
  </si>
  <si>
    <t>12175.txt</t>
  </si>
  <si>
    <t>Cowskin Coat</t>
  </si>
  <si>
    <t>牛皮大衣</t>
  </si>
  <si>
    <t>12176.txt</t>
  </si>
  <si>
    <t>Cut Cow Skin</t>
  </si>
  <si>
    <t>切牛皮</t>
  </si>
  <si>
    <t>12177.txt</t>
  </si>
  <si>
    <t>Cow Skin Sheet</t>
  </si>
  <si>
    <t>牛皮片</t>
  </si>
  <si>
    <t>12178.txt</t>
  </si>
  <si>
    <t>Hanger</t>
  </si>
  <si>
    <t>衣架</t>
  </si>
  <si>
    <t>12179.txt</t>
  </si>
  <si>
    <t>Leather Beaver Hides</t>
  </si>
  <si>
    <t>12180.txt</t>
  </si>
  <si>
    <t>Silk Shirt on Hanger</t>
  </si>
  <si>
    <t>衣架上的丝绸衬衫</t>
  </si>
  <si>
    <t>12181.txt</t>
  </si>
  <si>
    <t>Black Silk Shirt on Hanger</t>
  </si>
  <si>
    <t>衣架上的黑色丝绸衬衫</t>
  </si>
  <si>
    <t>12182.txt</t>
  </si>
  <si>
    <t>Blue Silk Shirt on Hanger</t>
  </si>
  <si>
    <t>衣架上的蓝色丝绸衬衫</t>
  </si>
  <si>
    <t>12183.txt</t>
  </si>
  <si>
    <t>Yellow Silk Shirt on Hanger</t>
  </si>
  <si>
    <t>衣架上的黄色丝绸衬衫</t>
  </si>
  <si>
    <t>12184.txt</t>
  </si>
  <si>
    <t>Red Silk Shirt on Hanger</t>
  </si>
  <si>
    <t>衣架上的红色丝绸衬衫</t>
  </si>
  <si>
    <t>12185.txt</t>
  </si>
  <si>
    <t>Black Button-down Shirt on Hanger</t>
  </si>
  <si>
    <t>衣架上的黑色系扣衬衫</t>
  </si>
  <si>
    <t>12186.txt</t>
  </si>
  <si>
    <t>Undyed Button-down Shirt on Hanger</t>
  </si>
  <si>
    <t>衣架上未染色的系扣衬衫</t>
  </si>
  <si>
    <t>12187.txt</t>
  </si>
  <si>
    <t>Red Button-down Shirt on Hanger</t>
  </si>
  <si>
    <t>衣架上的红色系扣衬衫</t>
  </si>
  <si>
    <t>12188.txt</t>
  </si>
  <si>
    <t>Indigo Button-down Shirt on Hanger</t>
  </si>
  <si>
    <t>衣架上的靛蓝色系扣衬衫</t>
  </si>
  <si>
    <t>12189.txt</t>
  </si>
  <si>
    <t>Green Button-down Shirt on Hanger</t>
  </si>
  <si>
    <t>衣架上的绿色系扣衬衫</t>
  </si>
  <si>
    <t>12190.txt</t>
  </si>
  <si>
    <t>Yellow Button-down Shirt on Hanger</t>
  </si>
  <si>
    <t>衣架上的黄色系扣衬衫</t>
  </si>
  <si>
    <t>12191.txt</t>
  </si>
  <si>
    <t>Black Long Dress on Hanger</t>
  </si>
  <si>
    <t>衣架上的黑色长裙</t>
  </si>
  <si>
    <t>12192.txt</t>
  </si>
  <si>
    <t>Undyed Long Dress on Hanger</t>
  </si>
  <si>
    <t>衣架上未染色的长连衣裙</t>
  </si>
  <si>
    <t>12193.txt</t>
  </si>
  <si>
    <t>Red Long Dress on Hanger</t>
  </si>
  <si>
    <t>衣架上的红色长裙</t>
  </si>
  <si>
    <t>12194.txt</t>
  </si>
  <si>
    <t>Indigo Long Dress on Hanger</t>
  </si>
  <si>
    <t>衣架上的靛蓝长裙</t>
  </si>
  <si>
    <t>12195.txt</t>
  </si>
  <si>
    <t>Green Long Dress on Hanger</t>
  </si>
  <si>
    <t>衣架上的绿色长裙</t>
  </si>
  <si>
    <t>12196.txt</t>
  </si>
  <si>
    <t>Yellow Long Dress on Hanger</t>
  </si>
  <si>
    <t>衣架上的黄色长裙</t>
  </si>
  <si>
    <t>12197.txt</t>
  </si>
  <si>
    <t>Sheepskin Coat on Hanger</t>
  </si>
  <si>
    <t>挂在衣架上的羊皮大衣</t>
  </si>
  <si>
    <t>12199.txt</t>
  </si>
  <si>
    <t>Sealskin Coat on Hanger</t>
  </si>
  <si>
    <t>衣架上的海豹皮大衣</t>
  </si>
  <si>
    <t>12200.txt</t>
  </si>
  <si>
    <t>Cowskin Coat on Hanger</t>
  </si>
  <si>
    <t>衣架上的牛皮大衣</t>
  </si>
  <si>
    <t>12201.txt</t>
  </si>
  <si>
    <t>@ ClothingOnHanger</t>
  </si>
  <si>
    <t>12202.txt</t>
  </si>
  <si>
    <t>@ HangableClothes</t>
  </si>
  <si>
    <t>12203.txt</t>
  </si>
  <si>
    <t>Stack of Hangers</t>
  </si>
  <si>
    <t>一堆衣架</t>
  </si>
  <si>
    <t>12204.txt</t>
  </si>
  <si>
    <t>Thin Steel Pipe on Work Bench</t>
  </si>
  <si>
    <t>工作台上的薄钢管</t>
  </si>
  <si>
    <t>12205.txt</t>
  </si>
  <si>
    <t>Hanger on Work Bench</t>
  </si>
  <si>
    <t>工作台上的衣架</t>
  </si>
  <si>
    <t>12206.txt</t>
  </si>
  <si>
    <t>Thin Iron Rod</t>
  </si>
  <si>
    <t>细铁棒</t>
  </si>
  <si>
    <t>12207.txt</t>
  </si>
  <si>
    <t>Thin Iron Rod in Wooden Tongs</t>
  </si>
  <si>
    <t>木钳中的细铁棒</t>
  </si>
  <si>
    <t>12208.txt</t>
  </si>
  <si>
    <t>Pile of Thin Iron Rods</t>
  </si>
  <si>
    <t>一堆细铁棒</t>
  </si>
  <si>
    <t>12209.txt</t>
  </si>
  <si>
    <t>Underwear</t>
  </si>
  <si>
    <t>内衣</t>
  </si>
  <si>
    <t>12210.txt</t>
  </si>
  <si>
    <t>Black Underwear</t>
  </si>
  <si>
    <t>黑色内衣</t>
  </si>
  <si>
    <t>12211.txt</t>
  </si>
  <si>
    <t>Blue Underwear</t>
  </si>
  <si>
    <t>蓝色内衣</t>
  </si>
  <si>
    <t>12212.txt</t>
  </si>
  <si>
    <t>Yellow Underwear</t>
  </si>
  <si>
    <t>黄色内衣</t>
  </si>
  <si>
    <t>12213.txt</t>
  </si>
  <si>
    <t>Red Underwear</t>
  </si>
  <si>
    <t>红色内衣</t>
  </si>
  <si>
    <t>12214.txt</t>
  </si>
  <si>
    <t>Mason Jar with Pickles</t>
  </si>
  <si>
    <t>梅森罐泡菜</t>
  </si>
  <si>
    <t>12215.txt</t>
  </si>
  <si>
    <t>Bloomers</t>
  </si>
  <si>
    <t>灯笼裤</t>
  </si>
  <si>
    <t>12216.txt</t>
  </si>
  <si>
    <t>Black Bloomers</t>
  </si>
  <si>
    <t>黑色灯笼裤</t>
  </si>
  <si>
    <t>12217.txt</t>
  </si>
  <si>
    <t>Yellow Bloomers</t>
  </si>
  <si>
    <t>黄色灯笼裤</t>
  </si>
  <si>
    <t>12218.txt</t>
  </si>
  <si>
    <t>Blue Bloomers</t>
  </si>
  <si>
    <t>蓝色灯笼裤</t>
  </si>
  <si>
    <t>12219.txt</t>
  </si>
  <si>
    <t>Red Bloomers</t>
  </si>
  <si>
    <t>红色灯笼裤</t>
  </si>
  <si>
    <t>12220.txt</t>
  </si>
  <si>
    <t>Green Bloomers</t>
  </si>
  <si>
    <t>绿色灯笼裤</t>
  </si>
  <si>
    <t>12221.txt</t>
  </si>
  <si>
    <t>Black Babydoll Tunic</t>
  </si>
  <si>
    <t>黑色娃娃装外套</t>
  </si>
  <si>
    <t>12222.txt</t>
  </si>
  <si>
    <t>Black Babydoll Tunic on Hanger</t>
  </si>
  <si>
    <t>衣架上的黑色娃娃装外衣</t>
  </si>
  <si>
    <t>12223.txt</t>
  </si>
  <si>
    <t>Blue Babydoll Tunic</t>
  </si>
  <si>
    <t>蓝色娃娃装外套</t>
  </si>
  <si>
    <t>12224.txt</t>
  </si>
  <si>
    <t>Blue Babydoll Tunic on Hanger</t>
  </si>
  <si>
    <t>衣架上的蓝色娃娃装外衣</t>
  </si>
  <si>
    <t>12225.txt</t>
  </si>
  <si>
    <t>Pink Babydoll Tunic</t>
  </si>
  <si>
    <t>粉色娃娃装外套</t>
  </si>
  <si>
    <t>12226.txt</t>
  </si>
  <si>
    <t>Pink Bloomers</t>
  </si>
  <si>
    <t>粉色灯笼裤</t>
  </si>
  <si>
    <t>12227.txt</t>
  </si>
  <si>
    <t>Pink Babydoll Tunic on Hanger</t>
  </si>
  <si>
    <t>衣架上的粉色娃娃装外衣</t>
  </si>
  <si>
    <t>12228.txt</t>
  </si>
  <si>
    <t>Yellow Babydoll Tunic</t>
  </si>
  <si>
    <t>黄色娃娃装外套</t>
  </si>
  <si>
    <t>12229.txt</t>
  </si>
  <si>
    <t>Yellow Babydoll Tunic on Hanger</t>
  </si>
  <si>
    <t>衣架上的黄色娃娃装外衣</t>
  </si>
  <si>
    <t>12230.txt</t>
  </si>
  <si>
    <t>Green Babydoll Tunic</t>
  </si>
  <si>
    <t>绿色娃娃装外套</t>
  </si>
  <si>
    <t>12231.txt</t>
  </si>
  <si>
    <t>Green Babydoll Tunic on Hanger</t>
  </si>
  <si>
    <t>衣架上的绿色娃娃装外衣</t>
  </si>
  <si>
    <t>12232.txt</t>
  </si>
  <si>
    <t>Red Babydoll Tunic</t>
  </si>
  <si>
    <t>红色娃娃装外套</t>
  </si>
  <si>
    <t>12233.txt</t>
  </si>
  <si>
    <t>Red Babydoll Tunic on Hanger</t>
  </si>
  <si>
    <t>衣架上的红色娃娃装外衣</t>
  </si>
  <si>
    <t>12234.txt</t>
  </si>
  <si>
    <t>Ribbon with Bow</t>
  </si>
  <si>
    <t>蝴蝶结丝带</t>
  </si>
  <si>
    <t>12235.txt</t>
  </si>
  <si>
    <t>Blue Ribbon with Bow</t>
  </si>
  <si>
    <t>带蝴蝶结的蓝丝带</t>
  </si>
  <si>
    <t>12236.txt</t>
  </si>
  <si>
    <t>Pink Ribbon with Bow</t>
  </si>
  <si>
    <t>带蝴蝶结的粉红丝带</t>
  </si>
  <si>
    <t>12237.txt</t>
  </si>
  <si>
    <t>Yellow Ribbon with Bow</t>
  </si>
  <si>
    <t>带蝴蝶结的黄丝带</t>
  </si>
  <si>
    <t>12238.txt</t>
  </si>
  <si>
    <t>Green Ribbon with Bow</t>
  </si>
  <si>
    <t>带蝴蝶结的绿丝带</t>
  </si>
  <si>
    <t>12239.txt</t>
  </si>
  <si>
    <t>Red Ribbon with Bow</t>
  </si>
  <si>
    <t>蝴蝶结红丝带</t>
  </si>
  <si>
    <t>12240.txt</t>
  </si>
  <si>
    <t>Black Ribbon with Bow</t>
  </si>
  <si>
    <t>蝴蝶结黑丝带</t>
  </si>
  <si>
    <t>12241.txt</t>
  </si>
  <si>
    <t>Slipper with Bow</t>
  </si>
  <si>
    <t>蝴蝶结拖鞋</t>
  </si>
  <si>
    <t>12242.txt</t>
  </si>
  <si>
    <t>Black Slipper with Bow</t>
  </si>
  <si>
    <t>蝴蝶结黑色拖鞋</t>
  </si>
  <si>
    <t>12243.txt</t>
  </si>
  <si>
    <t>Pair of Slippers with Bows</t>
  </si>
  <si>
    <t>一双蝴蝶结拖鞋</t>
  </si>
  <si>
    <t>12244.txt</t>
  </si>
  <si>
    <t>Pair of Black Slippers with Bows</t>
  </si>
  <si>
    <t>一双黑色蝴蝶结拖鞋</t>
  </si>
  <si>
    <t>12245.txt</t>
  </si>
  <si>
    <t>Red Slipper with Bow</t>
  </si>
  <si>
    <t>蝴蝶结红色拖鞋</t>
  </si>
  <si>
    <t>12246.txt</t>
  </si>
  <si>
    <t>Pair of Red Slippers with Bows</t>
  </si>
  <si>
    <t>一双带蝴蝶结的红色拖鞋</t>
  </si>
  <si>
    <t>12247.txt</t>
  </si>
  <si>
    <t>Yellow Slipper with Bow</t>
  </si>
  <si>
    <t>蝴蝶结黄色拖鞋</t>
  </si>
  <si>
    <t>12248.txt</t>
  </si>
  <si>
    <t>Pair of Yellow Slippers with Bows</t>
  </si>
  <si>
    <t>一双带蝴蝶结的黄色拖鞋</t>
  </si>
  <si>
    <t>12249.txt</t>
  </si>
  <si>
    <t>Blue Slipper with Bow</t>
  </si>
  <si>
    <t>蝴蝶结蓝色拖鞋</t>
  </si>
  <si>
    <t>12250.txt</t>
  </si>
  <si>
    <t>Pair of Blue Slippers with Bows</t>
  </si>
  <si>
    <t>一双带蝴蝶结的蓝色拖鞋</t>
  </si>
  <si>
    <t>12251.txt</t>
  </si>
  <si>
    <t>Green Slipper with Bow</t>
  </si>
  <si>
    <t>蝴蝶结绿色拖鞋</t>
  </si>
  <si>
    <t>12252.txt</t>
  </si>
  <si>
    <t>Pair of Green Slippers with Bows</t>
  </si>
  <si>
    <t>一双带蝴蝶结的绿色拖鞋</t>
  </si>
  <si>
    <t>12253.txt</t>
  </si>
  <si>
    <t>Pink Slipper with Bow</t>
  </si>
  <si>
    <t>蝴蝶结粉色拖鞋</t>
  </si>
  <si>
    <t>12254.txt</t>
  </si>
  <si>
    <t>Pair of Pink Slippers with Bows</t>
  </si>
  <si>
    <t>一双带蝴蝶结的粉色拖鞋</t>
  </si>
  <si>
    <t>12255.txt</t>
  </si>
  <si>
    <t>Babydoll Tunic</t>
  </si>
  <si>
    <t>娃娃装外衣</t>
  </si>
  <si>
    <t>12256.txt</t>
  </si>
  <si>
    <t>Babydoll Tunic on Hanger</t>
  </si>
  <si>
    <t>挂在衣架上的娃娃装外衣</t>
  </si>
  <si>
    <t>12257.txt</t>
  </si>
  <si>
    <t>Ballgown</t>
  </si>
  <si>
    <t>舞会礼服</t>
  </si>
  <si>
    <t>12258.txt</t>
  </si>
  <si>
    <t>Ballgown on Hanger</t>
  </si>
  <si>
    <t>衣架上的舞会礼服</t>
  </si>
  <si>
    <t>12259.txt</t>
  </si>
  <si>
    <t>Black Ballgown</t>
  </si>
  <si>
    <t>黑色舞会礼服</t>
  </si>
  <si>
    <t>12260.txt</t>
  </si>
  <si>
    <t>Black Ballgown on Hanger</t>
  </si>
  <si>
    <t>衣架上的黑色舞会礼服</t>
  </si>
  <si>
    <t>12261.txt</t>
  </si>
  <si>
    <t>Red Ballgown</t>
  </si>
  <si>
    <t>红色舞会礼服</t>
  </si>
  <si>
    <t>12263.txt</t>
  </si>
  <si>
    <t>Red Ballgown on Hanger</t>
  </si>
  <si>
    <t>衣架上的红色舞会礼服</t>
  </si>
  <si>
    <t>12264.txt</t>
  </si>
  <si>
    <t>Yellow Ballgown</t>
  </si>
  <si>
    <t>黄色舞会礼服</t>
  </si>
  <si>
    <t>12265.txt</t>
  </si>
  <si>
    <t>Yellow Ballgown on Hanger</t>
  </si>
  <si>
    <t>衣架上的黄色舞会礼服</t>
  </si>
  <si>
    <t>12266.txt</t>
  </si>
  <si>
    <t>Blue Ballgown</t>
  </si>
  <si>
    <t>蓝色舞会礼服</t>
  </si>
  <si>
    <t>12267.txt</t>
  </si>
  <si>
    <t>Blue Ballgown on Hanger</t>
  </si>
  <si>
    <t>衣架上的蓝色舞会礼服</t>
  </si>
  <si>
    <t>12268.txt</t>
  </si>
  <si>
    <t>Green Ballgown</t>
  </si>
  <si>
    <t>绿色舞会礼服</t>
  </si>
  <si>
    <t>12269.txt</t>
  </si>
  <si>
    <t>Green Ballgown on Hanger</t>
  </si>
  <si>
    <t>衣架上的绿色舞会礼服</t>
  </si>
  <si>
    <t>12270.txt</t>
  </si>
  <si>
    <t>Pink Ballgown</t>
  </si>
  <si>
    <t>粉色舞会礼服</t>
  </si>
  <si>
    <t>12271.txt</t>
  </si>
  <si>
    <t>Pink Ballgown on Hanger</t>
  </si>
  <si>
    <t>衣架上的粉色舞会礼服</t>
  </si>
  <si>
    <t>12273.txt</t>
  </si>
  <si>
    <t>Windowed Brick Wall</t>
  </si>
  <si>
    <t>带窗的砖墙</t>
  </si>
  <si>
    <t>12274.txt</t>
  </si>
  <si>
    <t>Brick Wall with Glass Pane</t>
  </si>
  <si>
    <t>带玻璃板的砖墙</t>
  </si>
  <si>
    <t>12276.txt</t>
  </si>
  <si>
    <t>Bamboo Backpack</t>
  </si>
  <si>
    <t>竹背包</t>
  </si>
  <si>
    <t>12277.txt</t>
  </si>
  <si>
    <t>Bamboo Sandal</t>
  </si>
  <si>
    <t>竹凉鞋</t>
  </si>
  <si>
    <t>12278.txt</t>
  </si>
  <si>
    <t>Bamboo Hat</t>
  </si>
  <si>
    <t>竹帽</t>
  </si>
  <si>
    <t>12281.txt</t>
  </si>
  <si>
    <t>Pair of Bamboo Sandals</t>
  </si>
  <si>
    <t>一双竹凉鞋</t>
  </si>
  <si>
    <t>12282.txt</t>
  </si>
  <si>
    <t>Silk Outfit Base</t>
  </si>
  <si>
    <t>丝绸服装基地</t>
  </si>
  <si>
    <t>12283.txt</t>
  </si>
  <si>
    <t>Silk Top and Bottom Pieces</t>
  </si>
  <si>
    <t>丝绸上衣和下衣</t>
  </si>
  <si>
    <t>12284.txt</t>
  </si>
  <si>
    <t>Silk Top Piece</t>
  </si>
  <si>
    <t>真丝上衣</t>
  </si>
  <si>
    <t>12285.txt</t>
  </si>
  <si>
    <t>Silk Bottom Piece</t>
  </si>
  <si>
    <t>丝绸下衣</t>
  </si>
  <si>
    <t>12286.txt</t>
  </si>
  <si>
    <t>Wool Blend Outfit Base</t>
  </si>
  <si>
    <t>羊毛混纺服装底座</t>
  </si>
  <si>
    <t>12287.txt</t>
  </si>
  <si>
    <t>Wool Blend Top and Bottom Pieces</t>
  </si>
  <si>
    <t>羊毛混纺上衣和下衣</t>
  </si>
  <si>
    <t>12288.txt</t>
  </si>
  <si>
    <t>Wool Top Piece</t>
  </si>
  <si>
    <t>羊毛上衣</t>
  </si>
  <si>
    <t>12289.txt</t>
  </si>
  <si>
    <t>Wool Blend Bottom Piece</t>
  </si>
  <si>
    <t>羊毛混纺下衣</t>
  </si>
  <si>
    <t>12290.txt</t>
  </si>
  <si>
    <t>Wool Top Piece with Alpaca Fleece</t>
  </si>
  <si>
    <t>羊驼毛羊毛上衣</t>
  </si>
  <si>
    <t>12291.txt</t>
  </si>
  <si>
    <t>Bolt of Blue Cotton Blend Cloth</t>
  </si>
  <si>
    <t>一卷蓝色棉混纺布</t>
  </si>
  <si>
    <t>12292.txt</t>
  </si>
  <si>
    <t>Bolt of Pink Cotton Blend Cloth</t>
  </si>
  <si>
    <t>一卷粉色棉混纺布</t>
  </si>
  <si>
    <t>12293.txt</t>
  </si>
  <si>
    <t>Bolt of Black Cotton Blend Cloth</t>
  </si>
  <si>
    <t>一匹黑色棉混纺布</t>
  </si>
  <si>
    <t>12294.txt</t>
  </si>
  <si>
    <t>Bolts of Blue Cotton Blend Cloth</t>
  </si>
  <si>
    <t>蓝色棉混纺布卷</t>
  </si>
  <si>
    <t>12295.txt</t>
  </si>
  <si>
    <t>Bolts of Pink Cotton Blend Cloth</t>
  </si>
  <si>
    <t>粉色棉混纺布</t>
  </si>
  <si>
    <t>12296.txt</t>
  </si>
  <si>
    <t>Bolts of Black Cotton Blend Cloth</t>
  </si>
  <si>
    <t>黑色棉混纺布</t>
  </si>
  <si>
    <t>12297.txt</t>
  </si>
  <si>
    <t>Bolts of Wool Blend Cloth #2</t>
  </si>
  <si>
    <t>羊毛混纺布#2</t>
  </si>
  <si>
    <t>12298.txt</t>
  </si>
  <si>
    <t>Pair of Wooden Shoes with Wool Blend Sheets</t>
  </si>
  <si>
    <t>一双带羊毛混纺床单的木鞋</t>
  </si>
  <si>
    <t>12299.txt</t>
  </si>
  <si>
    <t>Wool Blend Sheets #2</t>
  </si>
  <si>
    <t>羊毛混纺床单 #2</t>
  </si>
  <si>
    <t>12300.txt</t>
  </si>
  <si>
    <t>Wool Blend Sheet #1</t>
  </si>
  <si>
    <t>羊毛混纺床单 #1</t>
  </si>
  <si>
    <t>12301.txt</t>
  </si>
  <si>
    <t>Dye-Ready Ribbon with Bow</t>
  </si>
  <si>
    <t>带蝴蝶结的染色丝带</t>
  </si>
  <si>
    <t>12302.txt</t>
  </si>
  <si>
    <t>Dye-Ready Bloomers</t>
  </si>
  <si>
    <t>可染色灯笼裤</t>
  </si>
  <si>
    <t>12303.txt</t>
  </si>
  <si>
    <t>Dye-Ready Pair of Slippers with Bows</t>
  </si>
  <si>
    <t>一双可染色蝴蝶结拖鞋</t>
  </si>
  <si>
    <t>12304.txt</t>
  </si>
  <si>
    <t>Dye-Ready Slipper with Bow</t>
  </si>
  <si>
    <t>可染色蝴蝶结拖鞋</t>
  </si>
  <si>
    <t>12305.txt</t>
  </si>
  <si>
    <t>Dye-Ready Babydoll Tunic</t>
  </si>
  <si>
    <t>可染色娃娃装外套</t>
  </si>
  <si>
    <t>12306.txt</t>
  </si>
  <si>
    <t>Dye-Ready Ballgown</t>
  </si>
  <si>
    <t>染色舞会礼服</t>
  </si>
  <si>
    <t>12307.txt</t>
  </si>
  <si>
    <t>Slipper</t>
  </si>
  <si>
    <t>拖鞋</t>
  </si>
  <si>
    <t>12308.txt</t>
  </si>
  <si>
    <t>Pair of Slippers</t>
  </si>
  <si>
    <t>一双拖鞋</t>
  </si>
  <si>
    <t>12309.txt</t>
  </si>
  <si>
    <t>Black Slipper</t>
  </si>
  <si>
    <t>黑色拖鞋</t>
  </si>
  <si>
    <t>12310.txt</t>
  </si>
  <si>
    <t>Pair of Black Slippers</t>
  </si>
  <si>
    <t>一双黑色拖鞋</t>
  </si>
  <si>
    <t>12311.txt</t>
  </si>
  <si>
    <t>Pink Slipper</t>
  </si>
  <si>
    <t>粉色拖鞋</t>
  </si>
  <si>
    <t>12312.txt</t>
  </si>
  <si>
    <t>Pair of Pink Slippers</t>
  </si>
  <si>
    <t>一双粉色拖鞋</t>
  </si>
  <si>
    <t>12313.txt</t>
  </si>
  <si>
    <t>Yellow Slipper</t>
  </si>
  <si>
    <t>黄色拖鞋</t>
  </si>
  <si>
    <t>12314.txt</t>
  </si>
  <si>
    <t>Pair of Yellow Slippers</t>
  </si>
  <si>
    <t>一双黄色拖鞋</t>
  </si>
  <si>
    <t>12315.txt</t>
  </si>
  <si>
    <t>Green Slipper</t>
  </si>
  <si>
    <t>绿色拖鞋</t>
  </si>
  <si>
    <t>12316.txt</t>
  </si>
  <si>
    <t>Pair of Green Slippers</t>
  </si>
  <si>
    <t>一双绿色拖鞋</t>
  </si>
  <si>
    <t>12318.txt</t>
  </si>
  <si>
    <t>Blue Slipper</t>
  </si>
  <si>
    <t>蓝色拖鞋</t>
  </si>
  <si>
    <t>12319.txt</t>
  </si>
  <si>
    <t>Pair of Blue Slippers</t>
  </si>
  <si>
    <t>一双蓝色拖鞋</t>
  </si>
  <si>
    <t>12320.txt</t>
  </si>
  <si>
    <t>Red Slipper</t>
  </si>
  <si>
    <t>红拖鞋</t>
  </si>
  <si>
    <t>12321.txt</t>
  </si>
  <si>
    <t>Pair of Red Slippers</t>
  </si>
  <si>
    <t>一双红色拖鞋</t>
  </si>
  <si>
    <t>12322.txt</t>
  </si>
  <si>
    <t>Jacket on Hanger</t>
  </si>
  <si>
    <t>衣架上的夹克</t>
  </si>
  <si>
    <t>12323.txt</t>
  </si>
  <si>
    <t>Jacket</t>
  </si>
  <si>
    <t>夹克</t>
  </si>
  <si>
    <t>12324.txt</t>
  </si>
  <si>
    <t>Pink Jacket on Hanger</t>
  </si>
  <si>
    <t>衣架上的粉色夹克</t>
  </si>
  <si>
    <t>12325.txt</t>
  </si>
  <si>
    <t>Pink Jacket</t>
  </si>
  <si>
    <t>粉色夹克</t>
  </si>
  <si>
    <t>12326.txt</t>
  </si>
  <si>
    <t>Yellow Jacket on Hanger</t>
  </si>
  <si>
    <t>衣架上的黄色夹克</t>
  </si>
  <si>
    <t>12327.txt</t>
  </si>
  <si>
    <t>Yellow Jacket</t>
  </si>
  <si>
    <t>黄夹克</t>
  </si>
  <si>
    <t>12328.txt</t>
  </si>
  <si>
    <t>Black Jacket on Hanger</t>
  </si>
  <si>
    <t>衣架上的黑色夹克</t>
  </si>
  <si>
    <t>12329.txt</t>
  </si>
  <si>
    <t>Black Jacket</t>
  </si>
  <si>
    <t>黑色的夹克</t>
  </si>
  <si>
    <t>12330.txt</t>
  </si>
  <si>
    <t>Green Jacket on Hanger</t>
  </si>
  <si>
    <t>衣架上的绿色夹克</t>
  </si>
  <si>
    <t>12331.txt</t>
  </si>
  <si>
    <t>Green Jacket</t>
  </si>
  <si>
    <t>绿夹克</t>
  </si>
  <si>
    <t>12332.txt</t>
  </si>
  <si>
    <t>Blue Jacket on Hanger</t>
  </si>
  <si>
    <t>衣架上的蓝色夹克</t>
  </si>
  <si>
    <t>12333.txt</t>
  </si>
  <si>
    <t>Blue Jacket</t>
  </si>
  <si>
    <t>蓝色夹克</t>
  </si>
  <si>
    <t>12334.txt</t>
  </si>
  <si>
    <t>Red Jacket on Hanger</t>
  </si>
  <si>
    <t>衣架上的红色夹克</t>
  </si>
  <si>
    <t>12335.txt</t>
  </si>
  <si>
    <t>Red Jacket</t>
  </si>
  <si>
    <t>红夹克</t>
  </si>
  <si>
    <t>12336.txt</t>
  </si>
  <si>
    <t>Dress Skirt</t>
  </si>
  <si>
    <t>礼服裙</t>
  </si>
  <si>
    <t>12337.txt</t>
  </si>
  <si>
    <t>Pink Dress Skirt</t>
  </si>
  <si>
    <t>粉色连衣裙</t>
  </si>
  <si>
    <t>12338.txt</t>
  </si>
  <si>
    <t>Yellow Dress Skirt</t>
  </si>
  <si>
    <t>黄色连衣裙裙子</t>
  </si>
  <si>
    <t>12339.txt</t>
  </si>
  <si>
    <t>Black Dress Skirt</t>
  </si>
  <si>
    <t>黑色礼服裙</t>
  </si>
  <si>
    <t>12340.txt</t>
  </si>
  <si>
    <t>Green Dress Skirt</t>
  </si>
  <si>
    <t>绿色连衣裙裙子</t>
  </si>
  <si>
    <t>12341.txt</t>
  </si>
  <si>
    <t>Blue Dress Skirt</t>
  </si>
  <si>
    <t>蓝色连衣裙裙子</t>
  </si>
  <si>
    <t>12342.txt</t>
  </si>
  <si>
    <t>Red Dress Skirt</t>
  </si>
  <si>
    <t>红色连衣裙裙子</t>
  </si>
  <si>
    <t>12343.txt</t>
  </si>
  <si>
    <t>Bow</t>
  </si>
  <si>
    <t>弓</t>
  </si>
  <si>
    <t>12344.txt</t>
  </si>
  <si>
    <t>Pair of Slippers with Detached Bows</t>
  </si>
  <si>
    <t>一双带分离蝴蝶结的拖鞋</t>
  </si>
  <si>
    <t>12345.txt</t>
  </si>
  <si>
    <t>Pink Bow</t>
  </si>
  <si>
    <t>粉色蝴蝶结</t>
  </si>
  <si>
    <t>12346.txt</t>
  </si>
  <si>
    <t>Yellow Bow</t>
  </si>
  <si>
    <t>黄色蝴蝶结</t>
  </si>
  <si>
    <t>12347.txt</t>
  </si>
  <si>
    <t>Green Bow</t>
  </si>
  <si>
    <t>绿弓</t>
  </si>
  <si>
    <t>12348.txt</t>
  </si>
  <si>
    <t>Blue Bow</t>
  </si>
  <si>
    <t>蓝弓</t>
  </si>
  <si>
    <t>12349.txt</t>
  </si>
  <si>
    <t>Red Bow</t>
  </si>
  <si>
    <t>红色领结</t>
  </si>
  <si>
    <t>12350.txt</t>
  </si>
  <si>
    <t>Black Bow</t>
  </si>
  <si>
    <t>黑弓</t>
  </si>
  <si>
    <t>12351.txt</t>
  </si>
  <si>
    <t>Pair of Bows</t>
  </si>
  <si>
    <t>一对弓</t>
  </si>
  <si>
    <t>12352.txt</t>
  </si>
  <si>
    <t>Ribbon</t>
  </si>
  <si>
    <t>丝带</t>
  </si>
  <si>
    <t>12353.txt</t>
  </si>
  <si>
    <t>Ribbon with Detached Bow</t>
  </si>
  <si>
    <t>12354.txt</t>
  </si>
  <si>
    <t>Dye-Ready Jacket</t>
  </si>
  <si>
    <t>染色夹克</t>
  </si>
  <si>
    <t>12355.txt</t>
  </si>
  <si>
    <t>Dye-Ready Pair of Slippers</t>
  </si>
  <si>
    <t>一双可染色的拖鞋</t>
  </si>
  <si>
    <t>12356.txt</t>
  </si>
  <si>
    <t>Dye-Ready Bow</t>
  </si>
  <si>
    <t>染色弓</t>
  </si>
  <si>
    <t>12357.txt</t>
  </si>
  <si>
    <t>Dye-Ready Dress Skirt</t>
  </si>
  <si>
    <t>染色连衣裙</t>
  </si>
  <si>
    <t>12358.txt</t>
  </si>
  <si>
    <t>Yellow Long Skirt on Hanger</t>
  </si>
  <si>
    <t>12359.txt</t>
  </si>
  <si>
    <t>Green Long Skirt on Hanger</t>
  </si>
  <si>
    <t>12360.txt</t>
  </si>
  <si>
    <t>Indigo Long Skirt on Hanger</t>
  </si>
  <si>
    <t>衣架上的靛蓝色长裙</t>
  </si>
  <si>
    <t>12361.txt</t>
  </si>
  <si>
    <t>Red Long Skirt on Hanger</t>
  </si>
  <si>
    <t>12362.txt</t>
  </si>
  <si>
    <t>Black Long Skirt on Hanger</t>
  </si>
  <si>
    <t>12363.txt</t>
  </si>
  <si>
    <t>Undyed Long Skirt on Hanger</t>
  </si>
  <si>
    <t>衣架上未染色的长裙</t>
  </si>
  <si>
    <t>12364.txt</t>
  </si>
  <si>
    <t>Christmas Dress on Hanger</t>
  </si>
  <si>
    <t>衣架上的圣诞礼服</t>
  </si>
  <si>
    <t>12365.txt</t>
  </si>
  <si>
    <t>Silk Shirt #justremoved</t>
  </si>
  <si>
    <t>丝绸衬衫#justremoved</t>
  </si>
  <si>
    <t>12366.txt</t>
  </si>
  <si>
    <t>Black Silk Shirt #justremoved</t>
  </si>
  <si>
    <t>黑色丝绸衬衫#justremoved</t>
  </si>
  <si>
    <t>12367.txt</t>
  </si>
  <si>
    <t>Blue Silk Shirt #justremoved</t>
  </si>
  <si>
    <t>蓝色丝绸衬衫#justremoved</t>
  </si>
  <si>
    <t>12368.txt</t>
  </si>
  <si>
    <t>Yellow Silk Shirt #justremoved</t>
  </si>
  <si>
    <t>黄色丝绸衬衫#justremoved</t>
  </si>
  <si>
    <t>12369.txt</t>
  </si>
  <si>
    <t>Red Silk Shirt #justremoved</t>
  </si>
  <si>
    <t>红色丝绸衬衫#justremoved</t>
  </si>
  <si>
    <t>12370.txt</t>
  </si>
  <si>
    <t>Indigo Wool Coat #justremoved</t>
  </si>
  <si>
    <t>靛蓝色羊毛大衣#justremoved</t>
  </si>
  <si>
    <t>12371.txt</t>
  </si>
  <si>
    <t>Red Wool Coat #justremoved</t>
  </si>
  <si>
    <t>红色羊毛大衣#justremoved</t>
  </si>
  <si>
    <t>12372.txt</t>
  </si>
  <si>
    <t>Green Wool Coat #justremoved</t>
  </si>
  <si>
    <t>绿色羊毛大衣#justremoved</t>
  </si>
  <si>
    <t>12373.txt</t>
  </si>
  <si>
    <t>Wool Coat #justremoved</t>
  </si>
  <si>
    <t>羊毛大衣#justremoved</t>
  </si>
  <si>
    <t>12374.txt</t>
  </si>
  <si>
    <t>Black Cotton Long Dress #justremoved</t>
  </si>
  <si>
    <t>黑色棉质长连衣裙#justremoved</t>
  </si>
  <si>
    <t>12375.txt</t>
  </si>
  <si>
    <t>Pink Cotton Long Dress #justremoved</t>
  </si>
  <si>
    <t>粉色棉质长裙#justremoved</t>
  </si>
  <si>
    <t>12376.txt</t>
  </si>
  <si>
    <t>Blue Cotton Long Dress #justremoved</t>
  </si>
  <si>
    <t>蓝色棉质长连衣裙#justremoved</t>
  </si>
  <si>
    <t>12377.txt</t>
  </si>
  <si>
    <t>Black Cotton Short Dress #justremoved</t>
  </si>
  <si>
    <t>黑色棉质短裙#justremoved</t>
  </si>
  <si>
    <t>12378.txt</t>
  </si>
  <si>
    <t>Blue Cotton Short Dress #justremoved</t>
  </si>
  <si>
    <t>蓝色棉质短裙#justremoved</t>
  </si>
  <si>
    <t>12379.txt</t>
  </si>
  <si>
    <t>Pink Cotton Short Dress #justremoved</t>
  </si>
  <si>
    <t>粉色棉质短裙#justremoved</t>
  </si>
  <si>
    <t>12380.txt</t>
  </si>
  <si>
    <t>Black Babydoll Tunic #justremoved</t>
  </si>
  <si>
    <t>黑色娃娃装外套 #justremoved</t>
  </si>
  <si>
    <t>12381.txt</t>
  </si>
  <si>
    <t>Blue Babydoll Tunic #justremoved</t>
  </si>
  <si>
    <t>蓝色娃娃装外套 #justremoved</t>
  </si>
  <si>
    <t>12382.txt</t>
  </si>
  <si>
    <t>Pink Babydoll Tunic #justremoved</t>
  </si>
  <si>
    <t>粉色娃娃装外套 #justremoved</t>
  </si>
  <si>
    <t>12383.txt</t>
  </si>
  <si>
    <t>Yellow Babydoll Tunic #justremoved</t>
  </si>
  <si>
    <t>黄色娃娃装外套 #justremoved</t>
  </si>
  <si>
    <t>12384.txt</t>
  </si>
  <si>
    <t>Green Babydoll Tunic #justremoved</t>
  </si>
  <si>
    <t>绿色娃娃装外套 #justremoved</t>
  </si>
  <si>
    <t>12385.txt</t>
  </si>
  <si>
    <t>Red Babydoll Tunic #justremoved</t>
  </si>
  <si>
    <t>红色娃娃装外套 #justremoved</t>
  </si>
  <si>
    <t>12386.txt</t>
  </si>
  <si>
    <t>Babydoll Tunic #justremoved</t>
  </si>
  <si>
    <t>娃娃装外衣#justremoved</t>
  </si>
  <si>
    <t>12387.txt</t>
  </si>
  <si>
    <t>Ballgown #justremoved</t>
  </si>
  <si>
    <t>舞会礼服#justremoved</t>
  </si>
  <si>
    <t>12388.txt</t>
  </si>
  <si>
    <t>Black Ballgown #justremoved</t>
  </si>
  <si>
    <t>黑色舞会礼服#justremoved</t>
  </si>
  <si>
    <t>12389.txt</t>
  </si>
  <si>
    <t>Red Ballgown #justremoved</t>
  </si>
  <si>
    <t>红色舞会礼服#justremoved</t>
  </si>
  <si>
    <t>12390.txt</t>
  </si>
  <si>
    <t>Yellow Ballgown #justremoved</t>
  </si>
  <si>
    <t>黄色舞会礼服#justremoved</t>
  </si>
  <si>
    <t>12391.txt</t>
  </si>
  <si>
    <t>Blue Ballgown #justremoved</t>
  </si>
  <si>
    <t>蓝色舞会礼服#justremoved</t>
  </si>
  <si>
    <t>12392.txt</t>
  </si>
  <si>
    <t>Green Ballgown #justremoved</t>
  </si>
  <si>
    <t>绿色舞会礼服#justremoved</t>
  </si>
  <si>
    <t>12393.txt</t>
  </si>
  <si>
    <t>Pink Ballgown #justremoved</t>
  </si>
  <si>
    <t>粉色舞会礼服#justremoved</t>
  </si>
  <si>
    <t>12394.txt</t>
  </si>
  <si>
    <t>Jacket #justremoved</t>
  </si>
  <si>
    <t>夹克#justremoved</t>
  </si>
  <si>
    <t>12395.txt</t>
  </si>
  <si>
    <t>Pink Jacket #justremoved</t>
  </si>
  <si>
    <t>粉红色夹克#justremoved</t>
  </si>
  <si>
    <t>12396.txt</t>
  </si>
  <si>
    <t>Yellow Jacket #justremoved</t>
  </si>
  <si>
    <t>黄色夹克#justremoved</t>
  </si>
  <si>
    <t>12397.txt</t>
  </si>
  <si>
    <t>Black Jacket #justremoved</t>
  </si>
  <si>
    <t>黑色夹克#justremoved</t>
  </si>
  <si>
    <t>12398.txt</t>
  </si>
  <si>
    <t>Green Jacket #justremoved</t>
  </si>
  <si>
    <t>绿夹克#justremoved</t>
  </si>
  <si>
    <t>12399.txt</t>
  </si>
  <si>
    <t>Blue Jacket #justremoved</t>
  </si>
  <si>
    <t>蓝色夹克#justremoved</t>
  </si>
  <si>
    <t>12400.txt</t>
  </si>
  <si>
    <t>Red Jacket #justremoved</t>
  </si>
  <si>
    <t>红色夹克#justremoved</t>
  </si>
  <si>
    <t>12401.txt</t>
  </si>
  <si>
    <t>Undyed Long Dress #justremoved</t>
  </si>
  <si>
    <t>未染色长连衣裙#justremoved</t>
  </si>
  <si>
    <t>12402.txt</t>
  </si>
  <si>
    <t>Red Long Dress #justremoved</t>
  </si>
  <si>
    <t>红色长裙#justremoved</t>
  </si>
  <si>
    <t>12403.txt</t>
  </si>
  <si>
    <t>Indigo Long Dress #justremoved</t>
  </si>
  <si>
    <t>靛蓝色长连衣裙#justremoved</t>
  </si>
  <si>
    <t>12404.txt</t>
  </si>
  <si>
    <t>Green Long Dress #justremoved</t>
  </si>
  <si>
    <t>绿色长裙#justremoved</t>
  </si>
  <si>
    <t>12405.txt</t>
  </si>
  <si>
    <t>Yellow Long Dress #justremoved</t>
  </si>
  <si>
    <t>黄色长裙#justremoved</t>
  </si>
  <si>
    <t>12406.txt</t>
  </si>
  <si>
    <t>Black Long Dress #justremoved</t>
  </si>
  <si>
    <t>黑色长裙#justremoved</t>
  </si>
  <si>
    <t>12407.txt</t>
  </si>
  <si>
    <t>Undyed Long Skirt #justremoved</t>
  </si>
  <si>
    <t>未染色长裙#justremoved</t>
  </si>
  <si>
    <t>12408.txt</t>
  </si>
  <si>
    <t>Red Long Skirt #justremoved</t>
  </si>
  <si>
    <t>12409.txt</t>
  </si>
  <si>
    <t>Indigo Long Skirt #justremoved</t>
  </si>
  <si>
    <t>靛蓝色长裙#justremoved</t>
  </si>
  <si>
    <t>12410.txt</t>
  </si>
  <si>
    <t>Green Long Skirt #justremoved</t>
  </si>
  <si>
    <t>12411.txt</t>
  </si>
  <si>
    <t>Yellow Long Skirt #justremoved</t>
  </si>
  <si>
    <t>12412.txt</t>
  </si>
  <si>
    <t>Black Long Skirt #justremoved</t>
  </si>
  <si>
    <t>12413.txt</t>
  </si>
  <si>
    <t>Undyed Button-down Shirt #justremoved</t>
  </si>
  <si>
    <t>未染色纽扣衬衫 #justremoved</t>
  </si>
  <si>
    <t>12414.txt</t>
  </si>
  <si>
    <t>Red Button-down Shirt #justremoved</t>
  </si>
  <si>
    <t>红色系扣衬衫#justremoved</t>
  </si>
  <si>
    <t>12415.txt</t>
  </si>
  <si>
    <t>Indigo Button-down Shirt #justremoved</t>
  </si>
  <si>
    <t>靛蓝色系扣衬衫 #justremoved</t>
  </si>
  <si>
    <t>12416.txt</t>
  </si>
  <si>
    <t>Green Button-down Shirt #justremoved</t>
  </si>
  <si>
    <t>绿色系扣衬衫#justremoved</t>
  </si>
  <si>
    <t>12417.txt</t>
  </si>
  <si>
    <t>Yellow Button-down Shirt #justremoved</t>
  </si>
  <si>
    <t>黄色系扣衬衫#justremoved</t>
  </si>
  <si>
    <t>12418.txt</t>
  </si>
  <si>
    <t>Black Button-down Shirt #justremoved</t>
  </si>
  <si>
    <t>黑色系扣衬衫#justremoved</t>
  </si>
  <si>
    <t>12419.txt</t>
  </si>
  <si>
    <t>@ ClothingHangerJustRemoved</t>
  </si>
  <si>
    <t>12420.txt</t>
  </si>
  <si>
    <t>Sheepskin Coat #justremoved</t>
  </si>
  <si>
    <t>羊皮大衣#justremoved</t>
  </si>
  <si>
    <t>12421.txt</t>
  </si>
  <si>
    <t>Sealskin Coat #justremoved</t>
  </si>
  <si>
    <t>海豹皮外套#justremoved</t>
  </si>
  <si>
    <t>12422.txt</t>
  </si>
  <si>
    <t>Cowskin Coat #justremoved</t>
  </si>
  <si>
    <t>牛皮大衣#justremoved</t>
  </si>
  <si>
    <t>12423.txt</t>
  </si>
  <si>
    <t>Christmas Dress #justremoved</t>
  </si>
  <si>
    <t>圣诞礼服#justremoved</t>
  </si>
  <si>
    <t>12424.txt</t>
  </si>
  <si>
    <t>Two Sheep Skins</t>
  </si>
  <si>
    <t>两张羊皮</t>
  </si>
  <si>
    <t>12426.txt</t>
  </si>
  <si>
    <t>Ancient Brick Wall with Glass Pane</t>
  </si>
  <si>
    <t>有玻璃板的古老砖墙</t>
  </si>
  <si>
    <t>12427.txt</t>
  </si>
  <si>
    <t>Ancient Windowed Brick Wall</t>
  </si>
  <si>
    <t>古老的有窗砖墙</t>
  </si>
  <si>
    <t>12429.txt</t>
  </si>
  <si>
    <t>@ Bowlable Seed</t>
  </si>
  <si>
    <t>12430.txt</t>
  </si>
  <si>
    <t>Pair of Christmas Socks</t>
  </si>
  <si>
    <t>一双圣诞袜</t>
  </si>
  <si>
    <t>12431.txt</t>
  </si>
  <si>
    <t>Dye-Ready Pair of Wool Booties</t>
  </si>
  <si>
    <t>一双可染色羊毛短靴</t>
  </si>
  <si>
    <t>12432.txt</t>
  </si>
  <si>
    <t>Dye-Ready Slipper</t>
  </si>
  <si>
    <t>可染色拖鞋</t>
  </si>
  <si>
    <t>12433.txt</t>
  </si>
  <si>
    <t>Wool Blend Sheets #2 #just sheared</t>
  </si>
  <si>
    <t>羊毛混纺床单 #2 #just sheared</t>
  </si>
  <si>
    <t>12434.txt</t>
  </si>
  <si>
    <t>Copper Pipe #C #waterN</t>
  </si>
  <si>
    <t>铜管#C #waterN</t>
  </si>
  <si>
    <t>12435.txt</t>
  </si>
  <si>
    <t>Copper Pipe #C #waterE</t>
  </si>
  <si>
    <t>铜管#C #waterE</t>
  </si>
  <si>
    <t>12436.txt</t>
  </si>
  <si>
    <t>Copper Sprinkler #EW</t>
  </si>
  <si>
    <t>铜喷头#EW</t>
  </si>
  <si>
    <t>12437.txt</t>
  </si>
  <si>
    <t>Copper Sprinkler #EW spraying +tapoutTrigger,1,1,1,1</t>
  </si>
  <si>
    <t>铜喷头 #EW spraying +tapoutTrigger,1,1,1,1</t>
  </si>
  <si>
    <t>12438.txt</t>
  </si>
  <si>
    <t>(outdated) Copper Sprinkler #EW #waterE spraying</t>
  </si>
  <si>
    <t>#EW #waterE spraying</t>
  </si>
  <si>
    <t>12439.txt</t>
  </si>
  <si>
    <t>Copper Sprinkler #EW gone spraying</t>
  </si>
  <si>
    <t>铜喷头#EW gone spraying</t>
  </si>
  <si>
    <t>12440.txt</t>
  </si>
  <si>
    <t>Copper Pipe #C #waterW</t>
  </si>
  <si>
    <t>铜管#C #waterW</t>
  </si>
  <si>
    <t>12441.txt</t>
  </si>
  <si>
    <t>Copper Pipe #C #waterS</t>
  </si>
  <si>
    <t>铜管#C #waterS</t>
  </si>
  <si>
    <t>12442.txt</t>
  </si>
  <si>
    <t>Copper Pipe #C off</t>
  </si>
  <si>
    <t>铜管#C off</t>
  </si>
  <si>
    <t>12443.txt</t>
  </si>
  <si>
    <t>(outdated) Copper Sprinkler #EW #waterW spraying</t>
  </si>
  <si>
    <t>#EW #waterW spraying</t>
  </si>
  <si>
    <t>12444.txt</t>
  </si>
  <si>
    <t>Copper Sprinkler #NS</t>
  </si>
  <si>
    <t>铜喷头#NS</t>
  </si>
  <si>
    <t>12445.txt</t>
  </si>
  <si>
    <t>Copper Sprinkler #NS spraying +tapoutTrigger,1,1,1,1</t>
  </si>
  <si>
    <t>铜喷头 #NS spraying +tapoutTrigger,1,1,1,1</t>
  </si>
  <si>
    <t>12446.txt</t>
  </si>
  <si>
    <t>Copper Sprinkler #NS gone spraying</t>
  </si>
  <si>
    <t>铜喷头#NS gone spraying</t>
  </si>
  <si>
    <t>12447.txt</t>
  </si>
  <si>
    <t>(outdated) Copper Sprinkler #NS #waterS spraying</t>
  </si>
  <si>
    <t>#NS #waterS spraying</t>
  </si>
  <si>
    <t>12448.txt</t>
  </si>
  <si>
    <t>(outdated) Copper Sprinkler #NS #waterN spraying</t>
  </si>
  <si>
    <t>#NS #waterN spraying</t>
  </si>
  <si>
    <t>12449.txt</t>
  </si>
  <si>
    <t>Copper Pipe with Nozzle #NS</t>
  </si>
  <si>
    <t>带喷嘴的铜管#NS</t>
  </si>
  <si>
    <t>12450.txt</t>
  </si>
  <si>
    <t>Copper Pipe with Nozzle #EW</t>
  </si>
  <si>
    <t>带喷嘴的铜管#EW</t>
  </si>
  <si>
    <t>12451.txt</t>
  </si>
  <si>
    <t>Copper Pipe #C #justInstalled</t>
  </si>
  <si>
    <t>铜管#C #justInstalled</t>
  </si>
  <si>
    <t>12452.txt</t>
  </si>
  <si>
    <t>Copper Pipe #C loose</t>
  </si>
  <si>
    <t>铜管#C loose</t>
  </si>
  <si>
    <t>12453.txt</t>
  </si>
  <si>
    <t>Diesel Water Pump with Water Tank</t>
  </si>
  <si>
    <t>带水箱柴油水泵</t>
  </si>
  <si>
    <t>12454.txt</t>
  </si>
  <si>
    <t>Diesel Water Pump with Dry Water Tank</t>
  </si>
  <si>
    <t>带干水箱的柴油水泵</t>
  </si>
  <si>
    <t>12455.txt</t>
  </si>
  <si>
    <t>Diesel Water Pump with Disconnected Water Tank and Two Pipes</t>
  </si>
  <si>
    <t>带断开水箱和两根管道的柴油水泵</t>
  </si>
  <si>
    <t>12456.txt</t>
  </si>
  <si>
    <t>Diesel Water Pump with Disconnected Water Tank and One Pipes</t>
  </si>
  <si>
    <t>带断开水箱和一根管道的柴油水泵</t>
  </si>
  <si>
    <t>12457.txt</t>
  </si>
  <si>
    <t>Diesel Water Pump with Disconnected Water Tank</t>
  </si>
  <si>
    <t>带断开水箱的柴油水泵</t>
  </si>
  <si>
    <t>12459.txt</t>
  </si>
  <si>
    <t>Running Diesel Water Pump with Dry Water Tank</t>
  </si>
  <si>
    <t>带干水箱的运行柴油水泵</t>
  </si>
  <si>
    <t>12460.txt</t>
  </si>
  <si>
    <t>Diesel Water Pump with Large Tank</t>
  </si>
  <si>
    <t>大水箱柴油水泵</t>
  </si>
  <si>
    <t>12461.txt</t>
  </si>
  <si>
    <t>Fill Station #N #empty #justoff</t>
  </si>
  <si>
    <t>加油站#N #empty #justoff</t>
  </si>
  <si>
    <t>12462.txt</t>
  </si>
  <si>
    <t>Fill Station #N #partial #justoff</t>
  </si>
  <si>
    <t>加油站#N #partial #justoff</t>
  </si>
  <si>
    <t>12463.txt</t>
  </si>
  <si>
    <t>Fill Station #S #empty #justOff</t>
  </si>
  <si>
    <t>加油站#S #empty #justOff</t>
  </si>
  <si>
    <t>12464.txt</t>
  </si>
  <si>
    <t>Fill Station #S #partial #justOff</t>
  </si>
  <si>
    <t>加油站#S #partial #justOff</t>
  </si>
  <si>
    <t>12465.txt</t>
  </si>
  <si>
    <t>Fill Station #W #partial #flow</t>
  </si>
  <si>
    <t>加油站#W #partial #flow</t>
  </si>
  <si>
    <t>12466.txt</t>
  </si>
  <si>
    <t>Fill Station #W #empty</t>
  </si>
  <si>
    <t>加油站#W #empty</t>
  </si>
  <si>
    <t>12467.txt</t>
  </si>
  <si>
    <t>Fill Station #W #empty #on</t>
  </si>
  <si>
    <t>加油站#W #empty #on</t>
  </si>
  <si>
    <t>12468.txt</t>
  </si>
  <si>
    <t>Fill Station #W #empty #justoff</t>
  </si>
  <si>
    <t>加油站#W #empty #justoff</t>
  </si>
  <si>
    <t>12469.txt</t>
  </si>
  <si>
    <t>Fill Station #W #full #flow</t>
  </si>
  <si>
    <t>加油站#W #full #flow</t>
  </si>
  <si>
    <t>12470.txt</t>
  </si>
  <si>
    <t>Fill Station #W #partial #on</t>
  </si>
  <si>
    <t>加油站#W #partial #on</t>
  </si>
  <si>
    <t>12471.txt</t>
  </si>
  <si>
    <t>Fill Station #W #full</t>
  </si>
  <si>
    <t>加油站#W #full</t>
  </si>
  <si>
    <t>12472.txt</t>
  </si>
  <si>
    <t>Fill Station #W #partial #justoff</t>
  </si>
  <si>
    <t>加油站#W #partial #justoff</t>
  </si>
  <si>
    <t>12477.txt</t>
  </si>
  <si>
    <t>Fill Station #E #empty #on</t>
  </si>
  <si>
    <t>加油站#E #empty #on</t>
  </si>
  <si>
    <t>12478.txt</t>
  </si>
  <si>
    <t>Fill Station #E #empty #justoff</t>
  </si>
  <si>
    <t>加油站#E #empty #justoff</t>
  </si>
  <si>
    <t>12479.txt</t>
  </si>
  <si>
    <t>Fill Station #E #partial</t>
  </si>
  <si>
    <t>加油站#E #partial</t>
  </si>
  <si>
    <t>12480.txt</t>
  </si>
  <si>
    <t>Fill Station #E #partial #justoff</t>
  </si>
  <si>
    <t>加油站#E #partial #justoff</t>
  </si>
  <si>
    <t>12481.txt</t>
  </si>
  <si>
    <t>Fill Station #E #partial #on</t>
  </si>
  <si>
    <t>加油站#E #partial #on</t>
  </si>
  <si>
    <t>12482.txt</t>
  </si>
  <si>
    <t>Fill Station #E #partial #flow</t>
  </si>
  <si>
    <t>加油站#E #partial #flow</t>
  </si>
  <si>
    <t>12483.txt</t>
  </si>
  <si>
    <t>Fill Station #E #full</t>
  </si>
  <si>
    <t>加油站#E #full</t>
  </si>
  <si>
    <t>12484.txt</t>
  </si>
  <si>
    <t>Fill Station #E #full #flow</t>
  </si>
  <si>
    <t>加油站#E #full #flow</t>
  </si>
  <si>
    <t>12485.txt</t>
  </si>
  <si>
    <t>Copper Rod</t>
  </si>
  <si>
    <t>铜棒</t>
  </si>
  <si>
    <t>12486.txt</t>
  </si>
  <si>
    <t>Copper Rod in Wooden Tongs</t>
  </si>
  <si>
    <t>木钳中的铜棒</t>
  </si>
  <si>
    <t>12487.txt</t>
  </si>
  <si>
    <t>一堆铜棒</t>
  </si>
  <si>
    <t>12488.txt</t>
  </si>
  <si>
    <t>Copper Rod #just made</t>
  </si>
  <si>
    <t>铜棒#just made</t>
  </si>
  <si>
    <t>12489.txt</t>
  </si>
  <si>
    <t>Copper Rod in Wooden Tongs #just made</t>
  </si>
  <si>
    <t>木钳中的铜棒#just made</t>
  </si>
  <si>
    <t>12490.txt</t>
  </si>
  <si>
    <t>Thin Copper Rod in Wooden Tongs #just made</t>
  </si>
  <si>
    <t>木钳中的细铜棒#just made</t>
  </si>
  <si>
    <t>12491.txt</t>
  </si>
  <si>
    <t>Hot Copper Rod in Wooden Tongs# grabbed</t>
  </si>
  <si>
    <t>木钳中的热铜棒# grabbed</t>
  </si>
  <si>
    <t>12492.txt</t>
  </si>
  <si>
    <t>Hot Copper Rod in Wooden Tongs</t>
  </si>
  <si>
    <t>木钳中的热铜棒</t>
  </si>
  <si>
    <t>12493.txt</t>
  </si>
  <si>
    <t>Hot Copper Rod</t>
  </si>
  <si>
    <t>热铜棒</t>
  </si>
  <si>
    <t>12494.txt</t>
  </si>
  <si>
    <t>Hot Copper Rod on Anvil</t>
  </si>
  <si>
    <t>砧座上的热铜棒</t>
  </si>
  <si>
    <t>12495.txt</t>
  </si>
  <si>
    <t>Handwheel</t>
  </si>
  <si>
    <t>方向盘</t>
  </si>
  <si>
    <t>12496.txt</t>
  </si>
  <si>
    <t>Handwheel on Anvil</t>
  </si>
  <si>
    <t>砧座上的手轮</t>
  </si>
  <si>
    <t>12497.txt</t>
  </si>
  <si>
    <t>Hot Handwheel on Anvil</t>
  </si>
  <si>
    <t>铁砧上的热手轮</t>
  </si>
  <si>
    <t>12498.txt</t>
  </si>
  <si>
    <t>Copper Pipe with Handwheel</t>
  </si>
  <si>
    <t>带手轮铜管</t>
  </si>
  <si>
    <t>12499.txt</t>
  </si>
  <si>
    <t>Partial Fill Station with Copper Pipe and Handwheel</t>
  </si>
  <si>
    <t>带铜管和手轮的部分加油站</t>
  </si>
  <si>
    <t>12501.txt</t>
  </si>
  <si>
    <t>Perhaps sprayed Ancient Yew Bonsai</t>
  </si>
  <si>
    <t>也许喷洒了古红豆杉盆景</t>
  </si>
  <si>
    <t>12503.txt</t>
  </si>
  <si>
    <t>Perhaps sprayed Domestic Gooseberry Bush</t>
  </si>
  <si>
    <t>也许喷洒了国产醋栗布什</t>
  </si>
  <si>
    <t>12504.txt</t>
  </si>
  <si>
    <t>Perhaps sprayed Hedge Sapling</t>
  </si>
  <si>
    <t>也许喷洒了树篱树苗</t>
  </si>
  <si>
    <t>12505.txt</t>
  </si>
  <si>
    <t>Perhaps sprayed Juniper Sapling</t>
  </si>
  <si>
    <t>也许喷洒了杜松树苗</t>
  </si>
  <si>
    <t>12506.txt</t>
  </si>
  <si>
    <t>Perhaps sprayed Juniper Sapling Cutting</t>
  </si>
  <si>
    <t>也许喷洒了杜松树苗切割</t>
  </si>
  <si>
    <t>12507.txt</t>
  </si>
  <si>
    <t>Perhaps sprayed Mango Sapling</t>
  </si>
  <si>
    <t>也许喷洒了芒果树苗</t>
  </si>
  <si>
    <t>12508.txt</t>
  </si>
  <si>
    <t>Perhaps sprayed Mango Sapling Cutting</t>
  </si>
  <si>
    <t>也许喷过芒果树苗切割</t>
  </si>
  <si>
    <t>12509.txt</t>
  </si>
  <si>
    <t>Perhaps sprayed Maple Sapling</t>
  </si>
  <si>
    <t>也许喷过枫树树苗</t>
  </si>
  <si>
    <t>12510.txt</t>
  </si>
  <si>
    <t>Perhaps sprayed Maple Sapling Cutting</t>
  </si>
  <si>
    <t>也许喷过枫树树苗切割</t>
  </si>
  <si>
    <t>12511.txt</t>
  </si>
  <si>
    <t>Perhaps sprayed Old Yew Bonsai</t>
  </si>
  <si>
    <t>也许喷洒了老红豆杉盆景</t>
  </si>
  <si>
    <t>12512.txt</t>
  </si>
  <si>
    <t>Perhaps sprayed Pine Sapling</t>
  </si>
  <si>
    <t>也许喷洒了松树树苗</t>
  </si>
  <si>
    <t>12513.txt</t>
  </si>
  <si>
    <t>Perhaps sprayed Pine Sapling Cutting</t>
  </si>
  <si>
    <t>也许喷洒了松树树苗切割</t>
  </si>
  <si>
    <t>12514.txt</t>
  </si>
  <si>
    <t>Perhaps sprayed Pink Rose Bush</t>
  </si>
  <si>
    <t>也许喷过粉红玫瑰丛</t>
  </si>
  <si>
    <t>12515.txt</t>
  </si>
  <si>
    <t>Perhaps sprayed Planted Beans</t>
  </si>
  <si>
    <t>也许喷洒了种植豆</t>
  </si>
  <si>
    <t>12516.txt</t>
  </si>
  <si>
    <t>Perhaps sprayed Planted Cabbage Seed</t>
  </si>
  <si>
    <t>也许喷洒了种植的卷心菜种子</t>
  </si>
  <si>
    <t>12517.txt</t>
  </si>
  <si>
    <t>Perhaps sprayed Planted Carrots</t>
  </si>
  <si>
    <t>也许喷洒了种植的胡萝卜</t>
  </si>
  <si>
    <t>12518.txt</t>
  </si>
  <si>
    <t>Perhaps sprayed Planted Corn Seed</t>
  </si>
  <si>
    <t>也许喷洒了种植的玉米种子</t>
  </si>
  <si>
    <t>12519.txt</t>
  </si>
  <si>
    <t>Perhaps sprayed Planted Cotton Seed</t>
  </si>
  <si>
    <t>也许喷洒了种植的棉籽</t>
  </si>
  <si>
    <t>12520.txt</t>
  </si>
  <si>
    <t>Perhaps sprayed Planted Gooseberry Seed#fertile</t>
  </si>
  <si>
    <t>也许喷洒了种植醋栗种子#fertile</t>
  </si>
  <si>
    <t>12521.txt</t>
  </si>
  <si>
    <t>Perhaps sprayed Planted Hops</t>
  </si>
  <si>
    <t>也许喷洒了种植啤酒花</t>
  </si>
  <si>
    <t>12522.txt</t>
  </si>
  <si>
    <t>Perhaps sprayed Planted Milkweed Seed</t>
  </si>
  <si>
    <t>也许喷洒了种植的乳草种子</t>
  </si>
  <si>
    <t>12523.txt</t>
  </si>
  <si>
    <t>Perhaps sprayed Planted Onion</t>
  </si>
  <si>
    <t>也许喷洒了种植洋葱</t>
  </si>
  <si>
    <t>12524.txt</t>
  </si>
  <si>
    <t>Perhaps sprayed Planted Onions</t>
  </si>
  <si>
    <t>12525.txt</t>
  </si>
  <si>
    <t>Perhaps sprayed Planted Pepper Seed</t>
  </si>
  <si>
    <t>也许喷洒了种植的辣椒种子</t>
  </si>
  <si>
    <t>12526.txt</t>
  </si>
  <si>
    <t>Perhaps sprayed Planted Potatoes</t>
  </si>
  <si>
    <t>也许喷洒了种植的土豆</t>
  </si>
  <si>
    <t>12527.txt</t>
  </si>
  <si>
    <t>Perhaps sprayed Planted Rose Seed# pink</t>
  </si>
  <si>
    <t>也许喷了种植玫瑰种子# pink</t>
  </si>
  <si>
    <t>12528.txt</t>
  </si>
  <si>
    <t>Perhaps sprayed Planted Rose Seed# red</t>
  </si>
  <si>
    <t>也许喷了种植玫瑰种子# red</t>
  </si>
  <si>
    <t>12529.txt</t>
  </si>
  <si>
    <t>Perhaps sprayed Planted Rose Seed# white</t>
  </si>
  <si>
    <t>也许喷洒种植玫瑰种子# white</t>
  </si>
  <si>
    <t>12530.txt</t>
  </si>
  <si>
    <t>Perhaps sprayed Planted Squash Seed</t>
  </si>
  <si>
    <t>也许喷洒了种植的南瓜种子</t>
  </si>
  <si>
    <t>12531.txt</t>
  </si>
  <si>
    <t>Perhaps sprayed Planted Sugarcane</t>
  </si>
  <si>
    <t>也许喷洒了种植的甘蔗</t>
  </si>
  <si>
    <t>12532.txt</t>
  </si>
  <si>
    <t>Perhaps sprayed Planted Tomato Seed</t>
  </si>
  <si>
    <t>也许喷洒了种植的番茄种子</t>
  </si>
  <si>
    <t>12533.txt</t>
  </si>
  <si>
    <t>Perhaps sprayed Planted Wheat</t>
  </si>
  <si>
    <t>也许喷洒了种植小麦</t>
  </si>
  <si>
    <t>12534.txt</t>
  </si>
  <si>
    <t>Perhaps sprayed Planted Wild Onion</t>
  </si>
  <si>
    <t>也许喷洒了种植野洋葱</t>
  </si>
  <si>
    <t>12535.txt</t>
  </si>
  <si>
    <t>Perhaps sprayed Poplar Sapling</t>
  </si>
  <si>
    <t>也许喷过杨树树苗</t>
  </si>
  <si>
    <t>12536.txt</t>
  </si>
  <si>
    <t>Perhaps sprayed Poplar Sapling Cutting</t>
  </si>
  <si>
    <t>也许喷过杨树苗切割</t>
  </si>
  <si>
    <t>12537.txt</t>
  </si>
  <si>
    <t>Perhaps sprayed Pruned Old Yew Bonsai</t>
  </si>
  <si>
    <t>也许喷洒修剪的老紫杉盆景</t>
  </si>
  <si>
    <t>12538.txt</t>
  </si>
  <si>
    <t>Perhaps sprayed Pruned Yew Bonsai</t>
  </si>
  <si>
    <t>也许喷洒修剪的红豆杉盆景</t>
  </si>
  <si>
    <t>12539.txt</t>
  </si>
  <si>
    <t>Perhaps sprayed Red Rose Bush</t>
  </si>
  <si>
    <t>也许喷洒了红玫瑰丛</t>
  </si>
  <si>
    <t>12540.txt</t>
  </si>
  <si>
    <t>Perhaps sprayed Rubber Sapling</t>
  </si>
  <si>
    <t>也许喷过橡胶树苗</t>
  </si>
  <si>
    <t>12541.txt</t>
  </si>
  <si>
    <t>Perhaps sprayed Rubber Sapling Cutting</t>
  </si>
  <si>
    <t>也许喷橡胶树苗切割</t>
  </si>
  <si>
    <t>12542.txt</t>
  </si>
  <si>
    <t>Perhaps sprayed Sapling Cutting</t>
  </si>
  <si>
    <t>也许喷洒树苗切割</t>
  </si>
  <si>
    <t>12543.txt</t>
  </si>
  <si>
    <t>Perhaps sprayed White Rose Bush</t>
  </si>
  <si>
    <t>也许喷过白玫瑰丛</t>
  </si>
  <si>
    <t>12544.txt</t>
  </si>
  <si>
    <t>Perhaps sprayed Yew Cutting in Bowl</t>
  </si>
  <si>
    <t>也许在碗里喷洒红豆杉切条</t>
  </si>
  <si>
    <t>12545.txt</t>
  </si>
  <si>
    <t>Perhaps sprayed Yew Sapling</t>
  </si>
  <si>
    <t>也许喷洒了红豆杉树苗</t>
  </si>
  <si>
    <t>12546.txt</t>
  </si>
  <si>
    <t>Perhaps sprayed Yew Sapling Cutting</t>
  </si>
  <si>
    <t>也许喷洒红豆杉树苗切割</t>
  </si>
  <si>
    <t>12547.txt</t>
  </si>
  <si>
    <t>Perhaps sprayed Compost Pile</t>
  </si>
  <si>
    <t>也许喷洒了堆肥</t>
  </si>
  <si>
    <t>12548.txt</t>
  </si>
  <si>
    <t>Perhaps sprayed Hedge Wall#half</t>
  </si>
  <si>
    <t>也许喷洒了树篱墙#half</t>
  </si>
  <si>
    <t>12549.txt</t>
  </si>
  <si>
    <t>12550.txt</t>
  </si>
  <si>
    <t>12551.txt</t>
  </si>
  <si>
    <t>Perhaps sprayed Domestic Gooseberry Bush #no soil</t>
  </si>
  <si>
    <t>也许喷洒了国产醋栗丛#no soil</t>
  </si>
  <si>
    <t>12552.txt</t>
  </si>
  <si>
    <t>Perhaps sprayed Cotton Sapling</t>
  </si>
  <si>
    <t>也许喷过药的棉花树苗</t>
  </si>
  <si>
    <t>12553.txt</t>
  </si>
  <si>
    <t>Perhaps sprayed Planted Grape Cutting</t>
  </si>
  <si>
    <t>也许喷洒了种植葡萄切条</t>
  </si>
  <si>
    <t>12554.txt</t>
  </si>
  <si>
    <t>Perhaps sprayed Vineyard Plot</t>
  </si>
  <si>
    <t>也许喷洒了葡萄园地块</t>
  </si>
  <si>
    <t>12555.txt</t>
  </si>
  <si>
    <t>Perhaps sprayed Harvested Vineyard Plot</t>
  </si>
  <si>
    <t>也许喷洒了收获的葡萄园地块</t>
  </si>
  <si>
    <t>12556.txt</t>
  </si>
  <si>
    <t>Perhaps sprayed Young Yew Bonsai in Bowl</t>
  </si>
  <si>
    <t>也许在碗里喷洒了年轻的红豆杉盆景</t>
  </si>
  <si>
    <t>12557.txt</t>
  </si>
  <si>
    <t>Perhaps sprayed Planted Tobacco</t>
  </si>
  <si>
    <t>也许喷洒了种植烟草</t>
  </si>
  <si>
    <t>12558.txt</t>
  </si>
  <si>
    <t>Perhaps sprayed Apple Sapling Cutting</t>
  </si>
  <si>
    <t>也许喷洒了苹果树苗切割</t>
  </si>
  <si>
    <t>12559.txt</t>
  </si>
  <si>
    <t>Perhaps sprayed Apple Sapling</t>
  </si>
  <si>
    <t>也许喷洒了苹果树苗</t>
  </si>
  <si>
    <t>12560.txt</t>
  </si>
  <si>
    <t>Perhaps sprayed Orange Sapling Cutting</t>
  </si>
  <si>
    <t>也许喷洒橙色树苗切割</t>
  </si>
  <si>
    <t>12561.txt</t>
  </si>
  <si>
    <t>Perhaps sprayed Orange Sapling</t>
  </si>
  <si>
    <t>也许喷洒了橙色树苗</t>
  </si>
  <si>
    <t>12562.txt</t>
  </si>
  <si>
    <t>Perhaps sprayed Lemon Sapling Cutting</t>
  </si>
  <si>
    <t>也许喷过柠檬树苗切割</t>
  </si>
  <si>
    <t>12563.txt</t>
  </si>
  <si>
    <t>Perhaps sprayed Lemon Sapling</t>
  </si>
  <si>
    <t>也许喷洒了柠檬树苗</t>
  </si>
  <si>
    <t>12564.txt</t>
  </si>
  <si>
    <t>Perhaps sprayed Languishing Hops</t>
  </si>
  <si>
    <t>也许喷洒了衰弱的啤酒花</t>
  </si>
  <si>
    <t>12565.txt</t>
  </si>
  <si>
    <t>Perhaps sprayed Dying Hops</t>
  </si>
  <si>
    <t>也许喷洒了垂死啤酒花</t>
  </si>
  <si>
    <t>12566.txt</t>
  </si>
  <si>
    <t>Perhaps sprayed Planted Pumpkin Seeds</t>
  </si>
  <si>
    <t>12567.txt</t>
  </si>
  <si>
    <t>Perhaps sprayed Glasswort Sapling Cutting</t>
  </si>
  <si>
    <t>也许喷洒了玻璃草树苗切割</t>
  </si>
  <si>
    <t>12568.txt</t>
  </si>
  <si>
    <t>Perhaps sprayed Field Maple Sapling Cutting</t>
  </si>
  <si>
    <t>也许喷洒田间枫树树苗切割</t>
  </si>
  <si>
    <t>12569.txt</t>
  </si>
  <si>
    <t>Perhaps sprayed Field Maple Sapling</t>
  </si>
  <si>
    <t>也许喷洒了田间枫树树苗</t>
  </si>
  <si>
    <t>12570.txt</t>
  </si>
  <si>
    <t>Perhaps sprayed Jelutong Sapling Cutting</t>
  </si>
  <si>
    <t>也许喷洒了日落洞树苗切割</t>
  </si>
  <si>
    <t>12571.txt</t>
  </si>
  <si>
    <t>Perhaps sprayed Jelutong Sapling</t>
  </si>
  <si>
    <t>也许喷洒了日落洞树苗</t>
  </si>
  <si>
    <t>12572.txt</t>
  </si>
  <si>
    <t>Perhaps sprayed Hickory Sapling Cutting</t>
  </si>
  <si>
    <t>也许喷洒了山核桃树苗切割</t>
  </si>
  <si>
    <t>12573.txt</t>
  </si>
  <si>
    <t>Perhaps sprayed Hickory Sapling</t>
  </si>
  <si>
    <t>也许喷洒了山核桃树苗</t>
  </si>
  <si>
    <t>12574.txt</t>
  </si>
  <si>
    <t>Perhaps sprayed Bubinga Sapling Cutting</t>
  </si>
  <si>
    <t>也许喷洒了 Bubinga 树苗切割</t>
  </si>
  <si>
    <t>12575.txt</t>
  </si>
  <si>
    <t>Perhaps sprayed Bubinga Sapling</t>
  </si>
  <si>
    <t>也许喷洒了 Bubinga 树苗</t>
  </si>
  <si>
    <t>12576.txt</t>
  </si>
  <si>
    <t>Perhaps sprayed Baslam Sapling Cutting</t>
  </si>
  <si>
    <t>也许喷洒了 Baslam 树苗切割</t>
  </si>
  <si>
    <t>12577.txt</t>
  </si>
  <si>
    <t>Perhaps sprayed Balsam Sapling</t>
  </si>
  <si>
    <t>也许喷洒了香脂树苗</t>
  </si>
  <si>
    <t>12578.txt</t>
  </si>
  <si>
    <t>Perhaps sprayed Cedar Sapling Cutting</t>
  </si>
  <si>
    <t>也许喷过雪松树苗切割</t>
  </si>
  <si>
    <t>12579.txt</t>
  </si>
  <si>
    <t>Perhaps sprayed Cedar Sapling</t>
  </si>
  <si>
    <t>也许喷洒了雪松树苗</t>
  </si>
  <si>
    <t>12580.txt</t>
  </si>
  <si>
    <t>Perhaps sprayed Kapok Sapling Cutting</t>
  </si>
  <si>
    <t>也许喷过木棉树苗切割</t>
  </si>
  <si>
    <t>12581.txt</t>
  </si>
  <si>
    <t>Perhaps sprayed Kapok Sapling</t>
  </si>
  <si>
    <t>也许喷过木棉树苗</t>
  </si>
  <si>
    <t>12582.txt</t>
  </si>
  <si>
    <t>Perhaps sprayed Ash Sapling Cutting</t>
  </si>
  <si>
    <t>也许喷洒灰树苗切割</t>
  </si>
  <si>
    <t>12583.txt</t>
  </si>
  <si>
    <t>Perhaps sprayed Ash Sapling</t>
  </si>
  <si>
    <t>也许喷洒了白蜡树苗</t>
  </si>
  <si>
    <t>12586.txt</t>
  </si>
  <si>
    <t>Perhaps sprayed Bamboo Shoots</t>
  </si>
  <si>
    <t>也许喷过竹笋</t>
  </si>
  <si>
    <t>12587.txt</t>
  </si>
  <si>
    <t>Perhaps sprayed Bamboo Sprouts</t>
  </si>
  <si>
    <t>也许喷过竹芽</t>
  </si>
  <si>
    <t>12588.txt</t>
  </si>
  <si>
    <t>Perhaps sprayed Birch Sapling Cutting</t>
  </si>
  <si>
    <t>也许喷洒了桦树树苗切割</t>
  </si>
  <si>
    <t>12589.txt</t>
  </si>
  <si>
    <t>Perhaps sprayed Birch Sapling</t>
  </si>
  <si>
    <t>也许喷洒了桦树树苗</t>
  </si>
  <si>
    <t>12590.txt</t>
  </si>
  <si>
    <t>Perhaps sprayed Plane Tree Sapling Cutting</t>
  </si>
  <si>
    <t>也许喷洒悬铃树树苗切割</t>
  </si>
  <si>
    <t>12591.txt</t>
  </si>
  <si>
    <t>Perhaps sprayed Plane Tree Sapling</t>
  </si>
  <si>
    <t>也许喷洒了梧桐树苗</t>
  </si>
  <si>
    <t>12592.txt</t>
  </si>
  <si>
    <t>Perhaps sprayed Planted Morning Glory</t>
  </si>
  <si>
    <t>也许喷洒了种植牵牛花</t>
  </si>
  <si>
    <t>12593.txt</t>
  </si>
  <si>
    <t>Perhaps sprayed Morning Glory</t>
  </si>
  <si>
    <t>也许喷了牵牛花</t>
  </si>
  <si>
    <t>12594.txt</t>
  </si>
  <si>
    <t>Perhaps sprayed Planted England Ivy</t>
  </si>
  <si>
    <t>也许喷洒了种植英格兰常春藤</t>
  </si>
  <si>
    <t>12595.txt</t>
  </si>
  <si>
    <t>Perhaps sprayed England Ivy Sprout</t>
  </si>
  <si>
    <t>也许喷了英格兰常春藤芽</t>
  </si>
  <si>
    <t>12596.txt</t>
  </si>
  <si>
    <t>Perhaps sprayed Planted Yellow Daisy</t>
  </si>
  <si>
    <t>也许喷洒了种植的黄色雏菊</t>
  </si>
  <si>
    <t>12597.txt</t>
  </si>
  <si>
    <t>Perhaps sprayed Yellow Daisy</t>
  </si>
  <si>
    <t>也许喷过黄色雏菊</t>
  </si>
  <si>
    <t>12598.txt</t>
  </si>
  <si>
    <t>Perhaps sprayed Planted Monstera</t>
  </si>
  <si>
    <t>也许喷洒了种植龟背竹</t>
  </si>
  <si>
    <t>12599.txt</t>
  </si>
  <si>
    <t>Perhaps sprayed Monstera Sprout</t>
  </si>
  <si>
    <t>也许喷了龟背竹芽</t>
  </si>
  <si>
    <t>12600.txt</t>
  </si>
  <si>
    <t>Perhaps sprayed Planted Blue Chrysanthemum</t>
  </si>
  <si>
    <t>也许喷洒了种植蓝菊花</t>
  </si>
  <si>
    <t>12601.txt</t>
  </si>
  <si>
    <t>Perhaps sprayed Blue Chrysanthemum</t>
  </si>
  <si>
    <t>也许喷了蓝菊花</t>
  </si>
  <si>
    <t>12602.txt</t>
  </si>
  <si>
    <t>Perhaps sprayed Planted Fire Weed</t>
  </si>
  <si>
    <t>也许喷洒了种植的火草</t>
  </si>
  <si>
    <t>12603.txt</t>
  </si>
  <si>
    <t>Perhaps sprayed Fire Weed</t>
  </si>
  <si>
    <t>也许喷洒了火草</t>
  </si>
  <si>
    <t>12604.txt</t>
  </si>
  <si>
    <t>Perhaps sprayed Planted Red Windflower</t>
  </si>
  <si>
    <t>也许喷洒了种植的红风花</t>
  </si>
  <si>
    <t>12605.txt</t>
  </si>
  <si>
    <t>Perhaps sprayed Red Windflower</t>
  </si>
  <si>
    <t>也许喷了红风花</t>
  </si>
  <si>
    <t>12606.txt</t>
  </si>
  <si>
    <t>Perhaps sprayed Planted Corn Flower</t>
  </si>
  <si>
    <t>也许喷洒了种植的玉米花</t>
  </si>
  <si>
    <t>12607.txt</t>
  </si>
  <si>
    <t>Perhaps sprayed Corn Flower</t>
  </si>
  <si>
    <t>也许喷过玉米花</t>
  </si>
  <si>
    <t>12608.txt</t>
  </si>
  <si>
    <t>Perhaps sprayed Planted Pink Delphinium</t>
  </si>
  <si>
    <t>也许喷洒了种植的粉红色飞燕草</t>
  </si>
  <si>
    <t>12609.txt</t>
  </si>
  <si>
    <t>Perhaps sprayed Pink Delphinium</t>
  </si>
  <si>
    <t>也许喷了粉红色飞燕草</t>
  </si>
  <si>
    <t>12610.txt</t>
  </si>
  <si>
    <t>Perhaps sprayed Planted Dandelion</t>
  </si>
  <si>
    <t>也许喷洒了种植的蒲公英</t>
  </si>
  <si>
    <t>12611.txt</t>
  </si>
  <si>
    <t>Perhaps sprayed Dandelion</t>
  </si>
  <si>
    <t>也许喷过蒲公英</t>
  </si>
  <si>
    <t>12612.txt</t>
  </si>
  <si>
    <t>Perhaps sprayed Planted Pink Peony</t>
  </si>
  <si>
    <t>也许喷洒了种植粉红牡丹</t>
  </si>
  <si>
    <t>12613.txt</t>
  </si>
  <si>
    <t>Perhaps sprayed Pink Peony</t>
  </si>
  <si>
    <t>也许喷过粉牡丹</t>
  </si>
  <si>
    <t>12614.txt</t>
  </si>
  <si>
    <t>Perhaps sprayed Planted Red Snapdragon</t>
  </si>
  <si>
    <t>也许喷洒了种植红金鱼草</t>
  </si>
  <si>
    <t>12615.txt</t>
  </si>
  <si>
    <t>Perhaps sprayed Red Snapdragon</t>
  </si>
  <si>
    <t>也许喷了红金鱼草</t>
  </si>
  <si>
    <t>12616.txt</t>
  </si>
  <si>
    <t>Perhaps sprayed Planted Snake Plant</t>
  </si>
  <si>
    <t>也许喷洒了种植蛇植物</t>
  </si>
  <si>
    <t>12617.txt</t>
  </si>
  <si>
    <t>Perhaps sprayed Snake Plant Sprout</t>
  </si>
  <si>
    <t>也许喷了蛇草芽</t>
  </si>
  <si>
    <t>12618.txt</t>
  </si>
  <si>
    <t>Perhaps sprayed Planted Wild Garlic</t>
  </si>
  <si>
    <t>也许喷洒了种植野蒜</t>
  </si>
  <si>
    <t>12619.txt</t>
  </si>
  <si>
    <t>Perhaps sprayed Planted Garlic</t>
  </si>
  <si>
    <t>也许喷洒种植大蒜</t>
  </si>
  <si>
    <t>12620.txt</t>
  </si>
  <si>
    <t>Perhaps sprayed Planted Dill Seeds</t>
  </si>
  <si>
    <t>也许喷洒种植的莳萝种子</t>
  </si>
  <si>
    <t>12621.txt</t>
  </si>
  <si>
    <t>Perhaps sprayed Bay Sapling Cutting</t>
  </si>
  <si>
    <t>也许喷洒了海湾树苗切割</t>
  </si>
  <si>
    <t>12622.txt</t>
  </si>
  <si>
    <t>Perhaps sprayed Bay Sapling</t>
  </si>
  <si>
    <t>也许喷洒了海湾树苗</t>
  </si>
  <si>
    <t>12623.txt</t>
  </si>
  <si>
    <t>Perhaps sprayed Planted Cucumber Seeds</t>
  </si>
  <si>
    <t>也许喷洒了种植的黄瓜种子</t>
  </si>
  <si>
    <t>12624.txt</t>
  </si>
  <si>
    <t>Perhaps sprayed Planted Peppercorn</t>
  </si>
  <si>
    <t>也许喷洒了种植花椒</t>
  </si>
  <si>
    <t>12625.txt</t>
  </si>
  <si>
    <t>Perhaps sprayed Planted Beets</t>
  </si>
  <si>
    <t>也许喷洒了种植甜菜</t>
  </si>
  <si>
    <t>12626.txt</t>
  </si>
  <si>
    <t>@ Any Sprinkler tapout</t>
  </si>
  <si>
    <t>12627.txt</t>
  </si>
  <si>
    <t>Copper Sprinkler #EW spraying +tapoutTrigger,1,1,2,2</t>
  </si>
  <si>
    <t>铜喷头 #EW spraying +tapoutTrigger,1,1,2,2</t>
  </si>
  <si>
    <t>12628.txt</t>
  </si>
  <si>
    <t>Copper Sprinkler #EW spraying +tapoutTrigger,1,1,4,4</t>
  </si>
  <si>
    <t>铜喷头 #EW spraying +tapoutTrigger,1,1,4,4</t>
  </si>
  <si>
    <t>12629.txt</t>
  </si>
  <si>
    <t>Copper Sprinkler #NS spraying +tapoutTrigger,1,1,2,2</t>
  </si>
  <si>
    <t>铜喷头 #NS spraying +tapoutTrigger,1,1,2,2</t>
  </si>
  <si>
    <t>12630.txt</t>
  </si>
  <si>
    <t>Copper Sprinkler #NS spraying +tapoutTrigger,1,1,4,4</t>
  </si>
  <si>
    <t>铜喷头 #NS spraying +tapoutTrigger,1,1,4,4</t>
  </si>
  <si>
    <t>12631.txt</t>
  </si>
  <si>
    <t>@ Perhaps EW Sprinkler waterE tapout (outdated)</t>
  </si>
  <si>
    <t>12632.txt</t>
  </si>
  <si>
    <t>@ Perhaps NS Sprinkler waterN tapout (outdated)</t>
  </si>
  <si>
    <t>12634.txt</t>
  </si>
  <si>
    <t>@ Pipe #EW</t>
  </si>
  <si>
    <t>12635.txt</t>
  </si>
  <si>
    <t>@ Pipe #EW #waterE</t>
  </si>
  <si>
    <t>12636.txt</t>
  </si>
  <si>
    <t>@ Pipe #EW #waterW</t>
  </si>
  <si>
    <t>12639.txt</t>
  </si>
  <si>
    <t>Ancient Brick Wall #pipe #EW</t>
  </si>
  <si>
    <t>古砖墙#pipe #EW</t>
  </si>
  <si>
    <t>12640.txt</t>
  </si>
  <si>
    <t>Ancient Brick Wall #pipe #EW #waterE</t>
  </si>
  <si>
    <t>古砖墙#pipe #EW #waterE</t>
  </si>
  <si>
    <t>12641.txt</t>
  </si>
  <si>
    <t>Ancient Brick Wall #pipe #EW #waterW</t>
  </si>
  <si>
    <t>古砖墙#pipe #EW #waterW</t>
  </si>
  <si>
    <t>12645.txt</t>
  </si>
  <si>
    <t>Ancient Stone Wall #pipe #EW</t>
  </si>
  <si>
    <t>古老的石墙#pipe #EW</t>
  </si>
  <si>
    <t>12646.txt</t>
  </si>
  <si>
    <t>Ancient Stone Wall #pipe #EW #waterE</t>
  </si>
  <si>
    <t>古老的石墙#pipe #EW #waterE</t>
  </si>
  <si>
    <t>12647.txt</t>
  </si>
  <si>
    <t>Ancient Stone Wall #pipe #EW #waterW</t>
  </si>
  <si>
    <t>古老的石墙#pipe #EW #waterW</t>
  </si>
  <si>
    <t>12648.txt</t>
  </si>
  <si>
    <t>Wattle Wall #pipe #EW</t>
  </si>
  <si>
    <t>荆墙#pipe #EW</t>
  </si>
  <si>
    <t>12649.txt</t>
  </si>
  <si>
    <t>Wattle Wall #pipe #EW #waterE</t>
  </si>
  <si>
    <t>荆墙#pipe #EW #waterE</t>
  </si>
  <si>
    <t>12650.txt</t>
  </si>
  <si>
    <t>Wattle Wall #pipe #EW #waterW</t>
  </si>
  <si>
    <t>荆墙#pipe #EW #waterW</t>
  </si>
  <si>
    <t>12651.txt</t>
  </si>
  <si>
    <t>Wattle Wall with Copper Pipe</t>
  </si>
  <si>
    <t>带铜管的荆墙</t>
  </si>
  <si>
    <t>12652.txt</t>
  </si>
  <si>
    <t>Wattle Wall #pipe #EW loose</t>
  </si>
  <si>
    <t>荆墙#pipe #EW loose</t>
  </si>
  <si>
    <t>12653.txt</t>
  </si>
  <si>
    <t>@ Wall #pipe loose</t>
  </si>
  <si>
    <t>12654.txt</t>
  </si>
  <si>
    <t>@ Wall with Copper Pipe</t>
  </si>
  <si>
    <t>12655.txt</t>
  </si>
  <si>
    <t>@ Wall for Copper Pipe</t>
  </si>
  <si>
    <t>12657.txt</t>
  </si>
  <si>
    <t>Ancient Stone Wall #pipe #EW loose</t>
  </si>
  <si>
    <t>古代石墙#pipe #EW loose</t>
  </si>
  <si>
    <t>12658.txt</t>
  </si>
  <si>
    <t>Ancient Brick Wall #pipe #EW loose</t>
  </si>
  <si>
    <t>古砖墙#pipe #EW loose</t>
  </si>
  <si>
    <t>12659.txt</t>
  </si>
  <si>
    <t>Ancient Brick Wall with Copper Pipe</t>
  </si>
  <si>
    <t>有铜管的古砖墙</t>
  </si>
  <si>
    <t>12660.txt</t>
  </si>
  <si>
    <t>Ancient Stone Wall with Copper Pipe</t>
  </si>
  <si>
    <t>有铜管的古老石墙</t>
  </si>
  <si>
    <t>12661.txt</t>
  </si>
  <si>
    <t>Copper Rod on Anvil</t>
  </si>
  <si>
    <t>铁砧上的铜棒</t>
  </si>
  <si>
    <t>12662.txt</t>
  </si>
  <si>
    <t>Crate of Garlic Bulbs</t>
  </si>
  <si>
    <t>一箱大蒜球茎</t>
  </si>
  <si>
    <t>12663.txt</t>
  </si>
  <si>
    <t>Full Crate of Garlic Bulbs</t>
  </si>
  <si>
    <t>整箱大蒜球茎</t>
  </si>
  <si>
    <t>12664.txt</t>
  </si>
  <si>
    <t>Crates of Garlic Bulbs #2</t>
  </si>
  <si>
    <t>成箱的大蒜球 #2</t>
  </si>
  <si>
    <t>12665.txt</t>
  </si>
  <si>
    <t>Crates of Garlic Bulbs #2 #Empty</t>
  </si>
  <si>
    <t>成箱的大蒜球 #2 #Empty</t>
  </si>
  <si>
    <t>12666.txt</t>
  </si>
  <si>
    <t>Crates of Garlic Bulbs #3</t>
  </si>
  <si>
    <t>成箱的大蒜球 #3</t>
  </si>
  <si>
    <t>12667.txt</t>
  </si>
  <si>
    <t>Crates of Garlic Bulbs #3 #Empty</t>
  </si>
  <si>
    <t>成箱的大蒜球 #3 #Empty</t>
  </si>
  <si>
    <t>12668.txt</t>
  </si>
  <si>
    <t>Full Crates of Garlic Bulbs #2</t>
  </si>
  <si>
    <t>整箱大蒜球 #2</t>
  </si>
  <si>
    <t>12669.txt</t>
  </si>
  <si>
    <t>Full Crates of Garlic Bulbs #3</t>
  </si>
  <si>
    <t>整箱大蒜球 #3</t>
  </si>
  <si>
    <t>12670.txt</t>
  </si>
  <si>
    <t>Crate of Cucumbers</t>
  </si>
  <si>
    <t>一箱黄瓜</t>
  </si>
  <si>
    <t>12671.txt</t>
  </si>
  <si>
    <t>Full Crate of Cucumbers</t>
  </si>
  <si>
    <t>满满一箱黄瓜</t>
  </si>
  <si>
    <t>12672.txt</t>
  </si>
  <si>
    <t>Crates of Cucumbers #2</t>
  </si>
  <si>
    <t>成箱的黄瓜#2</t>
  </si>
  <si>
    <t>12673.txt</t>
  </si>
  <si>
    <t>Crates of Cucumbers #2 #Empty</t>
  </si>
  <si>
    <t>一箱箱黄瓜 #2 #Empty</t>
  </si>
  <si>
    <t>12674.txt</t>
  </si>
  <si>
    <t>Crates of Cucumbers #3</t>
  </si>
  <si>
    <t>成箱的黄瓜 #3</t>
  </si>
  <si>
    <t>12675.txt</t>
  </si>
  <si>
    <t>Crates of Cucumbers #3 #Empty</t>
  </si>
  <si>
    <t>一箱箱黄瓜 #3 #Empty</t>
  </si>
  <si>
    <t>12676.txt</t>
  </si>
  <si>
    <t>Full Crates of Cucumbers #2</t>
  </si>
  <si>
    <t>满箱黄瓜#2</t>
  </si>
  <si>
    <t>12677.txt</t>
  </si>
  <si>
    <t>Full Crates of Cucumbers #3</t>
  </si>
  <si>
    <t>满箱黄瓜 #3</t>
  </si>
  <si>
    <t>12678.txt</t>
  </si>
  <si>
    <t>Crate of Beets</t>
  </si>
  <si>
    <t>一箱甜菜</t>
  </si>
  <si>
    <t>12679.txt</t>
  </si>
  <si>
    <t>Full Crate of Beets</t>
  </si>
  <si>
    <t>满箱甜菜</t>
  </si>
  <si>
    <t>12680.txt</t>
  </si>
  <si>
    <t>Crates of Beets #2</t>
  </si>
  <si>
    <t>成箱的甜菜#2</t>
  </si>
  <si>
    <t>12681.txt</t>
  </si>
  <si>
    <t>Crates of Beets #2 #Empty</t>
  </si>
  <si>
    <t>成箱的甜菜 #2 #Empty</t>
  </si>
  <si>
    <t>12682.txt</t>
  </si>
  <si>
    <t>Crates of Beets #3</t>
  </si>
  <si>
    <t>成箱的甜菜 #3</t>
  </si>
  <si>
    <t>12683.txt</t>
  </si>
  <si>
    <t>Crates of Beets #3 #Empty</t>
  </si>
  <si>
    <t>成箱的甜菜 #3 #Empty</t>
  </si>
  <si>
    <t>12684.txt</t>
  </si>
  <si>
    <t>Full Crates of Beets #2</t>
  </si>
  <si>
    <t>满箱甜菜 #2</t>
  </si>
  <si>
    <t>12685.txt</t>
  </si>
  <si>
    <t>Full Crates of Beets #3</t>
  </si>
  <si>
    <t>满箱甜菜 #3</t>
  </si>
  <si>
    <t>12686.txt</t>
  </si>
  <si>
    <t>Crate of Mushrooms</t>
  </si>
  <si>
    <t>一箱蘑菇</t>
  </si>
  <si>
    <t>12687.txt</t>
  </si>
  <si>
    <t>Full Crate of Mushrooms</t>
  </si>
  <si>
    <t>整箱蘑菇</t>
  </si>
  <si>
    <t>12688.txt</t>
  </si>
  <si>
    <t>Crates of Mushrooms #2</t>
  </si>
  <si>
    <t>一箱箱蘑菇 #2</t>
  </si>
  <si>
    <t>12689.txt</t>
  </si>
  <si>
    <t>Crates of Mushrooms #2 #Empty</t>
  </si>
  <si>
    <t>一箱蘑菇 #2 #Empty</t>
  </si>
  <si>
    <t>12690.txt</t>
  </si>
  <si>
    <t>Crates of Mushrooms #3</t>
  </si>
  <si>
    <t>一箱箱蘑菇 #3</t>
  </si>
  <si>
    <t>12691.txt</t>
  </si>
  <si>
    <t>Crates of Mushrooms #3 #Empty</t>
  </si>
  <si>
    <t>一箱蘑菇 #3 #Empty</t>
  </si>
  <si>
    <t>12692.txt</t>
  </si>
  <si>
    <t>Full Crates of Mushrooms #2</t>
  </si>
  <si>
    <t>满箱蘑菇 #2</t>
  </si>
  <si>
    <t>12693.txt</t>
  </si>
  <si>
    <t>Full Crates of Mushrooms #3</t>
  </si>
  <si>
    <t>满箱蘑菇#3</t>
  </si>
  <si>
    <t>12694.txt</t>
  </si>
  <si>
    <t>Crate of Cocoa Pods</t>
  </si>
  <si>
    <t>一箱可可豆荚</t>
  </si>
  <si>
    <t>12695.txt</t>
  </si>
  <si>
    <t>Full Crate of Cocoa Pods</t>
  </si>
  <si>
    <t>整箱可可豆荚</t>
  </si>
  <si>
    <t>12696.txt</t>
  </si>
  <si>
    <t>Crates of Cocoa Pods #2</t>
  </si>
  <si>
    <t>一箱可可豆荚#2</t>
  </si>
  <si>
    <t>12697.txt</t>
  </si>
  <si>
    <t>Crates of Cocoa Pods #2 #Empty</t>
  </si>
  <si>
    <t>一箱可可豆荚 #2 #Empty</t>
  </si>
  <si>
    <t>12698.txt</t>
  </si>
  <si>
    <t>Crates of Cocoa Pods #3</t>
  </si>
  <si>
    <t>成箱的可可豆荚 #3</t>
  </si>
  <si>
    <t>12699.txt</t>
  </si>
  <si>
    <t>Crates of Cocoa Pods #3 #Empty</t>
  </si>
  <si>
    <t>一箱可可豆荚 #3 #Empty</t>
  </si>
  <si>
    <t>12700.txt</t>
  </si>
  <si>
    <t>Full Crates of Cocoa Pods #2</t>
  </si>
  <si>
    <t>整箱可可豆荚#2</t>
  </si>
  <si>
    <t>12701.txt</t>
  </si>
  <si>
    <t>Full Crates of Cocoa Pods #3</t>
  </si>
  <si>
    <t>整箱可可豆荚 #3</t>
  </si>
  <si>
    <t>12703.txt</t>
  </si>
  <si>
    <t>Tabby Cat #pouncing</t>
  </si>
  <si>
    <t>虎斑猫#pouncing</t>
  </si>
  <si>
    <t>12704.txt</t>
  </si>
  <si>
    <t>White Cat #pouncing</t>
  </si>
  <si>
    <t>白猫#pouncing</t>
  </si>
  <si>
    <t>12705.txt</t>
  </si>
  <si>
    <t>Black Cat #pouncing</t>
  </si>
  <si>
    <t>黑猫#pouncing</t>
  </si>
  <si>
    <t>12706.txt</t>
  </si>
  <si>
    <t>Maine Coon Cat #pouncing</t>
  </si>
  <si>
    <t>缅因猫#pouncing</t>
  </si>
  <si>
    <t>12707.txt</t>
  </si>
  <si>
    <t>Calico Cat #pouncing</t>
  </si>
  <si>
    <t>印花布猫#pouncing</t>
  </si>
  <si>
    <t>12709.txt</t>
  </si>
  <si>
    <t>@ Cat - pouncing</t>
  </si>
  <si>
    <t>12710.txt</t>
  </si>
  <si>
    <t>Hunting Tabby Cat #+tapoutTrigger,1,1,3,3</t>
  </si>
  <si>
    <t>狩猎虎斑猫 #+tapoutTrigger,1,1,3,3</t>
  </si>
  <si>
    <t>12711.txt</t>
  </si>
  <si>
    <t>Hunting Maine Coon Cat #+tapoutTrigger,1,1,3,3</t>
  </si>
  <si>
    <t>狩猎缅因猫 #+tapoutTrigger,1,1,3,3</t>
  </si>
  <si>
    <t>12712.txt</t>
  </si>
  <si>
    <t>Hunting Black Cat #+tapoutTrigger,1,1,3,3</t>
  </si>
  <si>
    <t>狩猎黑猫 #+tapoutTrigger,1,1,3,3</t>
  </si>
  <si>
    <t>12713.txt</t>
  </si>
  <si>
    <t>Hunting White Cat #+tapoutTrigger,1,1,3,3</t>
  </si>
  <si>
    <t>狩猎白猫#+tapoutTrigger,1,1,3,3</t>
  </si>
  <si>
    <t>12714.txt</t>
  </si>
  <si>
    <t>Hunting Calico Cat #+tapoutTrigger,1,1,3,3</t>
  </si>
  <si>
    <t>狩猎印花布猫 #+tapoutTrigger,1,1,3,3</t>
  </si>
  <si>
    <t>12715.txt</t>
  </si>
  <si>
    <t>@ Cat - hunting</t>
  </si>
  <si>
    <t>12716.txt</t>
  </si>
  <si>
    <t>@ Cat Food Bowl</t>
  </si>
  <si>
    <t>12717.txt</t>
  </si>
  <si>
    <t>Perhaps Fed Calico Cat Outcome</t>
  </si>
  <si>
    <t>也许美联储的结果</t>
  </si>
  <si>
    <t>12718.txt</t>
  </si>
  <si>
    <t>Perhaps Fed White Cat Outcome</t>
  </si>
  <si>
    <t>也许美联储白猫结果</t>
  </si>
  <si>
    <t>12719.txt</t>
  </si>
  <si>
    <t>Perhaps Fed Black Cat Outcome</t>
  </si>
  <si>
    <t>也许是美联储黑猫结果</t>
  </si>
  <si>
    <t>12720.txt</t>
  </si>
  <si>
    <t>Perhaps Fed Maine Coon Cat Outcome</t>
  </si>
  <si>
    <t>也许美联储缅因猫的结果</t>
  </si>
  <si>
    <t>12721.txt</t>
  </si>
  <si>
    <t>Perhaps Fed Tabby Cat Outcome</t>
  </si>
  <si>
    <t>也许美联储虎斑猫的结果</t>
  </si>
  <si>
    <t>12722.txt</t>
  </si>
  <si>
    <t>Hunting Tabby Cat #readyToPounce</t>
  </si>
  <si>
    <t>狩猎虎斑猫#readyToPounce</t>
  </si>
  <si>
    <t>12723.txt</t>
  </si>
  <si>
    <t>Hunting White Cat #readyToPounce</t>
  </si>
  <si>
    <t>狩猎白猫#readyToPounce</t>
  </si>
  <si>
    <t>12724.txt</t>
  </si>
  <si>
    <t>Hunting Maine Coon Cat #readyToPounce</t>
  </si>
  <si>
    <t>狩猎缅因猫#readyToPounce</t>
  </si>
  <si>
    <t>12725.txt</t>
  </si>
  <si>
    <t>Hunting Calico Cat #readyToPounce</t>
  </si>
  <si>
    <t>狩猎印花布猫#readyToPounce</t>
  </si>
  <si>
    <t>12726.txt</t>
  </si>
  <si>
    <t>Hunting Black Cat #readyToPounce</t>
  </si>
  <si>
    <t>狩猎黑猫#readyToPounce</t>
  </si>
  <si>
    <t>12727.txt</t>
  </si>
  <si>
    <t>@ Cat - readyToPounce</t>
  </si>
  <si>
    <t>12728.txt</t>
  </si>
  <si>
    <t>Simmering Dirty Bee Wax</t>
  </si>
  <si>
    <t>煨脏蜂蜡</t>
  </si>
  <si>
    <t>12738.txt</t>
  </si>
  <si>
    <t>Derrick temp</t>
  </si>
  <si>
    <t>井架温度</t>
  </si>
  <si>
    <t>12743.txt</t>
  </si>
  <si>
    <t>Oil Rig #derrick #drilling</t>
  </si>
  <si>
    <t>石油钻机#derrick #drilling</t>
  </si>
  <si>
    <t>12744.txt</t>
  </si>
  <si>
    <t>Oil Rig #derrick #pumping</t>
  </si>
  <si>
    <t>石油钻机#derrick #pumping</t>
  </si>
  <si>
    <t>12745.txt</t>
  </si>
  <si>
    <t>Oil Rig #derrick</t>
  </si>
  <si>
    <t>石油钻机#derrick</t>
  </si>
  <si>
    <t>12746.txt</t>
  </si>
  <si>
    <t>Oil Rig #derrick #extended</t>
  </si>
  <si>
    <t>石油钻机#derrick #extended</t>
  </si>
  <si>
    <t>12747.txt</t>
  </si>
  <si>
    <t>Oil Rig #derrick #drilled</t>
  </si>
  <si>
    <t>石油钻机#derrick #drilled</t>
  </si>
  <si>
    <t>12748.txt</t>
  </si>
  <si>
    <t>Derrick</t>
  </si>
  <si>
    <t>德里克</t>
  </si>
  <si>
    <t>12749.txt</t>
  </si>
  <si>
    <t>Derrick #5</t>
  </si>
  <si>
    <t>井架 #5</t>
  </si>
  <si>
    <t>12750.txt</t>
  </si>
  <si>
    <t>Derrick #4</t>
  </si>
  <si>
    <t>井架 #4</t>
  </si>
  <si>
    <t>12751.txt</t>
  </si>
  <si>
    <t>Derrick #3</t>
  </si>
  <si>
    <t>井架 #3</t>
  </si>
  <si>
    <t>12752.txt</t>
  </si>
  <si>
    <t>Derrick #2</t>
  </si>
  <si>
    <t>井架 #2</t>
  </si>
  <si>
    <t>12753.txt</t>
  </si>
  <si>
    <t>Derrick #6</t>
  </si>
  <si>
    <t>井架 #6</t>
  </si>
  <si>
    <t>12754.txt</t>
  </si>
  <si>
    <t>Derrick #9</t>
  </si>
  <si>
    <t>井架 #9</t>
  </si>
  <si>
    <t>12755.txt</t>
  </si>
  <si>
    <t>Derrick #8</t>
  </si>
  <si>
    <t>井架 #8</t>
  </si>
  <si>
    <t>12756.txt</t>
  </si>
  <si>
    <t>Derrick #7</t>
  </si>
  <si>
    <t>井架 #7</t>
  </si>
  <si>
    <t>12757.txt</t>
  </si>
  <si>
    <t>Derrick #11</t>
  </si>
  <si>
    <t>井架#11</t>
  </si>
  <si>
    <t>12758.txt</t>
  </si>
  <si>
    <t>Derrick #10</t>
  </si>
  <si>
    <t>井架#10</t>
  </si>
  <si>
    <t>12759.txt</t>
  </si>
  <si>
    <t>Derrick #12</t>
  </si>
  <si>
    <t>井架 #12</t>
  </si>
  <si>
    <t>12760.txt</t>
  </si>
  <si>
    <t>Bore Hole #5</t>
  </si>
  <si>
    <t>钻孔#5</t>
  </si>
  <si>
    <t>12761.txt</t>
  </si>
  <si>
    <t>Bore Hole #4</t>
  </si>
  <si>
    <t>钻孔#4</t>
  </si>
  <si>
    <t>12762.txt</t>
  </si>
  <si>
    <t>Bore Hole #3</t>
  </si>
  <si>
    <t>钻孔#3</t>
  </si>
  <si>
    <t>12763.txt</t>
  </si>
  <si>
    <t>Bore Hole #2</t>
  </si>
  <si>
    <t>钻孔#2</t>
  </si>
  <si>
    <t>12764.txt</t>
  </si>
  <si>
    <t>Bore Hole #1</t>
  </si>
  <si>
    <t>钻孔#1</t>
  </si>
  <si>
    <t>12765.txt</t>
  </si>
  <si>
    <t>Bore Hole #6</t>
  </si>
  <si>
    <t>钻孔 #6</t>
  </si>
  <si>
    <t>12766.txt</t>
  </si>
  <si>
    <t>Traveling Oil #E</t>
  </si>
  <si>
    <t>旅行油#E</t>
  </si>
  <si>
    <t>12767.txt</t>
  </si>
  <si>
    <t>Traveling Oil #N</t>
  </si>
  <si>
    <t>旅行油#N</t>
  </si>
  <si>
    <t>12768.txt</t>
  </si>
  <si>
    <t>Traveling Oil #S</t>
  </si>
  <si>
    <t>旅行油#S</t>
  </si>
  <si>
    <t>12769.txt</t>
  </si>
  <si>
    <t>Traveling Oil #W</t>
  </si>
  <si>
    <t>旅行油#W</t>
  </si>
  <si>
    <t>12770.txt</t>
  </si>
  <si>
    <t>Try Traveling Oil #E</t>
  </si>
  <si>
    <t>尝试旅行油#E</t>
  </si>
  <si>
    <t>12771.txt</t>
  </si>
  <si>
    <t>Try Traveling Oil #N</t>
  </si>
  <si>
    <t>尝试旅行油#N</t>
  </si>
  <si>
    <t>12772.txt</t>
  </si>
  <si>
    <t>Try Traveling Oil #S</t>
  </si>
  <si>
    <t>尝试旅行油#S</t>
  </si>
  <si>
    <t>12773.txt</t>
  </si>
  <si>
    <t>Try Traveling Oil #W</t>
  </si>
  <si>
    <t>尝试旅行油#W</t>
  </si>
  <si>
    <t>12775.txt</t>
  </si>
  <si>
    <t>@ Pipe #NS</t>
  </si>
  <si>
    <t>12776.txt</t>
  </si>
  <si>
    <t>@ Wall #pipe #EW</t>
  </si>
  <si>
    <t>12777.txt</t>
  </si>
  <si>
    <t>@ Wall #pipe #EW #waterE</t>
  </si>
  <si>
    <t>12778.txt</t>
  </si>
  <si>
    <t>@ Wall #pipe #EW #waterW</t>
  </si>
  <si>
    <t>12779.txt</t>
  </si>
  <si>
    <t>@ Pipe #NS #waterN</t>
  </si>
  <si>
    <t>12780.txt</t>
  </si>
  <si>
    <t>@ Pipe #NS #waterS</t>
  </si>
  <si>
    <t>12781.txt</t>
  </si>
  <si>
    <t>Copper Pipe #NS #oilN</t>
  </si>
  <si>
    <t>铜管#NS #oilN</t>
  </si>
  <si>
    <t>12782.txt</t>
  </si>
  <si>
    <t>Copper Pipe #NS #oilS</t>
  </si>
  <si>
    <t>铜管#NS #oilS</t>
  </si>
  <si>
    <t>12783.txt</t>
  </si>
  <si>
    <t>Copper Pipe #EW #oilE</t>
  </si>
  <si>
    <t>铜管#EW #oilE</t>
  </si>
  <si>
    <t>12784.txt</t>
  </si>
  <si>
    <t>Copper Pipe #EW #oilW</t>
  </si>
  <si>
    <t>铜管#EW #oilW</t>
  </si>
  <si>
    <t>12785.txt</t>
  </si>
  <si>
    <t>@ Pipe #EW #oilE</t>
  </si>
  <si>
    <t>12786.txt</t>
  </si>
  <si>
    <t>@ Pipe #EW #oilW</t>
  </si>
  <si>
    <t>12787.txt</t>
  </si>
  <si>
    <t>Wattle Wall #pipe #EW #oilE</t>
  </si>
  <si>
    <t>荆墙#pipe #EW #oilE</t>
  </si>
  <si>
    <t>12788.txt</t>
  </si>
  <si>
    <t>Ancient Stone Wall #pipe #EW #oilE</t>
  </si>
  <si>
    <t>古代石墙#pipe #EW #oilE</t>
  </si>
  <si>
    <t>12789.txt</t>
  </si>
  <si>
    <t>Ancient Brick Wall #pipe #EW #oilE</t>
  </si>
  <si>
    <t>古砖墙#pipe #EW #oilE</t>
  </si>
  <si>
    <t>12790.txt</t>
  </si>
  <si>
    <t>@ Wall #pipe #EW #oilE</t>
  </si>
  <si>
    <t>12791.txt</t>
  </si>
  <si>
    <t>@ Wall #pipe #EW #oilW</t>
  </si>
  <si>
    <t>12792.txt</t>
  </si>
  <si>
    <t>Wattle Wall #pipe #EW #oilW</t>
  </si>
  <si>
    <t>荆墙#pipe #EW #oilW</t>
  </si>
  <si>
    <t>12793.txt</t>
  </si>
  <si>
    <t>Ancient Stone Wall #pipe #EW #oilW</t>
  </si>
  <si>
    <t>古老的石墙#pipe #EW #oilW</t>
  </si>
  <si>
    <t>12794.txt</t>
  </si>
  <si>
    <t>Ancient Brick Wall #pipe #EW #oilW</t>
  </si>
  <si>
    <t>古砖墙#pipe #EW #oilW</t>
  </si>
  <si>
    <t>12795.txt</t>
  </si>
  <si>
    <t>Copper Pipe #C #oilE</t>
  </si>
  <si>
    <t>铜管#C #oilE</t>
  </si>
  <si>
    <t>12796.txt</t>
  </si>
  <si>
    <t>Copper Pipe #C #oilN</t>
  </si>
  <si>
    <t>铜管#C #oilN</t>
  </si>
  <si>
    <t>12797.txt</t>
  </si>
  <si>
    <t>Copper Pipe #C #oilS</t>
  </si>
  <si>
    <t>铜管#C #oilS</t>
  </si>
  <si>
    <t>12798.txt</t>
  </si>
  <si>
    <t>Copper Pipe #C #oilW</t>
  </si>
  <si>
    <t>铜管#C #oilW</t>
  </si>
  <si>
    <t>12799.txt</t>
  </si>
  <si>
    <t>@ Pipe #NS #oilN</t>
  </si>
  <si>
    <t>12800.txt</t>
  </si>
  <si>
    <t>@ Pipe #NS #oilS</t>
  </si>
  <si>
    <t>12801.txt</t>
  </si>
  <si>
    <t>Copper Pipe #NE #oilE</t>
  </si>
  <si>
    <t>铜管#NE #oilE</t>
  </si>
  <si>
    <t>12802.txt</t>
  </si>
  <si>
    <t>Copper Pipe #NE #oilN</t>
  </si>
  <si>
    <t>铜管#NE #oilN</t>
  </si>
  <si>
    <t>12803.txt</t>
  </si>
  <si>
    <t>Copper Pipe #NW #oilN</t>
  </si>
  <si>
    <t>铜管#NW #oilN</t>
  </si>
  <si>
    <t>12804.txt</t>
  </si>
  <si>
    <t>Copper Pipe #NW #oilW</t>
  </si>
  <si>
    <t>铜管#NW #oilW</t>
  </si>
  <si>
    <t>12805.txt</t>
  </si>
  <si>
    <t>Copper Pipe #SE #oilE</t>
  </si>
  <si>
    <t>铜管#SE #oilE</t>
  </si>
  <si>
    <t>12806.txt</t>
  </si>
  <si>
    <t>Copper Pipe #SE #oilS</t>
  </si>
  <si>
    <t>铜管#SE #oilS</t>
  </si>
  <si>
    <t>12807.txt</t>
  </si>
  <si>
    <t>Copper Pipe #SW #oilS</t>
  </si>
  <si>
    <t>铜管#SW #oilS</t>
  </si>
  <si>
    <t>12808.txt</t>
  </si>
  <si>
    <t>Copper Pipe #SW #oilW</t>
  </si>
  <si>
    <t>铜管#SW #oilW</t>
  </si>
  <si>
    <t>12809.txt</t>
  </si>
  <si>
    <t>Oil Leakage #E</t>
  </si>
  <si>
    <t>漏油#E</t>
  </si>
  <si>
    <t>12810.txt</t>
  </si>
  <si>
    <t>Oil Leakage #N</t>
  </si>
  <si>
    <t>漏油#N</t>
  </si>
  <si>
    <t>12811.txt</t>
  </si>
  <si>
    <t>Oil Leakage #S</t>
  </si>
  <si>
    <t>漏油#S</t>
  </si>
  <si>
    <t>12812.txt</t>
  </si>
  <si>
    <t>Oil Leakage #W</t>
  </si>
  <si>
    <t>漏油#W</t>
  </si>
  <si>
    <t>12813.txt</t>
  </si>
  <si>
    <t>@ Water Leakage</t>
  </si>
  <si>
    <t>12814.txt</t>
  </si>
  <si>
    <t>@ Oil Leakage</t>
  </si>
  <si>
    <t>12815.txt</t>
  </si>
  <si>
    <t>@ Flowing Water</t>
  </si>
  <si>
    <t>12816.txt</t>
  </si>
  <si>
    <t>@ Flowing Oil</t>
  </si>
  <si>
    <t>12817.txt</t>
  </si>
  <si>
    <t>Fill Station #oil #E #empty</t>
  </si>
  <si>
    <t>加油站#oil #E #empty</t>
  </si>
  <si>
    <t>12819.txt</t>
  </si>
  <si>
    <t>Fill Station #oil #E #flowing</t>
  </si>
  <si>
    <t>加油站#oil #E #flowing</t>
  </si>
  <si>
    <t>12820.txt</t>
  </si>
  <si>
    <t>Fill Station #oil #E #full</t>
  </si>
  <si>
    <t>加油站#oil #E #full</t>
  </si>
  <si>
    <t>12821.txt</t>
  </si>
  <si>
    <t>Fill Station #oil #E #on</t>
  </si>
  <si>
    <t>加油站#oil #E #on</t>
  </si>
  <si>
    <t>12822.txt</t>
  </si>
  <si>
    <t>Fill Station #oil #W #empty</t>
  </si>
  <si>
    <t>加油站#oil #W #empty</t>
  </si>
  <si>
    <t>12823.txt</t>
  </si>
  <si>
    <t>Fill Station #oil #W #flowing</t>
  </si>
  <si>
    <t>加油站#oil #W #flowing</t>
  </si>
  <si>
    <t>12824.txt</t>
  </si>
  <si>
    <t>Fill Station #oil #W #full</t>
  </si>
  <si>
    <t>加油站#oil #W #full</t>
  </si>
  <si>
    <t>12825.txt</t>
  </si>
  <si>
    <t>Fill Station #oil #W #on</t>
  </si>
  <si>
    <t>加油站#oil #W #on</t>
  </si>
  <si>
    <t>12826.txt</t>
  </si>
  <si>
    <t>Fill Station #oil #E #justoff</t>
  </si>
  <si>
    <t>加油站#oil #E #justoff</t>
  </si>
  <si>
    <t>12827.txt</t>
  </si>
  <si>
    <t>Fill Station #oil #W #justoff</t>
  </si>
  <si>
    <t>加油站#oil #W #justoff</t>
  </si>
  <si>
    <t>12828.txt</t>
  </si>
  <si>
    <t>Fill Station #oil #N #empty</t>
  </si>
  <si>
    <t>加油站#oil #N #empty</t>
  </si>
  <si>
    <t>12829.txt</t>
  </si>
  <si>
    <t>Fill Station #oil #N #flowing</t>
  </si>
  <si>
    <t>加油站#oil #N #flowing</t>
  </si>
  <si>
    <t>12830.txt</t>
  </si>
  <si>
    <t>Fill Station #oil #N #full</t>
  </si>
  <si>
    <t>加油站#oil #N #full</t>
  </si>
  <si>
    <t>12831.txt</t>
  </si>
  <si>
    <t>Fill Station #oil #N #justoff</t>
  </si>
  <si>
    <t>加油站#oil #N #justoff</t>
  </si>
  <si>
    <t>12832.txt</t>
  </si>
  <si>
    <t>Fill Station #oil #N #on</t>
  </si>
  <si>
    <t>加油站#oil #N #on</t>
  </si>
  <si>
    <t>12833.txt</t>
  </si>
  <si>
    <t>Fill Station #oil #S #empty</t>
  </si>
  <si>
    <t>加油站#oil #S #empty</t>
  </si>
  <si>
    <t>12834.txt</t>
  </si>
  <si>
    <t>Fill Station #oil #S #flowing</t>
  </si>
  <si>
    <t>加油站#oil #S #flowing</t>
  </si>
  <si>
    <t>12835.txt</t>
  </si>
  <si>
    <t>Fill Station #oil #S #full</t>
  </si>
  <si>
    <t>加油站#oil #S #full</t>
  </si>
  <si>
    <t>12836.txt</t>
  </si>
  <si>
    <t>Fill Station #oil #S #justoff</t>
  </si>
  <si>
    <t>加油站#oil #S #justoff</t>
  </si>
  <si>
    <t>12837.txt</t>
  </si>
  <si>
    <t>Fill Station #oil #S #on</t>
  </si>
  <si>
    <t>加油站#oil #S #on</t>
  </si>
  <si>
    <t>12838.txt</t>
  </si>
  <si>
    <t>Copper Sprinkler #EW #oilLeaking</t>
  </si>
  <si>
    <t>铜喷头#EW #oilLeaking</t>
  </si>
  <si>
    <t>12839.txt</t>
  </si>
  <si>
    <t>Copper Sprinkler #NS #oilLeaking</t>
  </si>
  <si>
    <t>铜喷头#NS #oilLeaking</t>
  </si>
  <si>
    <t>12840.txt</t>
  </si>
  <si>
    <t>Copper Pipe #TE #NE</t>
  </si>
  <si>
    <t>铜管#TE #NE</t>
  </si>
  <si>
    <t>12841.txt</t>
  </si>
  <si>
    <t>Copper Pipe #TE #SE</t>
  </si>
  <si>
    <t>铜管#TE #SE</t>
  </si>
  <si>
    <t>12842.txt</t>
  </si>
  <si>
    <t>Copper Pipe #TN #NE</t>
  </si>
  <si>
    <t>铜管#TN #NE</t>
  </si>
  <si>
    <t>12843.txt</t>
  </si>
  <si>
    <t>Copper Pipe #TN #NW</t>
  </si>
  <si>
    <t>铜管#TN #NW</t>
  </si>
  <si>
    <t>12844.txt</t>
  </si>
  <si>
    <t>Copper Pipe #TS #SE</t>
  </si>
  <si>
    <t>铜管#TS #SE</t>
  </si>
  <si>
    <t>12845.txt</t>
  </si>
  <si>
    <t>Copper Pipe #TS #SW</t>
  </si>
  <si>
    <t>铜管#TS #SW</t>
  </si>
  <si>
    <t>12846.txt</t>
  </si>
  <si>
    <t>Copper Pipe #TW #SW</t>
  </si>
  <si>
    <t>铜管#TW #SW</t>
  </si>
  <si>
    <t>12847.txt</t>
  </si>
  <si>
    <t>Copper Pipe #TW #NW</t>
  </si>
  <si>
    <t>铜管#TW #NW</t>
  </si>
  <si>
    <t>12848.txt</t>
  </si>
  <si>
    <t>Copper Pipe #TE #NE #waterN</t>
  </si>
  <si>
    <t>铜管#TE #NE #waterN</t>
  </si>
  <si>
    <t>12849.txt</t>
  </si>
  <si>
    <t>Copper Pipe #TE #SE #waterS</t>
  </si>
  <si>
    <t>铜管#TE #SE #waterS</t>
  </si>
  <si>
    <t>12850.txt</t>
  </si>
  <si>
    <t>Copper Pipe #TW #NW #waterN</t>
  </si>
  <si>
    <t>铜管#TW #NW #waterN</t>
  </si>
  <si>
    <t>12851.txt</t>
  </si>
  <si>
    <t>Copper Pipe #TW #SW #waterS</t>
  </si>
  <si>
    <t>铜管#TW #SW #waterS</t>
  </si>
  <si>
    <t>12852.txt</t>
  </si>
  <si>
    <t>Copper Pipe #TN #NE #waterE</t>
  </si>
  <si>
    <t>铜管#TN #NE #waterE</t>
  </si>
  <si>
    <t>12853.txt</t>
  </si>
  <si>
    <t>Copper Pipe #TN #NW #waterW</t>
  </si>
  <si>
    <t>铜管#TN #NW #waterW</t>
  </si>
  <si>
    <t>12854.txt</t>
  </si>
  <si>
    <t>Copper Pipe #TS #SE #waterE</t>
  </si>
  <si>
    <t>铜管#TS #SE #waterE</t>
  </si>
  <si>
    <t>12855.txt</t>
  </si>
  <si>
    <t>Copper Pipe #TS #SW #waterW</t>
  </si>
  <si>
    <t>铜管#TS #SW #waterW</t>
  </si>
  <si>
    <t>12856.txt</t>
  </si>
  <si>
    <t>Copper Pipe #TE #NE #oilN</t>
  </si>
  <si>
    <t>铜管#TE #NE #oilN</t>
  </si>
  <si>
    <t>12857.txt</t>
  </si>
  <si>
    <t>Copper Pipe #TE #SE #oilS</t>
  </si>
  <si>
    <t>铜管#TE #SE #oilS</t>
  </si>
  <si>
    <t>12858.txt</t>
  </si>
  <si>
    <t>Copper Pipe #TN #NE #oilE</t>
  </si>
  <si>
    <t>铜管#TN #NE #oilE</t>
  </si>
  <si>
    <t>12859.txt</t>
  </si>
  <si>
    <t>Copper Pipe #TN #NW #oilW</t>
  </si>
  <si>
    <t>铜管#TN #NW #oilW</t>
  </si>
  <si>
    <t>12860.txt</t>
  </si>
  <si>
    <t>Copper Pipe #TS #SE #oilE</t>
  </si>
  <si>
    <t>铜管#TS #SE #oilE</t>
  </si>
  <si>
    <t>12861.txt</t>
  </si>
  <si>
    <t>Copper Pipe #TS #SW #oilW</t>
  </si>
  <si>
    <t>铜管#TS #SW #oilW</t>
  </si>
  <si>
    <t>12862.txt</t>
  </si>
  <si>
    <t>Copper Pipe #TW #NW #oilN</t>
  </si>
  <si>
    <t>铜管#TW #NW #oilN</t>
  </si>
  <si>
    <t>12863.txt</t>
  </si>
  <si>
    <t>Copper Pipe #TW #SW #oilS</t>
  </si>
  <si>
    <t>铜管#TW #SW #oilS</t>
  </si>
  <si>
    <t>12872.txt</t>
  </si>
  <si>
    <t>Copper Pipe #TE #NE #justInstalled</t>
  </si>
  <si>
    <t>铜管#TE #NE #justInstalled</t>
  </si>
  <si>
    <t>12873.txt</t>
  </si>
  <si>
    <t>Copper Pipe #TE #SE #justInstalled</t>
  </si>
  <si>
    <t>铜管#TE #SE #justInstalled</t>
  </si>
  <si>
    <t>12874.txt</t>
  </si>
  <si>
    <t>Copper Pipe #TN #NE #justInstalled</t>
  </si>
  <si>
    <t>铜管#TN #NE #justInstalled</t>
  </si>
  <si>
    <t>12875.txt</t>
  </si>
  <si>
    <t>Copper Pipe #TN #NW #justInstalled</t>
  </si>
  <si>
    <t>铜管#TN #NW #justInstalled</t>
  </si>
  <si>
    <t>12876.txt</t>
  </si>
  <si>
    <t>Copper Pipe #TS #SE #justInstalled</t>
  </si>
  <si>
    <t>铜管#TS #SE #justInstalled</t>
  </si>
  <si>
    <t>12877.txt</t>
  </si>
  <si>
    <t>Copper Pipe #TS #SW #justInstalled</t>
  </si>
  <si>
    <t>铜管#TS #SW #justInstalled</t>
  </si>
  <si>
    <t>12878.txt</t>
  </si>
  <si>
    <t>Copper Pipe #TW #NW #justInstalled</t>
  </si>
  <si>
    <t>铜管#TW #NW #justInstalled</t>
  </si>
  <si>
    <t>12879.txt</t>
  </si>
  <si>
    <t>Copper Pipe #TW #SW #justInstalled</t>
  </si>
  <si>
    <t>铜管#TW #SW #justInstalled</t>
  </si>
  <si>
    <t>12880.txt</t>
  </si>
  <si>
    <t>Copper Pipe #TE #NE loose</t>
  </si>
  <si>
    <t>铜管#TE #NE loose</t>
  </si>
  <si>
    <t>12881.txt</t>
  </si>
  <si>
    <t>Copper Pipe #TE #SE loose</t>
  </si>
  <si>
    <t>铜管#TE #SE loose</t>
  </si>
  <si>
    <t>12882.txt</t>
  </si>
  <si>
    <t>Copper Pipe #TN #NE loose</t>
  </si>
  <si>
    <t>铜管#TN #NE loose</t>
  </si>
  <si>
    <t>12883.txt</t>
  </si>
  <si>
    <t>Copper Pipe #TN #NW loose</t>
  </si>
  <si>
    <t>铜管#TN #NW loose</t>
  </si>
  <si>
    <t>12884.txt</t>
  </si>
  <si>
    <t>Copper Pipe #TS #SE loose</t>
  </si>
  <si>
    <t>铜管#TS #SE loose</t>
  </si>
  <si>
    <t>12885.txt</t>
  </si>
  <si>
    <t>Copper Pipe #TS #SW loose</t>
  </si>
  <si>
    <t>铜管#TS #SW loose</t>
  </si>
  <si>
    <t>12886.txt</t>
  </si>
  <si>
    <t>Copper Pipe #TW #NW loose</t>
  </si>
  <si>
    <t>铜管#TW #NW loose</t>
  </si>
  <si>
    <t>12887.txt</t>
  </si>
  <si>
    <t>Copper Pipe #TW #SW loose</t>
  </si>
  <si>
    <t>铜管#TW #SW loose</t>
  </si>
  <si>
    <t>12890.txt</t>
  </si>
  <si>
    <t>@ Installed Tjunction Pattern</t>
  </si>
  <si>
    <t>12891.txt</t>
  </si>
  <si>
    <t>@ Loose Tjunction Pattern</t>
  </si>
  <si>
    <t>12892.txt</t>
  </si>
  <si>
    <t>@ Pipe Tjunction Pattern</t>
  </si>
  <si>
    <t>12895.txt</t>
  </si>
  <si>
    <t>@ Flowing Tjunction Group</t>
  </si>
  <si>
    <t>12901.txt</t>
  </si>
  <si>
    <t>Ancient Brick Half Wall</t>
  </si>
  <si>
    <t>古砖半墙</t>
  </si>
  <si>
    <t>12902.txt</t>
  </si>
  <si>
    <t>12903.txt</t>
  </si>
  <si>
    <t>12904.txt</t>
  </si>
  <si>
    <t>Ancient Sandstone Half Wall</t>
  </si>
  <si>
    <t>古代砂岩半墙</t>
  </si>
  <si>
    <t>12905.txt</t>
  </si>
  <si>
    <t>12906.txt</t>
  </si>
  <si>
    <t>12907.txt</t>
  </si>
  <si>
    <t>Hanger#onRack</t>
  </si>
  <si>
    <t>衣架#onRack</t>
  </si>
  <si>
    <t>12908.txt</t>
  </si>
  <si>
    <t>Try Moving Track Cart #E</t>
  </si>
  <si>
    <t>尝试移动轨道车#E</t>
  </si>
  <si>
    <t>12909.txt</t>
  </si>
  <si>
    <t>Try Moving Track Cart #N</t>
  </si>
  <si>
    <t>尝试移动轨道车#N</t>
  </si>
  <si>
    <t>12910.txt</t>
  </si>
  <si>
    <t>Try Moving Track Cart #S</t>
  </si>
  <si>
    <t>尝试移动轨道车#S</t>
  </si>
  <si>
    <t>12911.txt</t>
  </si>
  <si>
    <t>Try Moving Track Cart #W</t>
  </si>
  <si>
    <t>尝试移动轨道车#W</t>
  </si>
  <si>
    <t>12912.txt</t>
  </si>
  <si>
    <t>North West Stakes</t>
  </si>
  <si>
    <t>西北锦标赛</t>
  </si>
  <si>
    <t>12913.txt</t>
  </si>
  <si>
    <t>North East Stakes</t>
  </si>
  <si>
    <t>东北锦标赛</t>
  </si>
  <si>
    <t>12914.txt</t>
  </si>
  <si>
    <t>South West Stakes</t>
  </si>
  <si>
    <t>西南锦标赛</t>
  </si>
  <si>
    <t>12915.txt</t>
  </si>
  <si>
    <t>South East Stakes</t>
  </si>
  <si>
    <t>东南锦标赛</t>
  </si>
  <si>
    <t>12927.txt</t>
  </si>
  <si>
    <t>Steel Adze #cooldown</t>
  </si>
  <si>
    <t>钢锛#cooldown</t>
  </si>
  <si>
    <t>12928.txt</t>
  </si>
  <si>
    <t>German Shepherd #digging</t>
  </si>
  <si>
    <t>德国牧羊犬#digging</t>
  </si>
  <si>
    <t>12929.txt</t>
  </si>
  <si>
    <t>Poodle #digging</t>
  </si>
  <si>
    <t>贵宾犬#digging</t>
  </si>
  <si>
    <t>12931.txt</t>
  </si>
  <si>
    <t>Beagle #digging</t>
  </si>
  <si>
    <t>比格犬#digging</t>
  </si>
  <si>
    <t>12932.txt</t>
  </si>
  <si>
    <t>Collie #digging</t>
  </si>
  <si>
    <t>牧羊犬#digging</t>
  </si>
  <si>
    <t>12933.txt</t>
  </si>
  <si>
    <t>Airedale #digging</t>
  </si>
  <si>
    <t>艾尔代尔#digging</t>
  </si>
  <si>
    <t>12934.txt</t>
  </si>
  <si>
    <t>Dachshund #digging</t>
  </si>
  <si>
    <t>腊肠犬#digging</t>
  </si>
  <si>
    <t>12935.txt</t>
  </si>
  <si>
    <t>Schnauser #digging</t>
  </si>
  <si>
    <t>雪纳瑟#digging</t>
  </si>
  <si>
    <t>12936.txt</t>
  </si>
  <si>
    <t>Pit Bull #digging</t>
  </si>
  <si>
    <t>斗牛犬#digging</t>
  </si>
  <si>
    <t>12937.txt</t>
  </si>
  <si>
    <t>Chihuahua #digging</t>
  </si>
  <si>
    <t>奇瓦瓦州#digging</t>
  </si>
  <si>
    <t>12938.txt</t>
  </si>
  <si>
    <t>German Shepherd #fetching</t>
  </si>
  <si>
    <t>德国牧羊犬#fetching</t>
  </si>
  <si>
    <t>12939.txt</t>
  </si>
  <si>
    <t>Collie #fetching</t>
  </si>
  <si>
    <t>牧羊犬#fetching</t>
  </si>
  <si>
    <t>12940.txt</t>
  </si>
  <si>
    <t>Pit Bull #fetching</t>
  </si>
  <si>
    <t>斗牛犬#fetching</t>
  </si>
  <si>
    <t>12941.txt</t>
  </si>
  <si>
    <t>Beagle #fetching</t>
  </si>
  <si>
    <t>比格犬#fetching</t>
  </si>
  <si>
    <t>12942.txt</t>
  </si>
  <si>
    <t>Airedale #fetching</t>
  </si>
  <si>
    <t>艾尔代尔#fetching</t>
  </si>
  <si>
    <t>12943.txt</t>
  </si>
  <si>
    <t>Poodle #fetching</t>
  </si>
  <si>
    <t>贵宾犬#fetching</t>
  </si>
  <si>
    <t>12944.txt</t>
  </si>
  <si>
    <t>Schnauser #fetching</t>
  </si>
  <si>
    <t>雪纳瑟#fetching</t>
  </si>
  <si>
    <t>12945.txt</t>
  </si>
  <si>
    <t>Dachshund #fetching</t>
  </si>
  <si>
    <t>腊肠犬#fetching</t>
  </si>
  <si>
    <t>12946.txt</t>
  </si>
  <si>
    <t>Chihuahua #fetching</t>
  </si>
  <si>
    <t>奇瓦瓦州#fetching</t>
  </si>
  <si>
    <t>12947.txt</t>
  </si>
  <si>
    <t>German Shepherd #startFetching</t>
  </si>
  <si>
    <t>德国牧羊犬#startFetching</t>
  </si>
  <si>
    <t>12949.txt</t>
  </si>
  <si>
    <t>German Shepherd #holdingBurdock</t>
  </si>
  <si>
    <t>德国牧羊犬#holdingBurdock</t>
  </si>
  <si>
    <t>12950.txt</t>
  </si>
  <si>
    <t>German Shepherd #holdingWildOnion</t>
  </si>
  <si>
    <t>德国牧羊犬#holdingWildOnion</t>
  </si>
  <si>
    <t>12951.txt</t>
  </si>
  <si>
    <t>German Shepherd #holdingWildBeet</t>
  </si>
  <si>
    <t>德国牧羊犬#holdingWildBeet</t>
  </si>
  <si>
    <t>12952.txt</t>
  </si>
  <si>
    <t>German Shepherd #holdingWildGarlic</t>
  </si>
  <si>
    <t>德国牧羊犬#holdingWildGarlic</t>
  </si>
  <si>
    <t>12953.txt</t>
  </si>
  <si>
    <t>German Shepherd #holdingWildPepper</t>
  </si>
  <si>
    <t>德国牧羊犬#holdingWildPepper</t>
  </si>
  <si>
    <t>12954.txt</t>
  </si>
  <si>
    <t>German Shepherd #holdingWildCarrot</t>
  </si>
  <si>
    <t>德国牧羊犬#holdingWildCarrot</t>
  </si>
  <si>
    <t>12955.txt</t>
  </si>
  <si>
    <t>German Shepherd #holdingStick</t>
  </si>
  <si>
    <t>德国牧羊犬#holdingStick</t>
  </si>
  <si>
    <t>12956.txt</t>
  </si>
  <si>
    <t>Random Items Dug Up by German Shepherd</t>
  </si>
  <si>
    <t>德国牧羊犬挖出的随机物品</t>
  </si>
  <si>
    <t>12957.txt</t>
  </si>
  <si>
    <t>@ German Shepherd Digging Pattern</t>
  </si>
  <si>
    <t>12958.txt</t>
  </si>
  <si>
    <t>@ Dog Dug Objects Pattern</t>
  </si>
  <si>
    <t>12959.txt</t>
  </si>
  <si>
    <t>Dog Stick #thrown</t>
  </si>
  <si>
    <t>狗棒#thrown</t>
  </si>
  <si>
    <t>12961.txt</t>
  </si>
  <si>
    <t>Poodle #startFetching</t>
  </si>
  <si>
    <t>贵宾犬#startFetching</t>
  </si>
  <si>
    <t>12962.txt</t>
  </si>
  <si>
    <t>Beagle #startFetching</t>
  </si>
  <si>
    <t>比格犬#startFetching</t>
  </si>
  <si>
    <t>12963.txt</t>
  </si>
  <si>
    <t>Collie #startFetching</t>
  </si>
  <si>
    <t>牧羊犬#startFetching</t>
  </si>
  <si>
    <t>12964.txt</t>
  </si>
  <si>
    <t>Airedale #startFetching</t>
  </si>
  <si>
    <t>12965.txt</t>
  </si>
  <si>
    <t>Dachshund #startFetching</t>
  </si>
  <si>
    <t>腊肠犬#startFetching</t>
  </si>
  <si>
    <t>12966.txt</t>
  </si>
  <si>
    <t>Schnauser #startFetching</t>
  </si>
  <si>
    <t>雪纳用户#startFetching</t>
  </si>
  <si>
    <t>12967.txt</t>
  </si>
  <si>
    <t>Pit Bull #startFetching</t>
  </si>
  <si>
    <t>比特斗牛#startFetching</t>
  </si>
  <si>
    <t>12968.txt</t>
  </si>
  <si>
    <t>Chihuahua #startFetching</t>
  </si>
  <si>
    <t>奇瓦瓦#startFetching</t>
  </si>
  <si>
    <t>12969.txt</t>
  </si>
  <si>
    <t>Collie #holdingStick</t>
  </si>
  <si>
    <t>牧羊犬#holdingStick</t>
  </si>
  <si>
    <t>12970.txt</t>
  </si>
  <si>
    <t>Collie #holdingWildOnion</t>
  </si>
  <si>
    <t>牧羊犬#holdingWildOnion</t>
  </si>
  <si>
    <t>12971.txt</t>
  </si>
  <si>
    <t>Collie #holdingWildBeet</t>
  </si>
  <si>
    <t>牧羊犬#holdingWildBeet</t>
  </si>
  <si>
    <t>12972.txt</t>
  </si>
  <si>
    <t>Collie #holdingWildGarlic</t>
  </si>
  <si>
    <t>牧羊犬#holdingWildGarlic</t>
  </si>
  <si>
    <t>12973.txt</t>
  </si>
  <si>
    <t>Collie #holdingWildPepper</t>
  </si>
  <si>
    <t>牧羊犬#holdingWildPepper</t>
  </si>
  <si>
    <t>12974.txt</t>
  </si>
  <si>
    <t>Collie #holdingWildCarrot</t>
  </si>
  <si>
    <t>牧羊犬#holdingWildCarrot</t>
  </si>
  <si>
    <t>12976.txt</t>
  </si>
  <si>
    <t>@ Collie Digging Pattern</t>
  </si>
  <si>
    <t>12977.txt</t>
  </si>
  <si>
    <t>Collie #holdingBurdock</t>
  </si>
  <si>
    <t>牧羊犬#holdingBurdock</t>
  </si>
  <si>
    <t>12978.txt</t>
  </si>
  <si>
    <t>Random Items Dug Up by Poodle</t>
  </si>
  <si>
    <t>贵宾犬挖出的随机物品</t>
  </si>
  <si>
    <t>12979.txt</t>
  </si>
  <si>
    <t>Random Items Dug Up by Collie</t>
  </si>
  <si>
    <t>牧羊犬挖出的随机物品</t>
  </si>
  <si>
    <t>12980.txt</t>
  </si>
  <si>
    <t>Poodle #holdingStick</t>
  </si>
  <si>
    <t>贵宾犬#holdingStick</t>
  </si>
  <si>
    <t>12981.txt</t>
  </si>
  <si>
    <t>Poodle #holdingBurdock</t>
  </si>
  <si>
    <t>贵宾犬#holdingBurdock</t>
  </si>
  <si>
    <t>12982.txt</t>
  </si>
  <si>
    <t>Poodle #holdingWildOnion</t>
  </si>
  <si>
    <t>贵宾犬#holdingWildOnion</t>
  </si>
  <si>
    <t>12983.txt</t>
  </si>
  <si>
    <t>Poodle #holdingWildBeet</t>
  </si>
  <si>
    <t>贵宾犬#holdingWildBeet</t>
  </si>
  <si>
    <t>12984.txt</t>
  </si>
  <si>
    <t>Poodle #holdingWildGarlic</t>
  </si>
  <si>
    <t>贵宾犬#holdingWildGarlic</t>
  </si>
  <si>
    <t>12985.txt</t>
  </si>
  <si>
    <t>Poodle #holdingWildPepper</t>
  </si>
  <si>
    <t>贵宾犬#holdingWildPepper</t>
  </si>
  <si>
    <t>12986.txt</t>
  </si>
  <si>
    <t>Poodle #holdingWildCarrot</t>
  </si>
  <si>
    <t>贵宾犬#holdingWildCarrot</t>
  </si>
  <si>
    <t>12987.txt</t>
  </si>
  <si>
    <t>@ Poodle Digging Pattern</t>
  </si>
  <si>
    <t>12988.txt</t>
  </si>
  <si>
    <t>Airedale #holdingStick</t>
  </si>
  <si>
    <t>12989.txt</t>
  </si>
  <si>
    <t>Airedale #holdingBurdock</t>
  </si>
  <si>
    <t>12990.txt</t>
  </si>
  <si>
    <t>Airedale #holdingWildOnion</t>
  </si>
  <si>
    <t>12991.txt</t>
  </si>
  <si>
    <t>Airedale #holdingWildBeet</t>
  </si>
  <si>
    <t>12992.txt</t>
  </si>
  <si>
    <t>Airedale #holdingWildGarlic</t>
  </si>
  <si>
    <t>12993.txt</t>
  </si>
  <si>
    <t>Airedale #holdingWildPepper</t>
  </si>
  <si>
    <t>12994.txt</t>
  </si>
  <si>
    <t>Airedale #holdingWildCarrot</t>
  </si>
  <si>
    <t>12995.txt</t>
  </si>
  <si>
    <t>Random Items Dug Up by Airedale</t>
  </si>
  <si>
    <t>Airedale 挖出的随机物品</t>
  </si>
  <si>
    <t>12996.txt</t>
  </si>
  <si>
    <t>@ Airedale Digging Pattern</t>
  </si>
  <si>
    <t>12997.txt</t>
  </si>
  <si>
    <t>Beagle #holdingStick</t>
  </si>
  <si>
    <t>比格犬#holdingStick</t>
  </si>
  <si>
    <t>12998.txt</t>
  </si>
  <si>
    <t>Beagle #holdingBurdock</t>
  </si>
  <si>
    <t>比格犬#holdingBurdock</t>
  </si>
  <si>
    <t>12999.txt</t>
  </si>
  <si>
    <t>Beagle #holdingWildOnion</t>
  </si>
  <si>
    <t>比格犬#holdingWildOnion</t>
  </si>
  <si>
    <t>13000.txt</t>
  </si>
  <si>
    <t>Beagle #holdingWildBeet</t>
  </si>
  <si>
    <t>比格犬#holdingWildBeet</t>
  </si>
  <si>
    <t>13001.txt</t>
  </si>
  <si>
    <t>Beagle #holdingWildGarlic</t>
  </si>
  <si>
    <t>比格犬#holdingWildGarlic</t>
  </si>
  <si>
    <t>13002.txt</t>
  </si>
  <si>
    <t>Beagle #holdingWildPepper</t>
  </si>
  <si>
    <t>比格犬#holdingWildPepper</t>
  </si>
  <si>
    <t>13003.txt</t>
  </si>
  <si>
    <t>Beagle #holdingWildCarrot</t>
  </si>
  <si>
    <t>比格犬#holdingWildCarrot</t>
  </si>
  <si>
    <t>13004.txt</t>
  </si>
  <si>
    <t>Random Items Dug Up by Beagle</t>
  </si>
  <si>
    <t>比格犬挖出的随机物品</t>
  </si>
  <si>
    <t>13005.txt</t>
  </si>
  <si>
    <t>@ Beagle Digging Pattern</t>
  </si>
  <si>
    <t>13006.txt</t>
  </si>
  <si>
    <t>Schnauser #holdingStick</t>
  </si>
  <si>
    <t>雪纳瑟#holdingStick</t>
  </si>
  <si>
    <t>13007.txt</t>
  </si>
  <si>
    <t>Schnauser #holdingBurdock</t>
  </si>
  <si>
    <t>雪纳瑟#holdingBurdock</t>
  </si>
  <si>
    <t>13008.txt</t>
  </si>
  <si>
    <t>Schnauser #holdingWildOnion</t>
  </si>
  <si>
    <t>雪纳瑟#holdingWildOnion</t>
  </si>
  <si>
    <t>13009.txt</t>
  </si>
  <si>
    <t>Schnauser #holdingWildBeet</t>
  </si>
  <si>
    <t>雪纳瑟#holdingWildBeet</t>
  </si>
  <si>
    <t>13010.txt</t>
  </si>
  <si>
    <t>Schnauser #holdingWildGarlic</t>
  </si>
  <si>
    <t>雪纳瑟#holdingWildGarlic</t>
  </si>
  <si>
    <t>13011.txt</t>
  </si>
  <si>
    <t>Schnauser #holdingWildPepper</t>
  </si>
  <si>
    <t>雪纳瑟#holdingWildPepper</t>
  </si>
  <si>
    <t>13012.txt</t>
  </si>
  <si>
    <t>Schnauser #holdingWildCarrot</t>
  </si>
  <si>
    <t>雪纳瑟#holdingWildCarrot</t>
  </si>
  <si>
    <t>13013.txt</t>
  </si>
  <si>
    <t>Random Items Dug Up by Schnauser</t>
  </si>
  <si>
    <t>雪纳瑟挖出的随机物品</t>
  </si>
  <si>
    <t>13014.txt</t>
  </si>
  <si>
    <t>@ Schnauser Digging Pattern</t>
  </si>
  <si>
    <t>13015.txt</t>
  </si>
  <si>
    <t>Dachshund #holdingStick</t>
  </si>
  <si>
    <t>腊肠犬#holdingStick</t>
  </si>
  <si>
    <t>13016.txt</t>
  </si>
  <si>
    <t>Dachshund #holdingBurdock</t>
  </si>
  <si>
    <t>腊肠犬#holdingBurdock</t>
  </si>
  <si>
    <t>13017.txt</t>
  </si>
  <si>
    <t>Dachshund #holdingWildOnion</t>
  </si>
  <si>
    <t>腊肠犬#holdingWildOnion</t>
  </si>
  <si>
    <t>13018.txt</t>
  </si>
  <si>
    <t>Dachshund #holdingWildBeet</t>
  </si>
  <si>
    <t>腊肠犬#holdingWildBeet</t>
  </si>
  <si>
    <t>13019.txt</t>
  </si>
  <si>
    <t>Dachshund #holdingWildGarlic</t>
  </si>
  <si>
    <t>腊肠犬#holdingWildGarlic</t>
  </si>
  <si>
    <t>13020.txt</t>
  </si>
  <si>
    <t>Dachshund #holdingWildPepper</t>
  </si>
  <si>
    <t>腊肠犬#holdingWildPepper</t>
  </si>
  <si>
    <t>13021.txt</t>
  </si>
  <si>
    <t>Dachshund #holdingWildCarrot</t>
  </si>
  <si>
    <t>腊肠犬#holdingWildCarrot</t>
  </si>
  <si>
    <t>13022.txt</t>
  </si>
  <si>
    <t>Random Items Dug Up by Dachshund</t>
  </si>
  <si>
    <t>腊肠犬挖出的随机物品</t>
  </si>
  <si>
    <t>13023.txt</t>
  </si>
  <si>
    <t>@ Dachshund Digging Pattern</t>
  </si>
  <si>
    <t>13024.txt</t>
  </si>
  <si>
    <t>Pit Bull #holdingStick</t>
  </si>
  <si>
    <t>比特斗牛#holdingStick</t>
  </si>
  <si>
    <t>13025.txt</t>
  </si>
  <si>
    <t>Pit Bull #holdingBurdock</t>
  </si>
  <si>
    <t>斗牛犬#holdingBurdock</t>
  </si>
  <si>
    <t>13026.txt</t>
  </si>
  <si>
    <t>Pit Bull #holdingWildOnion</t>
  </si>
  <si>
    <t>斗牛犬#holdingWildOnion</t>
  </si>
  <si>
    <t>13027.txt</t>
  </si>
  <si>
    <t>Pit Bull #holdingWildBeet</t>
  </si>
  <si>
    <t>斗牛犬#holdingWildBeet</t>
  </si>
  <si>
    <t>13028.txt</t>
  </si>
  <si>
    <t>Pit Bull #holdingWildGarlic</t>
  </si>
  <si>
    <t>斗牛犬#holdingWildGarlic</t>
  </si>
  <si>
    <t>13029.txt</t>
  </si>
  <si>
    <t>Pit Bull #holdingWildPepper</t>
  </si>
  <si>
    <t>斗牛犬#holdingWildPepper</t>
  </si>
  <si>
    <t>13030.txt</t>
  </si>
  <si>
    <t>Pit Bull #holdingWildCarrot</t>
  </si>
  <si>
    <t>斗牛犬#holdingWildCarrot</t>
  </si>
  <si>
    <t>13031.txt</t>
  </si>
  <si>
    <t>Random Items Dug Up by Pit Bull</t>
  </si>
  <si>
    <t>斗牛犬挖出的随机物品</t>
  </si>
  <si>
    <t>13032.txt</t>
  </si>
  <si>
    <t>@ Pit Bull Digging Pattern</t>
  </si>
  <si>
    <t>13033.txt</t>
  </si>
  <si>
    <t>Chihuahua #holdingStick</t>
  </si>
  <si>
    <t>奇瓦瓦#holdingStick</t>
  </si>
  <si>
    <t>13034.txt</t>
  </si>
  <si>
    <t>Chihuahua #holdingBurdock</t>
  </si>
  <si>
    <t>奇瓦瓦#holdingBurdock</t>
  </si>
  <si>
    <t>13035.txt</t>
  </si>
  <si>
    <t>Chihuahua #holdingWildOnion</t>
  </si>
  <si>
    <t>奇瓦瓦#holdingWildOnion</t>
  </si>
  <si>
    <t>13036.txt</t>
  </si>
  <si>
    <t>Chihuahua #holdingWildBeet</t>
  </si>
  <si>
    <t>奇瓦瓦#holdingWildBeet</t>
  </si>
  <si>
    <t>13037.txt</t>
  </si>
  <si>
    <t>Chihuahua #holdingWildGarlic</t>
  </si>
  <si>
    <t>奇瓦瓦#holdingWildGarlic</t>
  </si>
  <si>
    <t>13038.txt</t>
  </si>
  <si>
    <t>Chihuahua #holdingWildPepper</t>
  </si>
  <si>
    <t>奇瓦瓦#holdingWildPepper</t>
  </si>
  <si>
    <t>13039.txt</t>
  </si>
  <si>
    <t>Chihuahua #holdingWildCarrot</t>
  </si>
  <si>
    <t>奇瓦瓦#holdingWildCarrot</t>
  </si>
  <si>
    <t>13040.txt</t>
  </si>
  <si>
    <t>Random Items Dug Up by Chihuahua</t>
  </si>
  <si>
    <t>吉娃娃挖出的随机物品</t>
  </si>
  <si>
    <t>13041.txt</t>
  </si>
  <si>
    <t>@ Chihuahua Digging Pattern</t>
  </si>
  <si>
    <t>13042.txt</t>
  </si>
  <si>
    <t>Stakes #fromTrackBuilding</t>
  </si>
  <si>
    <t>赌注#fromTrackBuilding</t>
  </si>
  <si>
    <t>13043.txt</t>
  </si>
  <si>
    <t>Stack of Bricks#3</t>
  </si>
  <si>
    <t>一堆砖#3</t>
  </si>
  <si>
    <t>13044.txt</t>
  </si>
  <si>
    <t>Stack of Bricks#2</t>
  </si>
  <si>
    <t>一堆砖#2</t>
  </si>
  <si>
    <t>13045.txt</t>
  </si>
  <si>
    <t>Sack of Rice #5</t>
  </si>
  <si>
    <t>一袋大米#5</t>
  </si>
  <si>
    <t>13046.txt</t>
  </si>
  <si>
    <t>Sack of Rice #4</t>
  </si>
  <si>
    <t>一袋大米#4</t>
  </si>
  <si>
    <t>13047.txt</t>
  </si>
  <si>
    <t>Sack of Rice #3</t>
  </si>
  <si>
    <t>一袋大米 #3</t>
  </si>
  <si>
    <t>13048.txt</t>
  </si>
  <si>
    <t>Sack of Rice #2</t>
  </si>
  <si>
    <t>一袋大米#2</t>
  </si>
  <si>
    <t>13049.txt</t>
  </si>
  <si>
    <t>Sack of Rice #1</t>
  </si>
  <si>
    <t>一袋大米 #1</t>
  </si>
  <si>
    <t>13050.txt</t>
  </si>
  <si>
    <t>Tutorial Stone# tutorial 5001</t>
  </si>
  <si>
    <t>教程石# tutorial 5001</t>
  </si>
  <si>
    <t>13051.txt</t>
  </si>
  <si>
    <t>Wild Onion #tutorial</t>
  </si>
  <si>
    <t>野洋葱#tutorial</t>
  </si>
  <si>
    <t>13052.txt</t>
  </si>
  <si>
    <t>13053.txt</t>
  </si>
  <si>
    <t>Fire#tutorial 21 done</t>
  </si>
  <si>
    <t>13054.txt</t>
  </si>
  <si>
    <t>Tutorial Stone# tutorial 1903</t>
  </si>
  <si>
    <t>教程石# tutorial 1903</t>
  </si>
  <si>
    <t>13055.txt</t>
  </si>
  <si>
    <t>13056.txt</t>
  </si>
  <si>
    <t>Hot Coals# Tut_only final burns forever</t>
  </si>
  <si>
    <t>热煤# Tut_only final burns forever</t>
  </si>
  <si>
    <t>13057.txt</t>
  </si>
  <si>
    <t>Fishing Pot#just made</t>
  </si>
  <si>
    <t>钓鱼锅#just made</t>
  </si>
  <si>
    <t>13058.txt</t>
  </si>
  <si>
    <t>Stone Arch with Ivy cutting</t>
  </si>
  <si>
    <t>常春藤切割的石拱门</t>
  </si>
  <si>
    <t>13059.txt</t>
  </si>
  <si>
    <t>Stone Arch with Ivy Sprout</t>
  </si>
  <si>
    <t>长满常春藤芽的石拱门</t>
  </si>
  <si>
    <t>13060.txt</t>
  </si>
  <si>
    <t>Stone Arch with Budding Ivy</t>
  </si>
  <si>
    <t>长满常春藤的石拱门</t>
  </si>
  <si>
    <t>13061.txt</t>
  </si>
  <si>
    <t>Stone Arch with Ivy</t>
  </si>
  <si>
    <t>有常春藤的石拱门</t>
  </si>
  <si>
    <t>13062.txt</t>
  </si>
  <si>
    <t>Stone Arch with Soil</t>
  </si>
  <si>
    <t>带土的石拱门</t>
  </si>
  <si>
    <t>13063.txt</t>
  </si>
  <si>
    <t>Stone Arch#ivyGone</t>
  </si>
  <si>
    <t>石拱门#ivyGone</t>
  </si>
  <si>
    <t>13067.txt</t>
  </si>
  <si>
    <t>(outdated) Table Tree Pit#+useOnContained</t>
  </si>
  <si>
    <t>#+useOnContained</t>
  </si>
  <si>
    <t>13068.txt</t>
  </si>
  <si>
    <t>(outdated) Table Tree Pit With Basket#+useOnContained</t>
  </si>
  <si>
    <t>13069.txt</t>
  </si>
  <si>
    <t>@ +contTreePit</t>
  </si>
  <si>
    <t>13070.txt</t>
  </si>
  <si>
    <t>(outdated) Ground Tree Pit#+useOnContained</t>
  </si>
  <si>
    <t>13071.txt</t>
  </si>
  <si>
    <t>Basket#justPickerUp</t>
  </si>
  <si>
    <t>篮子#justPickerUp</t>
  </si>
  <si>
    <t>13072.txt</t>
  </si>
  <si>
    <t>@ +contTreePitWithSoil</t>
  </si>
  <si>
    <t>13073.txt</t>
  </si>
  <si>
    <t>(outdated) Ground Tree Pit With Basket#+useOnContained</t>
  </si>
  <si>
    <t>13074.txt</t>
  </si>
  <si>
    <t>Maple Tree in Tree Pit</t>
  </si>
  <si>
    <t>树坑里的枫树</t>
  </si>
  <si>
    <t>13075.txt</t>
  </si>
  <si>
    <t>Lombardy Poplar Tree in Tree Pit</t>
  </si>
  <si>
    <t>树坑中的伦巴第白杨树</t>
  </si>
  <si>
    <t>13076.txt</t>
  </si>
  <si>
    <t>White Pine Tree in Tree Pit</t>
  </si>
  <si>
    <t>树坑里的白松树</t>
  </si>
  <si>
    <t>13077.txt</t>
  </si>
  <si>
    <t>Yew Tree in Tree Pit</t>
  </si>
  <si>
    <t>树坑中的紫杉树</t>
  </si>
  <si>
    <t>13078.txt</t>
  </si>
  <si>
    <t>Mango Tree in Tree Pit</t>
  </si>
  <si>
    <t>树坑里的芒果树</t>
  </si>
  <si>
    <t>13079.txt</t>
  </si>
  <si>
    <t>Juniper Tree in Tree Pit</t>
  </si>
  <si>
    <t>树坑中的杜松树</t>
  </si>
  <si>
    <t>13080.txt</t>
  </si>
  <si>
    <t>Rubber Tree in Tree Pit</t>
  </si>
  <si>
    <t>树坑里的橡胶树</t>
  </si>
  <si>
    <t>13081.txt</t>
  </si>
  <si>
    <t>Apple Tree in Tree Pit</t>
  </si>
  <si>
    <t>树坑里的苹果树</t>
  </si>
  <si>
    <t>13082.txt</t>
  </si>
  <si>
    <t>Autumn Apple Tree in Tree Pit</t>
  </si>
  <si>
    <t>树坑里的秋天苹果树</t>
  </si>
  <si>
    <t>13083.txt</t>
  </si>
  <si>
    <t>Winter Apple Tree in Tree Pit</t>
  </si>
  <si>
    <t>树坑里的冬天苹果树</t>
  </si>
  <si>
    <t>13084.txt</t>
  </si>
  <si>
    <t>Flowering Apple Tree in Tree Pit</t>
  </si>
  <si>
    <t>树坑里开花的苹果树</t>
  </si>
  <si>
    <t>13085.txt</t>
  </si>
  <si>
    <t>Orange Tree in Tree Pit</t>
  </si>
  <si>
    <t>树坑里的橘子树</t>
  </si>
  <si>
    <t>13086.txt</t>
  </si>
  <si>
    <t>Autumn Orange Tree in Tree Pit</t>
  </si>
  <si>
    <t>树坑里的秋橙树</t>
  </si>
  <si>
    <t>13087.txt</t>
  </si>
  <si>
    <t>Winter Orange Tree in Tree Pit</t>
  </si>
  <si>
    <t>树坑里的冬橙树</t>
  </si>
  <si>
    <t>13088.txt</t>
  </si>
  <si>
    <t>Flowering Orange Tree in Tree Pit</t>
  </si>
  <si>
    <t>树坑里开花的橙树</t>
  </si>
  <si>
    <t>13089.txt</t>
  </si>
  <si>
    <t>Lemon Tree in Tree Pit</t>
  </si>
  <si>
    <t>树坑里的柠檬树</t>
  </si>
  <si>
    <t>13090.txt</t>
  </si>
  <si>
    <t>Autumn Lemon Tree in Tree Pit</t>
  </si>
  <si>
    <t>树坑里的秋天柠檬树</t>
  </si>
  <si>
    <t>13091.txt</t>
  </si>
  <si>
    <t>Winter Lemon Tree in Tree Pit</t>
  </si>
  <si>
    <t>树坑里的冬季柠檬树</t>
  </si>
  <si>
    <t>13092.txt</t>
  </si>
  <si>
    <t>Flowering Lemon Tree in Tree Pit</t>
  </si>
  <si>
    <t>树坑里开花的柠檬树</t>
  </si>
  <si>
    <t>13093.txt</t>
  </si>
  <si>
    <t>Field Maple Tree in Tree Pit</t>
  </si>
  <si>
    <t>树坑中的田野枫树</t>
  </si>
  <si>
    <t>13094.txt</t>
  </si>
  <si>
    <t>Jelutong Tree in Tree Pit</t>
  </si>
  <si>
    <t>树坑里的日落洞树</t>
  </si>
  <si>
    <t>13095.txt</t>
  </si>
  <si>
    <t>Hickory Tree in Tree Pit</t>
  </si>
  <si>
    <t>树坑里的山核桃树</t>
  </si>
  <si>
    <t>13096.txt</t>
  </si>
  <si>
    <t>Bubinga Tree in Tree Pit</t>
  </si>
  <si>
    <t>树坑中的布宾加树</t>
  </si>
  <si>
    <t>13097.txt</t>
  </si>
  <si>
    <t>Balsam Tree in Tree Pit</t>
  </si>
  <si>
    <t>树坑里的香脂树</t>
  </si>
  <si>
    <t>13098.txt</t>
  </si>
  <si>
    <t>Cedar Tree in Tree Pit</t>
  </si>
  <si>
    <t>树坑里的雪松树</t>
  </si>
  <si>
    <t>13099.txt</t>
  </si>
  <si>
    <t>Kapok Tree in Tree Pit</t>
  </si>
  <si>
    <t>树坑里的木棉树</t>
  </si>
  <si>
    <t>13100.txt</t>
  </si>
  <si>
    <t>Ash Tree in Tree Pit</t>
  </si>
  <si>
    <t>树坑里的白蜡树</t>
  </si>
  <si>
    <t>13101.txt</t>
  </si>
  <si>
    <t>Blossom Tree in Tree Pit</t>
  </si>
  <si>
    <t>树坑里的花树</t>
  </si>
  <si>
    <t>13102.txt</t>
  </si>
  <si>
    <t>13103.txt</t>
  </si>
  <si>
    <t>13104.txt</t>
  </si>
  <si>
    <t>13105.txt</t>
  </si>
  <si>
    <t>Forsythia Tree in Tree Pit</t>
  </si>
  <si>
    <t>树坑里的连翘树</t>
  </si>
  <si>
    <t>13106.txt</t>
  </si>
  <si>
    <t>Plane Tree in Tree Pit</t>
  </si>
  <si>
    <t>树坑里的梧桐树</t>
  </si>
  <si>
    <t>13107.txt</t>
  </si>
  <si>
    <t>13108.txt</t>
  </si>
  <si>
    <t>Birch Tree in Tree Pit</t>
  </si>
  <si>
    <t>树坑里的白桦树</t>
  </si>
  <si>
    <t>13109.txt</t>
  </si>
  <si>
    <t>Bay Tree in Tree Pit</t>
  </si>
  <si>
    <t>树坑里的月桂树</t>
  </si>
  <si>
    <t>13110.txt</t>
  </si>
  <si>
    <t>Staked Maple Tree</t>
  </si>
  <si>
    <t>木桩枫树</t>
  </si>
  <si>
    <t>13111.txt</t>
  </si>
  <si>
    <t>Staked Lombardy Poplar Tree</t>
  </si>
  <si>
    <t>木桩伦巴第白杨树</t>
  </si>
  <si>
    <t>13112.txt</t>
  </si>
  <si>
    <t>Staked White Pine Tree</t>
  </si>
  <si>
    <t>木桩白松树</t>
  </si>
  <si>
    <t>13113.txt</t>
  </si>
  <si>
    <t>Staked Yew Tree</t>
  </si>
  <si>
    <t>木桩红豆杉树</t>
  </si>
  <si>
    <t>13114.txt</t>
  </si>
  <si>
    <t>Staked Domestic Mango Tree</t>
  </si>
  <si>
    <t>立桩国产芒果树</t>
  </si>
  <si>
    <t>13115.txt</t>
  </si>
  <si>
    <t>Staked Juniper Tree</t>
  </si>
  <si>
    <t>木桩杜松树</t>
  </si>
  <si>
    <t>13116.txt</t>
  </si>
  <si>
    <t>Staked Rubber Tree</t>
  </si>
  <si>
    <t>立桩橡胶树</t>
  </si>
  <si>
    <t>13117.txt</t>
  </si>
  <si>
    <t>Staked Winter Orange Tree</t>
  </si>
  <si>
    <t>立桩冬橙树</t>
  </si>
  <si>
    <t>13118.txt</t>
  </si>
  <si>
    <t>Staked Autumn Orange Tree</t>
  </si>
  <si>
    <t>立桩秋橙树</t>
  </si>
  <si>
    <t>13119.txt</t>
  </si>
  <si>
    <t>Staked Flowering Orange Tree</t>
  </si>
  <si>
    <t>木桩开花的橙树</t>
  </si>
  <si>
    <t>13120.txt</t>
  </si>
  <si>
    <t>Staked Orange Tree</t>
  </si>
  <si>
    <t>立桩橙树</t>
  </si>
  <si>
    <t>13121.txt</t>
  </si>
  <si>
    <t>Staked Winter Apple Tree</t>
  </si>
  <si>
    <t>立桩冬季苹果树</t>
  </si>
  <si>
    <t>13122.txt</t>
  </si>
  <si>
    <t>Staked Autumn Apple Tree</t>
  </si>
  <si>
    <t>13123.txt</t>
  </si>
  <si>
    <t>Staked Flowering Apple Tree</t>
  </si>
  <si>
    <t>木桩开花的苹果树</t>
  </si>
  <si>
    <t>13124.txt</t>
  </si>
  <si>
    <t>Staked Apple Tree</t>
  </si>
  <si>
    <t>木桩苹果树</t>
  </si>
  <si>
    <t>13125.txt</t>
  </si>
  <si>
    <t>Staked Winter Lemon Tree</t>
  </si>
  <si>
    <t>13126.txt</t>
  </si>
  <si>
    <t>Staked Autumn Lemon Tree</t>
  </si>
  <si>
    <t>秋天的柠檬树</t>
  </si>
  <si>
    <t>13127.txt</t>
  </si>
  <si>
    <t>Staked Flowering Lemon Tree</t>
  </si>
  <si>
    <t>木桩开花柠檬树</t>
  </si>
  <si>
    <t>13128.txt</t>
  </si>
  <si>
    <t>Staked Lemon Tree</t>
  </si>
  <si>
    <t>13129.txt</t>
  </si>
  <si>
    <t>Staked Field Maple Tree</t>
  </si>
  <si>
    <t>立桩田枫树</t>
  </si>
  <si>
    <t>13130.txt</t>
  </si>
  <si>
    <t>Staked Jelutong Tree</t>
  </si>
  <si>
    <t>木桩式日落洞树</t>
  </si>
  <si>
    <t>13131.txt</t>
  </si>
  <si>
    <t>Staked Hickory Tree</t>
  </si>
  <si>
    <t>木桩山核桃树</t>
  </si>
  <si>
    <t>13132.txt</t>
  </si>
  <si>
    <t>Staked Bubinga Tree</t>
  </si>
  <si>
    <t>木桩布宾加树</t>
  </si>
  <si>
    <t>13133.txt</t>
  </si>
  <si>
    <t>Staked Balsam Tree</t>
  </si>
  <si>
    <t>木桩香脂树</t>
  </si>
  <si>
    <t>13134.txt</t>
  </si>
  <si>
    <t>Staked Cedar Tree</t>
  </si>
  <si>
    <t>木桩雪松树</t>
  </si>
  <si>
    <t>13135.txt</t>
  </si>
  <si>
    <t>Staked Kapok Tree</t>
  </si>
  <si>
    <t>13136.txt</t>
  </si>
  <si>
    <t>Staked Ash Tree</t>
  </si>
  <si>
    <t>木桩白蜡树</t>
  </si>
  <si>
    <t>13137.txt</t>
  </si>
  <si>
    <t>Staked Blossom Tree</t>
  </si>
  <si>
    <t>木桩花树</t>
  </si>
  <si>
    <t>13138.txt</t>
  </si>
  <si>
    <t>13139.txt</t>
  </si>
  <si>
    <t>13140.txt</t>
  </si>
  <si>
    <t>13141.txt</t>
  </si>
  <si>
    <t>Staked Forsythia Tree</t>
  </si>
  <si>
    <t>13142.txt</t>
  </si>
  <si>
    <t>Staked Plane Tree</t>
  </si>
  <si>
    <t>立桩梧桐树</t>
  </si>
  <si>
    <t>13143.txt</t>
  </si>
  <si>
    <t>13144.txt</t>
  </si>
  <si>
    <t>Staked Birch Tree</t>
  </si>
  <si>
    <t>木桩白桦树</t>
  </si>
  <si>
    <t>13145.txt</t>
  </si>
  <si>
    <t>Staked Bay Tree</t>
  </si>
  <si>
    <t>木桩湾树</t>
  </si>
  <si>
    <t>13146.txt</t>
  </si>
  <si>
    <t>@ Staked Tree</t>
  </si>
  <si>
    <t>13147.txt</t>
  </si>
  <si>
    <t>@ Stakable Tree</t>
  </si>
  <si>
    <t>13148.txt</t>
  </si>
  <si>
    <t>@ Tree in Tree Pit</t>
  </si>
  <si>
    <t>13149.txt</t>
  </si>
  <si>
    <t>Maple Tree with Small Cut Stones</t>
  </si>
  <si>
    <t>带小切石的枫树</t>
  </si>
  <si>
    <t>13150.txt</t>
  </si>
  <si>
    <t>Lombardy Poplar Tree with Small Cut Stones</t>
  </si>
  <si>
    <t>带小切石的伦巴第白杨树</t>
  </si>
  <si>
    <t>13151.txt</t>
  </si>
  <si>
    <t>White Pine Tree with Small Cut Stones</t>
  </si>
  <si>
    <t>带小切石的白松树</t>
  </si>
  <si>
    <t>13152.txt</t>
  </si>
  <si>
    <t>Yew Tree with Small Cut Stones</t>
  </si>
  <si>
    <t>带小切石的红豆杉树</t>
  </si>
  <si>
    <t>13153.txt</t>
  </si>
  <si>
    <t>Domestic Mango Tree with Small Cut Stones</t>
  </si>
  <si>
    <t>带小切石的国产芒果树</t>
  </si>
  <si>
    <t>13154.txt</t>
  </si>
  <si>
    <t>Juniper Tree with Small Cut Stones</t>
  </si>
  <si>
    <t>带有小切石的杜松树</t>
  </si>
  <si>
    <t>13155.txt</t>
  </si>
  <si>
    <t>Rubber Tree with Small Cut Stones</t>
  </si>
  <si>
    <t>带小切石的橡胶树</t>
  </si>
  <si>
    <t>13156.txt</t>
  </si>
  <si>
    <t>Flowering Apple Tree with Small Cut Stones</t>
  </si>
  <si>
    <t>开花的苹果树与小切石</t>
  </si>
  <si>
    <t>13157.txt</t>
  </si>
  <si>
    <t>Apple Tree with Small Cut Stones</t>
  </si>
  <si>
    <t>带有小切石的苹果树</t>
  </si>
  <si>
    <t>13158.txt</t>
  </si>
  <si>
    <t>Autumn Apple Tree with Small Cut Stones</t>
  </si>
  <si>
    <t>秋天的苹果树与小切石</t>
  </si>
  <si>
    <t>13159.txt</t>
  </si>
  <si>
    <t>Winter Apple Tree with Small Cut Stones</t>
  </si>
  <si>
    <t>冬季苹果树与小切石</t>
  </si>
  <si>
    <t>13160.txt</t>
  </si>
  <si>
    <t>Flowering Orange Tree with Small Cut Stones</t>
  </si>
  <si>
    <t>开花的橙树与小切石</t>
  </si>
  <si>
    <t>13161.txt</t>
  </si>
  <si>
    <t>Orange Tree with Small Cut Stones</t>
  </si>
  <si>
    <t>带小切石的橙树</t>
  </si>
  <si>
    <t>13162.txt</t>
  </si>
  <si>
    <t>Autumn Orange Tree with Small Cut Stones</t>
  </si>
  <si>
    <t>秋天的橙树与小切石</t>
  </si>
  <si>
    <t>13163.txt</t>
  </si>
  <si>
    <t>Winter Orange Tree with Small Cut Stones</t>
  </si>
  <si>
    <t>冬季橙树与小切石</t>
  </si>
  <si>
    <t>13164.txt</t>
  </si>
  <si>
    <t>Flowering Lemon Tree with Small Cut Stones</t>
  </si>
  <si>
    <t>带小切石的开花柠檬树</t>
  </si>
  <si>
    <t>13165.txt</t>
  </si>
  <si>
    <t>Lemon Tree with Small Cut Stones</t>
  </si>
  <si>
    <t>带小切石的柠檬树</t>
  </si>
  <si>
    <t>13166.txt</t>
  </si>
  <si>
    <t>Autumn Lemon Tree with Small Cut Stones</t>
  </si>
  <si>
    <t>秋季柠檬树与小切石</t>
  </si>
  <si>
    <t>13167.txt</t>
  </si>
  <si>
    <t>Winter Lemon Tree with Small Cut Stones</t>
  </si>
  <si>
    <t>冬季柠檬树与小切石</t>
  </si>
  <si>
    <t>13168.txt</t>
  </si>
  <si>
    <t>Field Maple Tree with Small Cut Stones</t>
  </si>
  <si>
    <t>带小切石的田间枫树</t>
  </si>
  <si>
    <t>13169.txt</t>
  </si>
  <si>
    <t>Jelutong Tree with Small Cut Stones</t>
  </si>
  <si>
    <t>带小切石的日落洞树</t>
  </si>
  <si>
    <t>13170.txt</t>
  </si>
  <si>
    <t>Hickory Tree with Small Cut Stones</t>
  </si>
  <si>
    <t>带小切石的山核桃树</t>
  </si>
  <si>
    <t>13171.txt</t>
  </si>
  <si>
    <t>Bubinga Tree with Small Cut Stones</t>
  </si>
  <si>
    <t>带有小切石的 Bubinga 树</t>
  </si>
  <si>
    <t>13172.txt</t>
  </si>
  <si>
    <t>Balsam Tree with Small Cut Stones</t>
  </si>
  <si>
    <t>带小切石的香脂树</t>
  </si>
  <si>
    <t>13173.txt</t>
  </si>
  <si>
    <t>Cedar Tree with Small Cut Stones</t>
  </si>
  <si>
    <t>带小切石的雪松树</t>
  </si>
  <si>
    <t>13174.txt</t>
  </si>
  <si>
    <t>Kapok Tree with Small Cut Stones</t>
  </si>
  <si>
    <t>带小切石的木棉树</t>
  </si>
  <si>
    <t>13175.txt</t>
  </si>
  <si>
    <t>Ash Tree with Small Cut Stones</t>
  </si>
  <si>
    <t>带小切石的白蜡树</t>
  </si>
  <si>
    <t>13176.txt</t>
  </si>
  <si>
    <t>Blossom Tree with Small Cut Stones</t>
  </si>
  <si>
    <t>带小切石的花树</t>
  </si>
  <si>
    <t>13177.txt</t>
  </si>
  <si>
    <t>13178.txt</t>
  </si>
  <si>
    <t>13179.txt</t>
  </si>
  <si>
    <t>13180.txt</t>
  </si>
  <si>
    <t>Forsythia Tree with Small Cut Stones</t>
  </si>
  <si>
    <t>带小切石的连翘树</t>
  </si>
  <si>
    <t>13181.txt</t>
  </si>
  <si>
    <t>Plane Tree with Small Cut Stones</t>
  </si>
  <si>
    <t>带小切石的梧桐树</t>
  </si>
  <si>
    <t>13182.txt</t>
  </si>
  <si>
    <t>13183.txt</t>
  </si>
  <si>
    <t>Birch Tree with Small Cut Stones</t>
  </si>
  <si>
    <t>带小切石的桦树</t>
  </si>
  <si>
    <t>13184.txt</t>
  </si>
  <si>
    <t>Bay Tree with Small Cut Stones</t>
  </si>
  <si>
    <t>带有小切石的月桂树</t>
  </si>
  <si>
    <t>13185.txt</t>
  </si>
  <si>
    <t>@ Tree with Small Cut Stones</t>
  </si>
  <si>
    <t>13186.txt</t>
  </si>
  <si>
    <t>@ Spring Season Trees</t>
  </si>
  <si>
    <t>13187.txt</t>
  </si>
  <si>
    <t>@ Summer Season Tree</t>
  </si>
  <si>
    <t>13188.txt</t>
  </si>
  <si>
    <t>@ Autumn Season Tree</t>
  </si>
  <si>
    <t>13189.txt</t>
  </si>
  <si>
    <t>@ Winter Season Tree</t>
  </si>
  <si>
    <t>13191.txt</t>
  </si>
  <si>
    <t>Brick Arch</t>
  </si>
  <si>
    <t>砖拱门</t>
  </si>
  <si>
    <t>13192.txt</t>
  </si>
  <si>
    <t>Brick Arch Wall</t>
  </si>
  <si>
    <t>砖拱墙</t>
  </si>
  <si>
    <t>13196.txt</t>
  </si>
  <si>
    <t>North-South Arch Stakes</t>
  </si>
  <si>
    <t>南北拱门桩</t>
  </si>
  <si>
    <t>13197.txt</t>
  </si>
  <si>
    <t>East-West Arch Stakes</t>
  </si>
  <si>
    <t>东西向拱门桩</t>
  </si>
  <si>
    <t>13198.txt</t>
  </si>
  <si>
    <t>East-West Arch Stakes with Bricks#half</t>
  </si>
  <si>
    <t>带砖的东西向拱门桩#half</t>
  </si>
  <si>
    <t>13199.txt</t>
  </si>
  <si>
    <t>East-West Arch Stakes with Bricks#half,partial</t>
  </si>
  <si>
    <t>带砖的东西向拱门桩#half,partial</t>
  </si>
  <si>
    <t>13200.txt</t>
  </si>
  <si>
    <t>East-West Arch Stakes with Bricks</t>
  </si>
  <si>
    <t>东西向砖拱桩</t>
  </si>
  <si>
    <t>13201.txt</t>
  </si>
  <si>
    <t>North-South Arch Stakes with Bricks#half</t>
  </si>
  <si>
    <t>带砖的南北拱门桩#half</t>
  </si>
  <si>
    <t>13202.txt</t>
  </si>
  <si>
    <t>13203.txt</t>
  </si>
  <si>
    <t>North-South Arch Stakes with Bricks#half,partial</t>
  </si>
  <si>
    <t>带砖的南北拱门桩#half,partial</t>
  </si>
  <si>
    <t>13204.txt</t>
  </si>
  <si>
    <t>Wooden Arch</t>
  </si>
  <si>
    <t>木拱门</t>
  </si>
  <si>
    <t>13205.txt</t>
  </si>
  <si>
    <t>Stone Road #SW</t>
  </si>
  <si>
    <t>石路#SW</t>
  </si>
  <si>
    <t>13206.txt</t>
  </si>
  <si>
    <t>Stone Road #NW</t>
  </si>
  <si>
    <t>石路#NW</t>
  </si>
  <si>
    <t>13207.txt</t>
  </si>
  <si>
    <t>Stone Road #NE</t>
  </si>
  <si>
    <t>石路#NE</t>
  </si>
  <si>
    <t>13208.txt</t>
  </si>
  <si>
    <t>Stone Road #SE</t>
  </si>
  <si>
    <t>石路#SE</t>
  </si>
  <si>
    <t>13209.txt</t>
  </si>
  <si>
    <t>@ Stone Road +road</t>
  </si>
  <si>
    <t>13210.txt</t>
  </si>
  <si>
    <t>Shears with Blossom Cutting</t>
  </si>
  <si>
    <t>花剪剪刀</t>
  </si>
  <si>
    <t>13211.txt</t>
  </si>
  <si>
    <t>Blossom Cutting</t>
  </si>
  <si>
    <t>切花</t>
  </si>
  <si>
    <t>13212.txt</t>
  </si>
  <si>
    <t>Rooting Blossom Cutting</t>
  </si>
  <si>
    <t>生根花切</t>
  </si>
  <si>
    <t>13213.txt</t>
  </si>
  <si>
    <t>Brick Road</t>
  </si>
  <si>
    <t>砖路</t>
  </si>
  <si>
    <t>13215.txt</t>
  </si>
  <si>
    <t>Brick Road #SE</t>
  </si>
  <si>
    <t>砖路#SE</t>
  </si>
  <si>
    <t>13216.txt</t>
  </si>
  <si>
    <t>Brick Road #SW</t>
  </si>
  <si>
    <t>砖路#SW</t>
  </si>
  <si>
    <t>13217.txt</t>
  </si>
  <si>
    <t>Brick Road #NW</t>
  </si>
  <si>
    <t>砖路#NW</t>
  </si>
  <si>
    <t>13218.txt</t>
  </si>
  <si>
    <t>Brick Road #NE</t>
  </si>
  <si>
    <t>砖路#NE</t>
  </si>
  <si>
    <t>13219.txt</t>
  </si>
  <si>
    <t>@ Brick Road +road</t>
  </si>
  <si>
    <t>13220.txt</t>
  </si>
  <si>
    <t>South East Stakes with Bricks</t>
  </si>
  <si>
    <t>东南带砖木桩</t>
  </si>
  <si>
    <t>13221.txt</t>
  </si>
  <si>
    <t>Brick Floor #SE</t>
  </si>
  <si>
    <t>砖地板#SE</t>
  </si>
  <si>
    <t>13222.txt</t>
  </si>
  <si>
    <t>Brick Floor #NE</t>
  </si>
  <si>
    <t>砖地板#NE</t>
  </si>
  <si>
    <t>13223.txt</t>
  </si>
  <si>
    <t>Brick Floor #NW</t>
  </si>
  <si>
    <t>砖地板#NW</t>
  </si>
  <si>
    <t>13224.txt</t>
  </si>
  <si>
    <t>Brick Floor #SW</t>
  </si>
  <si>
    <t>砖地板#SW</t>
  </si>
  <si>
    <t>13225.txt</t>
  </si>
  <si>
    <t>North East Stakes with Bricks</t>
  </si>
  <si>
    <t>东北带砖木桩</t>
  </si>
  <si>
    <t>13226.txt</t>
  </si>
  <si>
    <t>South West Stakes with Bricks</t>
  </si>
  <si>
    <t>西南带砖木桩</t>
  </si>
  <si>
    <t>13227.txt</t>
  </si>
  <si>
    <t>North West Stakes with Bricks</t>
  </si>
  <si>
    <t>西北带砖木桩</t>
  </si>
  <si>
    <t>13228.txt</t>
  </si>
  <si>
    <t>East-West Arch Stakes with Holes</t>
  </si>
  <si>
    <t>东西向带孔拱桩</t>
  </si>
  <si>
    <t>13229.txt</t>
  </si>
  <si>
    <t>North-South Arch Stakes with Holes</t>
  </si>
  <si>
    <t>带孔南北拱桩</t>
  </si>
  <si>
    <t>13230.txt</t>
  </si>
  <si>
    <t>Wooden Wall Arch Structure with Boards</t>
  </si>
  <si>
    <t>带板的木墙拱结构</t>
  </si>
  <si>
    <t>13231.txt</t>
  </si>
  <si>
    <t>Planted Domestic Hedge#horizontal #justTrimmed</t>
  </si>
  <si>
    <t>种植的国内树篱#horizontal #justTrimmed</t>
  </si>
  <si>
    <t>13232.txt</t>
  </si>
  <si>
    <t>Planted Domestic Hedge#vertical #justTrimmed</t>
  </si>
  <si>
    <t>种植的国内树篱#vertical #justTrimmed</t>
  </si>
  <si>
    <t>13233.txt</t>
  </si>
  <si>
    <t>Planted Domestic Hedge#corner #justTrimmed</t>
  </si>
  <si>
    <t>种植的国内树篱#corner #justTrimmed</t>
  </si>
  <si>
    <t>13234.txt</t>
  </si>
  <si>
    <t>Hedge Wall#half #justTrimmed</t>
  </si>
  <si>
    <t>树篱墙#half #justTrimmed</t>
  </si>
  <si>
    <t>13235.txt</t>
  </si>
  <si>
    <t>13236.txt</t>
  </si>
  <si>
    <t>13237.txt</t>
  </si>
  <si>
    <t>Staked Winter Apple Tree #justStaked</t>
  </si>
  <si>
    <t>立桩冬季苹果树#justStaked</t>
  </si>
  <si>
    <t>13238.txt</t>
  </si>
  <si>
    <t>Staked Winter Lemon Tree #justStaked</t>
  </si>
  <si>
    <t>冬季柠檬树#justStaked</t>
  </si>
  <si>
    <t>13239.txt</t>
  </si>
  <si>
    <t>Staked Winter Orange Tree #justStaked</t>
  </si>
  <si>
    <t>立桩冬橙树#justStaked</t>
  </si>
  <si>
    <t>13240.txt</t>
  </si>
  <si>
    <t>Staked Autumn Apple Tree #justStaked</t>
  </si>
  <si>
    <t>秋天的苹果树#justStaked</t>
  </si>
  <si>
    <t>13241.txt</t>
  </si>
  <si>
    <t>Staked Autumn Lemon Tree #justStaked</t>
  </si>
  <si>
    <t>秋天的柠檬树#justStaked</t>
  </si>
  <si>
    <t>13242.txt</t>
  </si>
  <si>
    <t>Staked Autumn Orange Tree #justStaked</t>
  </si>
  <si>
    <t>立桩秋橙树#justStaked</t>
  </si>
  <si>
    <t>13243.txt</t>
  </si>
  <si>
    <t>Staked Flowering Apple Tree #justStaked</t>
  </si>
  <si>
    <t>木桩开花的苹果树#justStaked</t>
  </si>
  <si>
    <t>13244.txt</t>
  </si>
  <si>
    <t>Staked Flowering Lemon Tree #justStaked</t>
  </si>
  <si>
    <t>桩着开花的柠檬树#justStaked</t>
  </si>
  <si>
    <t>13245.txt</t>
  </si>
  <si>
    <t>Staked Flowering Orange Tree #justStaked</t>
  </si>
  <si>
    <t>桩着开花的橙树#justStaked</t>
  </si>
  <si>
    <t>13246.txt</t>
  </si>
  <si>
    <t>Staked Apple Tree #justStaked</t>
  </si>
  <si>
    <t>木桩苹果树#justStaked</t>
  </si>
  <si>
    <t>13247.txt</t>
  </si>
  <si>
    <t>Staked Orange Tree #justStaked</t>
  </si>
  <si>
    <t>立桩橙树#justStaked</t>
  </si>
  <si>
    <t>13248.txt</t>
  </si>
  <si>
    <t>Staked Lemon Tree #justStaked</t>
  </si>
  <si>
    <t>质押柠檬树#justStaked</t>
  </si>
  <si>
    <t>13249.txt</t>
  </si>
  <si>
    <t>Staked Blossom Tree #justStaked</t>
  </si>
  <si>
    <t>木桩花树#justStaked</t>
  </si>
  <si>
    <t>13250.txt</t>
  </si>
  <si>
    <t>13252.txt</t>
  </si>
  <si>
    <t>13253.txt</t>
  </si>
  <si>
    <t>13254.txt</t>
  </si>
  <si>
    <t>Winter Lemon Tree with Small Cut Stones #justMade</t>
  </si>
  <si>
    <t>带有小切石的冬季柠檬树#justMade</t>
  </si>
  <si>
    <t>13255.txt</t>
  </si>
  <si>
    <t>Winter Orange Tree with Small Cut Stones #justMade</t>
  </si>
  <si>
    <t>带有小切石的冬季橙树#justMade</t>
  </si>
  <si>
    <t>13256.txt</t>
  </si>
  <si>
    <t>Winter Apple Tree with Small Cut Stones #justMade</t>
  </si>
  <si>
    <t>带有小切石的冬季苹果树#justMade</t>
  </si>
  <si>
    <t>13257.txt</t>
  </si>
  <si>
    <t>Autumn Apple Tree with Small Cut Stones #justMade</t>
  </si>
  <si>
    <t>秋季苹果树，带有小切石#justMade</t>
  </si>
  <si>
    <t>13258.txt</t>
  </si>
  <si>
    <t>Autumn Orange Tree with Small Cut Stones #justMade</t>
  </si>
  <si>
    <t>秋季橙树与小切石#justMade</t>
  </si>
  <si>
    <t>13259.txt</t>
  </si>
  <si>
    <t>Autumn Lemon Tree with Small Cut Stones #justMade</t>
  </si>
  <si>
    <t>秋季柠檬树与小切石#justMade</t>
  </si>
  <si>
    <t>13260.txt</t>
  </si>
  <si>
    <t>Flowering Apple Tree with Small Cut Stones #justMade</t>
  </si>
  <si>
    <t>开花的苹果树，带有小切石#justMade</t>
  </si>
  <si>
    <t>13261.txt</t>
  </si>
  <si>
    <t>Flowering Orange Tree with Small Cut Stones #justMade</t>
  </si>
  <si>
    <t>开花的橙树，带有小切石#justMade</t>
  </si>
  <si>
    <t>13262.txt</t>
  </si>
  <si>
    <t>Flowering Lemon Tree with Small Cut Stones #justMade</t>
  </si>
  <si>
    <t>带小切石的开花柠檬树#justMade</t>
  </si>
  <si>
    <t>13263.txt</t>
  </si>
  <si>
    <t>Apple Tree with Small Cut Stones #justMade</t>
  </si>
  <si>
    <t>带小切石的苹果树#justMade</t>
  </si>
  <si>
    <t>13264.txt</t>
  </si>
  <si>
    <t>Orange Tree with Small Cut Stones #justMade</t>
  </si>
  <si>
    <t>带小切石的橙树#justMade</t>
  </si>
  <si>
    <t>13265.txt</t>
  </si>
  <si>
    <t>Lemon Tree with Small Cut Stones #justMade</t>
  </si>
  <si>
    <t>带小切石的柠檬树#justMade</t>
  </si>
  <si>
    <t>13266.txt</t>
  </si>
  <si>
    <t>Blossom Tree with Small Cut Stones #justMade</t>
  </si>
  <si>
    <t>带小切石的花树#justMade</t>
  </si>
  <si>
    <t>13267.txt</t>
  </si>
  <si>
    <t>13268.txt</t>
  </si>
  <si>
    <t>13269.txt</t>
  </si>
  <si>
    <t>13270.txt</t>
  </si>
  <si>
    <t>Cattail</t>
  </si>
  <si>
    <t>13272.txt</t>
  </si>
  <si>
    <t>Ant Mound#ants #justBite</t>
  </si>
  <si>
    <t>蚁丘#ants #justBite</t>
  </si>
  <si>
    <t>13284.txt</t>
  </si>
  <si>
    <t>Firing Distillery#closed</t>
  </si>
  <si>
    <t>点火酿酒厂#closed</t>
  </si>
  <si>
    <t>13285.txt</t>
  </si>
  <si>
    <t>13286.txt</t>
  </si>
  <si>
    <t>Granite Block</t>
  </si>
  <si>
    <t>花岗岩块</t>
  </si>
  <si>
    <t>13287.txt</t>
  </si>
  <si>
    <t>Stack of Granite Block</t>
  </si>
  <si>
    <t>一堆花岗岩块</t>
  </si>
  <si>
    <t>13288.txt</t>
  </si>
  <si>
    <t>Quarry#granite</t>
  </si>
  <si>
    <t>采石场#granite</t>
  </si>
  <si>
    <t>13289.txt</t>
  </si>
  <si>
    <t>Random Quarry Outcome</t>
  </si>
  <si>
    <t>随机采石场结果</t>
  </si>
  <si>
    <t>13290.txt</t>
  </si>
  <si>
    <t>Lime Gravel Floor</t>
  </si>
  <si>
    <t>石灰砾石地板</t>
  </si>
  <si>
    <t>13292.txt</t>
  </si>
  <si>
    <t>Moss</t>
  </si>
  <si>
    <t>苔藓</t>
  </si>
  <si>
    <t>13293.txt</t>
  </si>
  <si>
    <t>Bowl of Churned Butter</t>
  </si>
  <si>
    <t>一碗搅拌黄油</t>
  </si>
  <si>
    <t>13294.txt</t>
  </si>
  <si>
    <t>Bowl of Buttermilk</t>
  </si>
  <si>
    <t>一碗酪乳</t>
  </si>
  <si>
    <t>13295.txt</t>
  </si>
  <si>
    <t>Bowl of Buttermilk with Moss</t>
  </si>
  <si>
    <t>一碗带苔藓的酪乳</t>
  </si>
  <si>
    <t>13296.txt</t>
  </si>
  <si>
    <t>Dried Moss</t>
  </si>
  <si>
    <t>干苔藓</t>
  </si>
  <si>
    <t>13297.txt</t>
  </si>
  <si>
    <t>Bowl of Moss and Buttermilk Mixture</t>
  </si>
  <si>
    <t>一碗苔藓和酪乳混合物</t>
  </si>
  <si>
    <t>13298.txt</t>
  </si>
  <si>
    <t>Mossy Bamboo Wall</t>
  </si>
  <si>
    <t>长满青苔的竹墙</t>
  </si>
  <si>
    <t>13299.txt</t>
  </si>
  <si>
    <t>13300.txt</t>
  </si>
  <si>
    <t>Mossy Bamboo Wall# +useOnContained</t>
  </si>
  <si>
    <t>长满青苔的竹墙# +useOnContained</t>
  </si>
  <si>
    <t>13301.txt</t>
  </si>
  <si>
    <t>Bamboo Wall#justCleaned</t>
  </si>
  <si>
    <t>竹墙#justCleaned</t>
  </si>
  <si>
    <t>13302.txt</t>
  </si>
  <si>
    <t>13303.txt</t>
  </si>
  <si>
    <t>Bamboo Wall#justCleaned# +useOnContained</t>
  </si>
  <si>
    <t>竹墙#justCleaned# +useOnContained</t>
  </si>
  <si>
    <t>13304.txt</t>
  </si>
  <si>
    <t>Brick Wall#justCleaned</t>
  </si>
  <si>
    <t>砖墙#justCleaned</t>
  </si>
  <si>
    <t>13305.txt</t>
  </si>
  <si>
    <t>13306.txt</t>
  </si>
  <si>
    <t>Brick Wall#justCleaned# +useOnContained</t>
  </si>
  <si>
    <t>砖墙#justCleaned# +useOnContained</t>
  </si>
  <si>
    <t>13307.txt</t>
  </si>
  <si>
    <t>Mossy Brick Wall</t>
  </si>
  <si>
    <t>长满青苔的砖墙</t>
  </si>
  <si>
    <t>13308.txt</t>
  </si>
  <si>
    <t>13309.txt</t>
  </si>
  <si>
    <t>Mossy Brick Wall# +useOnContained</t>
  </si>
  <si>
    <t>长满青苔的砖墙# +useOnContained</t>
  </si>
  <si>
    <t>13310.txt</t>
  </si>
  <si>
    <t>@ Ancientable Wall</t>
  </si>
  <si>
    <t>13311.txt</t>
  </si>
  <si>
    <t>@ Mossy Wall</t>
  </si>
  <si>
    <t>13312.txt</t>
  </si>
  <si>
    <t>@ Ancient Wall</t>
  </si>
  <si>
    <t>13313.txt</t>
  </si>
  <si>
    <t>@ Ancientable Wall#justCleaned</t>
  </si>
  <si>
    <t>13314.txt</t>
  </si>
  <si>
    <t>Brick Half Wall#justCleaned</t>
  </si>
  <si>
    <t>砖半墙#justCleaned</t>
  </si>
  <si>
    <t>13315.txt</t>
  </si>
  <si>
    <t>13316.txt</t>
  </si>
  <si>
    <t>13317.txt</t>
  </si>
  <si>
    <t>Mossy Brick Half Wall</t>
  </si>
  <si>
    <t>长满青苔的砖半墙</t>
  </si>
  <si>
    <t>13318.txt</t>
  </si>
  <si>
    <t>13319.txt</t>
  </si>
  <si>
    <t>13320.txt</t>
  </si>
  <si>
    <t>Mossy Stone Wall</t>
  </si>
  <si>
    <t>长满青苔的石墙</t>
  </si>
  <si>
    <t>13321.txt</t>
  </si>
  <si>
    <t>13322.txt</t>
  </si>
  <si>
    <t>Mossy Stone Wall# +useOnContained</t>
  </si>
  <si>
    <t>长满青苔的石墙# +useOnContained</t>
  </si>
  <si>
    <t>13323.txt</t>
  </si>
  <si>
    <t>Stone Wall#justCleaned</t>
  </si>
  <si>
    <t>石墙#justCleaned</t>
  </si>
  <si>
    <t>13324.txt</t>
  </si>
  <si>
    <t>13325.txt</t>
  </si>
  <si>
    <t>Stone Wall#justCleaned# +useOnContained</t>
  </si>
  <si>
    <t>石墙#justCleaned# +useOnContained</t>
  </si>
  <si>
    <t>13326.txt</t>
  </si>
  <si>
    <t>Mossy Half Stone Wall</t>
  </si>
  <si>
    <t>长满青苔的半石墙</t>
  </si>
  <si>
    <t>13327.txt</t>
  </si>
  <si>
    <t>13328.txt</t>
  </si>
  <si>
    <t>13329.txt</t>
  </si>
  <si>
    <t>Half Stone Wall#justCleaned</t>
  </si>
  <si>
    <t>半石墙#justCleaned</t>
  </si>
  <si>
    <t>13330.txt</t>
  </si>
  <si>
    <t>13331.txt</t>
  </si>
  <si>
    <t>13332.txt</t>
  </si>
  <si>
    <t>Mossy Sandstone Wall</t>
  </si>
  <si>
    <t>长满青苔的砂岩墙</t>
  </si>
  <si>
    <t>13333.txt</t>
  </si>
  <si>
    <t>Mossy SandStone Wall</t>
  </si>
  <si>
    <t>13334.txt</t>
  </si>
  <si>
    <t>Mossy Sandstone Wall# +useOnContained</t>
  </si>
  <si>
    <t>长满青苔的砂岩墙# +useOnContained</t>
  </si>
  <si>
    <t>13335.txt</t>
  </si>
  <si>
    <t>Sandstone Wall#justCleaned</t>
  </si>
  <si>
    <t>砂岩墙#justCleaned</t>
  </si>
  <si>
    <t>13336.txt</t>
  </si>
  <si>
    <t>SandStone Wall#justCleaned</t>
  </si>
  <si>
    <t>13337.txt</t>
  </si>
  <si>
    <t>Sandstone Wall#justCleaned# +useOnContained</t>
  </si>
  <si>
    <t>砂岩墙#justCleaned# +useOnContained</t>
  </si>
  <si>
    <t>13338.txt</t>
  </si>
  <si>
    <t>Mossy Sandstone Half Wall</t>
  </si>
  <si>
    <t>长满青苔的砂岩半墙</t>
  </si>
  <si>
    <t>13339.txt</t>
  </si>
  <si>
    <t>13340.txt</t>
  </si>
  <si>
    <t>13341.txt</t>
  </si>
  <si>
    <t>Sandstone Half Wall#justCleaned</t>
  </si>
  <si>
    <t>砂岩半墙#justCleaned</t>
  </si>
  <si>
    <t>13342.txt</t>
  </si>
  <si>
    <t>13343.txt</t>
  </si>
  <si>
    <t>13344.txt</t>
  </si>
  <si>
    <t>Bucket of Lime Gravel</t>
  </si>
  <si>
    <t>一桶石灰砾石</t>
  </si>
  <si>
    <t>13345.txt</t>
  </si>
  <si>
    <t>Bowl with Lime Gravel</t>
  </si>
  <si>
    <t>碗与石灰砾石</t>
  </si>
  <si>
    <t>13347.txt</t>
  </si>
  <si>
    <t>Lime Gravel</t>
  </si>
  <si>
    <t>石灰砾石</t>
  </si>
  <si>
    <t>13348.txt</t>
  </si>
  <si>
    <t>Bucket with Stakes</t>
  </si>
  <si>
    <t>带木桩的桶</t>
  </si>
  <si>
    <t>13349.txt</t>
  </si>
  <si>
    <t>Piles of Lime Gravel</t>
  </si>
  <si>
    <t>成堆的石灰砾石</t>
  </si>
  <si>
    <t>13350.txt</t>
  </si>
  <si>
    <t>Torch Stand</t>
  </si>
  <si>
    <t>火炬架</t>
  </si>
  <si>
    <t>13351.txt</t>
  </si>
  <si>
    <t>Torch Stand with Bowl</t>
  </si>
  <si>
    <t>带碗的火炬架</t>
  </si>
  <si>
    <t>13352.txt</t>
  </si>
  <si>
    <t>Torch Stand with Bowl and Charcoal</t>
  </si>
  <si>
    <t>带碗和木炭的火炬架</t>
  </si>
  <si>
    <t>13353.txt</t>
  </si>
  <si>
    <t>火炬</t>
  </si>
  <si>
    <t>13354.txt</t>
  </si>
  <si>
    <t>Torch Stand with Lit Candles</t>
  </si>
  <si>
    <t>带点燃蜡烛的火炬架</t>
  </si>
  <si>
    <t>13355.txt</t>
  </si>
  <si>
    <t>Torch Stand with Candles</t>
  </si>
  <si>
    <t>带蜡烛的火炬架</t>
  </si>
  <si>
    <t>13356.txt</t>
  </si>
  <si>
    <t>Torch Stand with Plate</t>
  </si>
  <si>
    <t>带板火炬架</t>
  </si>
  <si>
    <t>13357.txt</t>
  </si>
  <si>
    <t>@ +contChristmasTreePresents</t>
  </si>
  <si>
    <t>13358.txt</t>
  </si>
  <si>
    <t>Kerosene Lamp#lit</t>
  </si>
  <si>
    <t>煤油灯#lit</t>
  </si>
  <si>
    <t>13359.txt</t>
  </si>
  <si>
    <t>Kerosene Lamp</t>
  </si>
  <si>
    <t>煤油灯</t>
  </si>
  <si>
    <t>13361.txt</t>
  </si>
  <si>
    <t>Mason Jar on Work Bench</t>
  </si>
  <si>
    <t>工作台上的梅森罐</t>
  </si>
  <si>
    <t>13362.txt</t>
  </si>
  <si>
    <t>Mason Jar and Two Iron Rods on Work Bench</t>
  </si>
  <si>
    <t>工作台上的玻璃瓶和两根铁棒</t>
  </si>
  <si>
    <t>13363.txt</t>
  </si>
  <si>
    <t>Mason Jar and Iron Rod on Work Bench</t>
  </si>
  <si>
    <t>工作台上的玻璃瓶和铁棒</t>
  </si>
  <si>
    <t>13364.txt</t>
  </si>
  <si>
    <t>Empty Kerosene Lamp</t>
  </si>
  <si>
    <t>空煤油灯</t>
  </si>
  <si>
    <t>13365.txt</t>
  </si>
  <si>
    <t>Kerosene Lamp on Work Bench</t>
  </si>
  <si>
    <t>工作台上的煤油灯</t>
  </si>
  <si>
    <t>13367.txt</t>
  </si>
  <si>
    <t>Cheese Hoop</t>
  </si>
  <si>
    <t>奶酪圈</t>
  </si>
  <si>
    <t>13368.txt</t>
  </si>
  <si>
    <t>Hoop with Cheesecloth</t>
  </si>
  <si>
    <t>用粗棉布箍</t>
  </si>
  <si>
    <t>13369.txt</t>
  </si>
  <si>
    <t>Hoop with Curds</t>
  </si>
  <si>
    <t>圈与凝乳</t>
  </si>
  <si>
    <t>13370.txt</t>
  </si>
  <si>
    <t>Camping Stove with Warm Milk</t>
  </si>
  <si>
    <t>野营炉加温牛奶</t>
  </si>
  <si>
    <t>13372.txt</t>
  </si>
  <si>
    <t>Pot of Warm Milk</t>
  </si>
  <si>
    <t>一壶温牛奶</t>
  </si>
  <si>
    <t>13373.txt</t>
  </si>
  <si>
    <t>Pot of Warm Milk with Rennet Added</t>
  </si>
  <si>
    <t>一壶加凝乳酶的温牛奶</t>
  </si>
  <si>
    <t>13374.txt</t>
  </si>
  <si>
    <t>Pot of Curdling Milk</t>
  </si>
  <si>
    <t>一壶凝乳</t>
  </si>
  <si>
    <t>13376.txt</t>
  </si>
  <si>
    <t>13377.txt</t>
  </si>
  <si>
    <t>Hoop with Curds in Press</t>
  </si>
  <si>
    <t>压榨中的凝乳箍</t>
  </si>
  <si>
    <t>13378.txt</t>
  </si>
  <si>
    <t>Hoop with Pressed Curds</t>
  </si>
  <si>
    <t>箍压凝乳</t>
  </si>
  <si>
    <t>13379.txt</t>
  </si>
  <si>
    <t>Hoop with Cheese</t>
  </si>
  <si>
    <t>13380.txt</t>
  </si>
  <si>
    <t xml:space="preserve">Straining Curds </t>
  </si>
  <si>
    <t>过滤凝乳</t>
  </si>
  <si>
    <t>13381.txt</t>
  </si>
  <si>
    <t xml:space="preserve">Strained Curds </t>
  </si>
  <si>
    <t>13382.txt</t>
  </si>
  <si>
    <t>Unriped Cheese Wheel</t>
  </si>
  <si>
    <t>未成熟的奶酪轮</t>
  </si>
  <si>
    <t>13383.txt</t>
  </si>
  <si>
    <t>Riped Cheese Wheel</t>
  </si>
  <si>
    <t>熟奶酪轮</t>
  </si>
  <si>
    <t>13384.txt</t>
  </si>
  <si>
    <t>Cheese Wheel</t>
  </si>
  <si>
    <t>奶酪轮</t>
  </si>
  <si>
    <t>13385.txt</t>
  </si>
  <si>
    <t>Camping Stove with Milk</t>
  </si>
  <si>
    <t>野营炉加牛奶</t>
  </si>
  <si>
    <t>13386.txt</t>
  </si>
  <si>
    <t>Bendy Boards</t>
  </si>
  <si>
    <t>弯曲板</t>
  </si>
  <si>
    <t>13387.txt</t>
  </si>
  <si>
    <t>Pot of Milk</t>
  </si>
  <si>
    <t>一壶牛奶</t>
  </si>
  <si>
    <t>13388.txt</t>
  </si>
  <si>
    <t>Covered Hoop with Curds</t>
  </si>
  <si>
    <t>凝乳盖箍</t>
  </si>
  <si>
    <t>13389.txt</t>
  </si>
  <si>
    <t>Hoop with Covered Cheese</t>
  </si>
  <si>
    <t>13390.txt</t>
  </si>
  <si>
    <t>Cheese Wheel Stack</t>
  </si>
  <si>
    <t>奶酪轮堆栈</t>
  </si>
  <si>
    <t>13391.txt</t>
  </si>
  <si>
    <t>Cheese Hoop Stack</t>
  </si>
  <si>
    <t>奶酪圈堆栈</t>
  </si>
  <si>
    <t>13392.txt</t>
  </si>
  <si>
    <t>Full Bucket of Buttermilk</t>
  </si>
  <si>
    <t>满满一桶酪乳</t>
  </si>
  <si>
    <t>13393.txt</t>
  </si>
  <si>
    <t>Partial Bucket of Buttermilk</t>
  </si>
  <si>
    <t>部分酪乳桶</t>
  </si>
  <si>
    <t>13394.txt</t>
  </si>
  <si>
    <t>Yum Icon</t>
  </si>
  <si>
    <t>百胜餐饮图标</t>
  </si>
  <si>
    <t>13395.txt</t>
  </si>
  <si>
    <t>Yum Icon2</t>
  </si>
  <si>
    <t>百胜图标2</t>
  </si>
  <si>
    <t>13396.txt</t>
  </si>
  <si>
    <t>Meh Icon</t>
  </si>
  <si>
    <t>嗯图标</t>
  </si>
  <si>
    <t>13397.txt</t>
  </si>
  <si>
    <t>Wooly Hat</t>
  </si>
  <si>
    <t>13398.txt</t>
  </si>
  <si>
    <t>Perhaps sprayed Blossom Sapling Cutting</t>
  </si>
  <si>
    <t>也许喷洒花树苗切割</t>
  </si>
  <si>
    <t>13399.txt</t>
  </si>
  <si>
    <t>Perhaps sprayed Blossom Sapling</t>
  </si>
  <si>
    <t>也许喷洒了开花树苗</t>
  </si>
  <si>
    <t>13400.txt</t>
  </si>
  <si>
    <t>Perhaps sprayed Forsythia Sapling Cutting</t>
  </si>
  <si>
    <t>也许喷过连翘树苗切割</t>
  </si>
  <si>
    <t>13401.txt</t>
  </si>
  <si>
    <t>Perhaps sprayed Forsythia Sapling</t>
  </si>
  <si>
    <t>也许喷过连翘树苗</t>
  </si>
  <si>
    <t>13402.txt</t>
  </si>
  <si>
    <t>@ Apple Tree Any Season</t>
  </si>
  <si>
    <t>13403.txt</t>
  </si>
  <si>
    <t>@ Orange Tree Any Season</t>
  </si>
  <si>
    <t>13404.txt</t>
  </si>
  <si>
    <t>@ Lemon Tree Any Season</t>
  </si>
  <si>
    <t>13405.txt</t>
  </si>
  <si>
    <t>Wooden Table#cloth +useOnContained</t>
  </si>
  <si>
    <t>木桌#cloth +useOnContained</t>
  </si>
  <si>
    <t>13406.txt</t>
  </si>
  <si>
    <t>13407.txt</t>
  </si>
  <si>
    <t>13408.txt</t>
  </si>
  <si>
    <t>13409.txt</t>
  </si>
  <si>
    <t>13410.txt</t>
  </si>
  <si>
    <t>Toy Pony#rocking</t>
  </si>
  <si>
    <t>玩具小马#rocking</t>
  </si>
  <si>
    <t>13411.txt</t>
  </si>
  <si>
    <t>Brick Bell Tower# monumentCall</t>
  </si>
  <si>
    <t>砖钟楼# monumentCall</t>
  </si>
  <si>
    <t>13412.txt</t>
  </si>
  <si>
    <t>Brick Bell Tower# ready to ring</t>
  </si>
  <si>
    <t>砖钟楼# ready to ring</t>
  </si>
  <si>
    <t>13413.txt</t>
  </si>
  <si>
    <t>Stuck Brick Bell Tower</t>
  </si>
  <si>
    <t>卡住的砖钟楼</t>
  </si>
  <si>
    <t>13414.txt</t>
  </si>
  <si>
    <t>Brick Bell Tower# just rang</t>
  </si>
  <si>
    <t>砖钟楼# just rang</t>
  </si>
  <si>
    <t>13415.txt</t>
  </si>
  <si>
    <t>Sheepskin Boot</t>
  </si>
  <si>
    <t>羊皮靴</t>
  </si>
  <si>
    <t>13416.txt</t>
  </si>
  <si>
    <t>Pair of Sheepskin Boots</t>
  </si>
  <si>
    <t>一双羊皮靴子</t>
  </si>
  <si>
    <t>13417.txt</t>
  </si>
  <si>
    <t>Red Scarf</t>
  </si>
  <si>
    <t>红领巾</t>
  </si>
  <si>
    <t>13418.txt</t>
  </si>
  <si>
    <t>Blue Scarf</t>
  </si>
  <si>
    <t>蓝色围巾</t>
  </si>
  <si>
    <t>13419.txt</t>
  </si>
  <si>
    <t>Black Scarf</t>
  </si>
  <si>
    <t>黑色围巾</t>
  </si>
  <si>
    <t>13420.txt</t>
  </si>
  <si>
    <t>Motorbike#riding</t>
  </si>
  <si>
    <t>摩托车#riding</t>
  </si>
  <si>
    <t>13421.txt</t>
  </si>
  <si>
    <t>Motorbike</t>
  </si>
  <si>
    <t>摩托车</t>
  </si>
  <si>
    <t>13422.txt</t>
  </si>
  <si>
    <t>Motorbike#idle</t>
  </si>
  <si>
    <t>摩托车#idle</t>
  </si>
  <si>
    <t>13423.txt</t>
  </si>
  <si>
    <t>Toy Pony</t>
  </si>
  <si>
    <t>玩具小马</t>
  </si>
  <si>
    <t>13424.txt</t>
  </si>
  <si>
    <t>Brewery #empty</t>
  </si>
  <si>
    <t>啤酒厂#empty</t>
  </si>
  <si>
    <t>13425.txt</t>
  </si>
  <si>
    <t>Brewery with Water</t>
  </si>
  <si>
    <t>啤酒厂用水</t>
  </si>
  <si>
    <t>13426.txt</t>
  </si>
  <si>
    <t>Brewery with Water #firewood</t>
  </si>
  <si>
    <t>啤酒厂用水#firewood</t>
  </si>
  <si>
    <t>13427.txt</t>
  </si>
  <si>
    <t>Brewery with Water #firewood #2</t>
  </si>
  <si>
    <t>啤酒厂用水#firewood #2</t>
  </si>
  <si>
    <t>13428.txt</t>
  </si>
  <si>
    <t>Brewery with Boiling Water</t>
  </si>
  <si>
    <t>啤酒厂用沸水</t>
  </si>
  <si>
    <t>13429.txt</t>
  </si>
  <si>
    <t>Brewery with Hot Water</t>
  </si>
  <si>
    <t>啤酒厂提供热水</t>
  </si>
  <si>
    <t>13430.txt</t>
  </si>
  <si>
    <t>Brewery with Mash</t>
  </si>
  <si>
    <t>啤酒厂与马什</t>
  </si>
  <si>
    <t>13431.txt</t>
  </si>
  <si>
    <t>Brewery with Wort</t>
  </si>
  <si>
    <t>麦芽汁啤酒厂</t>
  </si>
  <si>
    <t>13432.txt</t>
  </si>
  <si>
    <t>Brewery with Wort #firewood</t>
  </si>
  <si>
    <t>啤酒厂麦芽汁#firewood</t>
  </si>
  <si>
    <t>13433.txt</t>
  </si>
  <si>
    <t>Brewery with Wort #firewood #2</t>
  </si>
  <si>
    <t>麦芽汁啤酒厂#firewood #2</t>
  </si>
  <si>
    <t>13434.txt</t>
  </si>
  <si>
    <t>Brewery with Boiling Wort</t>
  </si>
  <si>
    <t>啤酒厂煮沸麦芽汁</t>
  </si>
  <si>
    <t>13435.txt</t>
  </si>
  <si>
    <t>Brewery with Boiling Wort and Hops</t>
  </si>
  <si>
    <t>啤酒厂用煮沸的麦芽汁和啤酒花</t>
  </si>
  <si>
    <t>13436.txt</t>
  </si>
  <si>
    <t>Brewery with Boiling Wort and Hops #closed</t>
  </si>
  <si>
    <t>啤酒厂用煮沸的麦芽汁和啤酒花#closed</t>
  </si>
  <si>
    <t>13438.txt</t>
  </si>
  <si>
    <t>Brewery with Boiled Wort and Hops #open</t>
  </si>
  <si>
    <t>啤酒厂煮麦芽汁和啤酒花#open</t>
  </si>
  <si>
    <t>13439.txt</t>
  </si>
  <si>
    <t>Brewery with Boiled Wort and Hops #closed</t>
  </si>
  <si>
    <t>啤酒厂煮麦芽汁和啤酒花#closed</t>
  </si>
  <si>
    <t>13440.txt</t>
  </si>
  <si>
    <t>Brewery with Fermenting Wort #1</t>
  </si>
  <si>
    <t>发酵麦汁啤酒厂#1</t>
  </si>
  <si>
    <t>13441.txt</t>
  </si>
  <si>
    <t>Brewery with Fermenting Wort #2</t>
  </si>
  <si>
    <t>发酵麦汁啤酒厂#2</t>
  </si>
  <si>
    <t>13442.txt</t>
  </si>
  <si>
    <t>Brewery with Beer</t>
  </si>
  <si>
    <t>啤酒厂与啤酒</t>
  </si>
  <si>
    <t>13443.txt</t>
  </si>
  <si>
    <t>Brewery with Ruined Wort</t>
  </si>
  <si>
    <t>啤酒厂的麦芽汁被破坏</t>
  </si>
  <si>
    <t>13444.txt</t>
  </si>
  <si>
    <t>Brewery with Boiling Water #closed</t>
  </si>
  <si>
    <t>啤酒厂用沸水#closed</t>
  </si>
  <si>
    <t>13445.txt</t>
  </si>
  <si>
    <t>Brewery #empty #closed</t>
  </si>
  <si>
    <t>啤酒厂#empty #closed</t>
  </si>
  <si>
    <t>13446.txt</t>
  </si>
  <si>
    <t>Crock of Wheat</t>
  </si>
  <si>
    <t>一缸小麦</t>
  </si>
  <si>
    <t>13447.txt</t>
  </si>
  <si>
    <t>Crock of Soaking Wheat</t>
  </si>
  <si>
    <t>一缸浸泡小麦</t>
  </si>
  <si>
    <t>13448.txt</t>
  </si>
  <si>
    <t>Crock of Soaked Wheat</t>
  </si>
  <si>
    <t>一缸泡过的小麦</t>
  </si>
  <si>
    <t>13449.txt</t>
  </si>
  <si>
    <t>Pile of Soaked Wheat</t>
  </si>
  <si>
    <t>一堆浸泡过的小麦</t>
  </si>
  <si>
    <t>13450.txt</t>
  </si>
  <si>
    <t>Pile of Soaked Wheat#spread</t>
  </si>
  <si>
    <t>一堆浸湿的小麦#spread</t>
  </si>
  <si>
    <t>13451.txt</t>
  </si>
  <si>
    <t>Pile of Germinating Wheat</t>
  </si>
  <si>
    <t>一堆发芽的小麦</t>
  </si>
  <si>
    <t>13452.txt</t>
  </si>
  <si>
    <t>Crock of Germinating Wheat</t>
  </si>
  <si>
    <t>一缸发芽的小麦</t>
  </si>
  <si>
    <t>13454.txt</t>
  </si>
  <si>
    <t>Crock of Wheat Malt</t>
  </si>
  <si>
    <t>一罐小麦芽</t>
  </si>
  <si>
    <t>13455.txt</t>
  </si>
  <si>
    <t>Bowl of Wheat Malt</t>
  </si>
  <si>
    <t>一碗小麦芽</t>
  </si>
  <si>
    <t>13456.txt</t>
  </si>
  <si>
    <t>Crock of Wheat Malt#just filled</t>
  </si>
  <si>
    <t>一罐小麦麦芽#just filled</t>
  </si>
  <si>
    <t>13457.txt</t>
  </si>
  <si>
    <t>Bowl of Crushed Malt</t>
  </si>
  <si>
    <t>一碗碎麦芽</t>
  </si>
  <si>
    <t>13458.txt</t>
  </si>
  <si>
    <t>Bowl of Crushed Malt #just scooped</t>
  </si>
  <si>
    <t>一碗碎麦芽#just scooped</t>
  </si>
  <si>
    <t>13459.txt</t>
  </si>
  <si>
    <t>Crock of Crushed Malt</t>
  </si>
  <si>
    <t>一罐碎麦芽</t>
  </si>
  <si>
    <t>13460.txt</t>
  </si>
  <si>
    <t>Crock of Crushed Malt#just filled</t>
  </si>
  <si>
    <t>一罐碎麦芽#just filled</t>
  </si>
  <si>
    <t>13461.txt</t>
  </si>
  <si>
    <t>Brewery #empty #just opened</t>
  </si>
  <si>
    <t>啤酒厂#empty #just opened</t>
  </si>
  <si>
    <t>13462.txt</t>
  </si>
  <si>
    <t>Bucket of Wort</t>
  </si>
  <si>
    <t>一桶麦芽汁</t>
  </si>
  <si>
    <t>13463.txt</t>
  </si>
  <si>
    <t>Bucket of Boiled Wort</t>
  </si>
  <si>
    <t>一桶煮沸的麦芽汁</t>
  </si>
  <si>
    <t>13464.txt</t>
  </si>
  <si>
    <t>Mug of Beer# +noFeeding +emotEat-6_10 +alcohol5</t>
  </si>
  <si>
    <t>一杯啤酒# +noFeeding +emotEat-6_10 +alcohol5</t>
  </si>
  <si>
    <t>13465.txt</t>
  </si>
  <si>
    <t>Clay Mug</t>
  </si>
  <si>
    <t>粘土杯</t>
  </si>
  <si>
    <t>13466.txt</t>
  </si>
  <si>
    <t>Wet Clay Mug</t>
  </si>
  <si>
    <t>湿粘土杯</t>
  </si>
  <si>
    <t>13467.txt</t>
  </si>
  <si>
    <t>Wet Mug in Wooden Tongs</t>
  </si>
  <si>
    <t>木钳中的湿杯子</t>
  </si>
  <si>
    <t>13468.txt</t>
  </si>
  <si>
    <t>Fired Mug in Wooden Tongs</t>
  </si>
  <si>
    <t>木钳烧制杯子</t>
  </si>
  <si>
    <t>13469.txt</t>
  </si>
  <si>
    <t>Large Copper Pot</t>
  </si>
  <si>
    <t>大铜锅</t>
  </si>
  <si>
    <t>13470.txt</t>
  </si>
  <si>
    <t>Brewery Under Construction #Boil Kettle #1</t>
  </si>
  <si>
    <t>正在建设的啤酒厂#Boil Kettle #1</t>
  </si>
  <si>
    <t>13471.txt</t>
  </si>
  <si>
    <t>Brewery Under Construction #Boil Kettle #2</t>
  </si>
  <si>
    <t>正在建设的啤酒厂#Boil Kettle #2</t>
  </si>
  <si>
    <t>13472.txt</t>
  </si>
  <si>
    <t>Brewery Under Construction #Boil Kettle #3</t>
  </si>
  <si>
    <t>正在建设的啤酒厂#Boil Kettle #3</t>
  </si>
  <si>
    <t>13473.txt</t>
  </si>
  <si>
    <t>Brewery Under Construction #Boil Kettle #4</t>
  </si>
  <si>
    <t>正在建设的啤酒厂#Boil Kettle #4</t>
  </si>
  <si>
    <t>13474.txt</t>
  </si>
  <si>
    <t>Brewery Under Construction #Fermentation Tank #4</t>
  </si>
  <si>
    <t>正在建设的啤酒厂 #Fermentation Tank #4</t>
  </si>
  <si>
    <t>13475.txt</t>
  </si>
  <si>
    <t>Brewery Under Construction #Fermentation Tank #3</t>
  </si>
  <si>
    <t>正在建设的啤酒厂#Fermentation Tank #3</t>
  </si>
  <si>
    <t>13476.txt</t>
  </si>
  <si>
    <t>Brewery Under Construction #Fermentation Tank #2</t>
  </si>
  <si>
    <t>正在建设的啤酒厂#Fermentation Tank #2</t>
  </si>
  <si>
    <t>13477.txt</t>
  </si>
  <si>
    <t>Brewery Under Construction #Fermentation Tank #1</t>
  </si>
  <si>
    <t>正在建设的啤酒厂#Fermentation Tank #1</t>
  </si>
  <si>
    <t>13478.txt</t>
  </si>
  <si>
    <t>Brewery #just built</t>
  </si>
  <si>
    <t>啤酒厂#just built</t>
  </si>
  <si>
    <t>13479.txt</t>
  </si>
  <si>
    <t>Brewery with Spent Grain #emptied</t>
  </si>
  <si>
    <t>啤酒厂用过的谷物#emptied</t>
  </si>
  <si>
    <t>13480.txt</t>
  </si>
  <si>
    <t>Brewery with Spent Grain #inside</t>
  </si>
  <si>
    <t>啤酒厂用过的谷物#inside</t>
  </si>
  <si>
    <t>13481.txt</t>
  </si>
  <si>
    <t>Simmering Maple Syrup</t>
  </si>
  <si>
    <t>煮枫糖浆</t>
  </si>
  <si>
    <t>13482.txt</t>
  </si>
  <si>
    <t>Pair of Sandals</t>
  </si>
  <si>
    <t>一双凉鞋</t>
  </si>
  <si>
    <t>13483.txt</t>
  </si>
  <si>
    <t>Cassiterite</t>
  </si>
  <si>
    <t>锡石</t>
  </si>
  <si>
    <t>13484.txt</t>
  </si>
  <si>
    <t>Crucible with Cassiterite</t>
  </si>
  <si>
    <t>锡石坩埚</t>
  </si>
  <si>
    <t>13485.txt</t>
  </si>
  <si>
    <t>Crucible with Cassiterite and Charcoal</t>
  </si>
  <si>
    <t>装有锡石和木炭的坩埚</t>
  </si>
  <si>
    <t>13486.txt</t>
  </si>
  <si>
    <t>Unforged Sealed Tin Crucible</t>
  </si>
  <si>
    <t>未锻造密封锡坩埚</t>
  </si>
  <si>
    <t>13487.txt</t>
  </si>
  <si>
    <t>Hot Forged Tin Crucible</t>
  </si>
  <si>
    <t>热锻锡坩埚</t>
  </si>
  <si>
    <t>13488.txt</t>
  </si>
  <si>
    <t>Forged Tin Crucible</t>
  </si>
  <si>
    <t>锻锡坩埚</t>
  </si>
  <si>
    <t>13489.txt</t>
  </si>
  <si>
    <t>Hot Tin Crucible in Wooden Tongs</t>
  </si>
  <si>
    <t>木钳中的热锡坩埚</t>
  </si>
  <si>
    <t>13490.txt</t>
  </si>
  <si>
    <t>Unforged Tin Crucible in Wooden Tongs</t>
  </si>
  <si>
    <t>木钳中的未锻造锡坩埚</t>
  </si>
  <si>
    <t>13491.txt</t>
  </si>
  <si>
    <t>Cool Tin Crucible in Wooden Tongs</t>
  </si>
  <si>
    <t>木钳中的冷锡坩埚</t>
  </si>
  <si>
    <t>13492.txt</t>
  </si>
  <si>
    <t>Crucible with Tin</t>
  </si>
  <si>
    <t>锡坩埚</t>
  </si>
  <si>
    <t>13493.txt</t>
  </si>
  <si>
    <t>Tin Ingot</t>
  </si>
  <si>
    <t>锡锭</t>
  </si>
  <si>
    <t>13494.txt</t>
  </si>
  <si>
    <t>Stack of Tin Ingots</t>
  </si>
  <si>
    <t>锡锭堆栈</t>
  </si>
  <si>
    <t>13495.txt</t>
  </si>
  <si>
    <t>Pile of Cassiterite</t>
  </si>
  <si>
    <t>一堆锡石</t>
  </si>
  <si>
    <t>13496.txt</t>
  </si>
  <si>
    <t>Bowl with Bauxite Ore</t>
  </si>
  <si>
    <t>装有铝土矿的碗</t>
  </si>
  <si>
    <t>13497.txt</t>
  </si>
  <si>
    <t>Bauxite</t>
  </si>
  <si>
    <t>铝土矿</t>
  </si>
  <si>
    <t>13498.txt</t>
  </si>
  <si>
    <t>Bowl of Bauxite Powder</t>
  </si>
  <si>
    <t>一碗铝土矿粉</t>
  </si>
  <si>
    <t>13499.txt</t>
  </si>
  <si>
    <t>Stone and Snare</t>
  </si>
  <si>
    <t>石头与圈套</t>
  </si>
  <si>
    <t>13500.txt</t>
  </si>
  <si>
    <t>Stack of Thin Steel Pipes</t>
  </si>
  <si>
    <t>一堆薄钢管</t>
  </si>
  <si>
    <t>13501.txt</t>
  </si>
  <si>
    <t>Empty Stone Furnace</t>
  </si>
  <si>
    <t>空石炉</t>
  </si>
  <si>
    <t>13502.txt</t>
  </si>
  <si>
    <t>Stone Kiln with Limestone Pile</t>
  </si>
  <si>
    <t>石灰石堆石窑</t>
  </si>
  <si>
    <t>13503.txt</t>
  </si>
  <si>
    <t>Wood-filled Stone Kiln with Limestone Pile</t>
  </si>
  <si>
    <t>石灰石堆木柴石窑</t>
  </si>
  <si>
    <t>13504.txt</t>
  </si>
  <si>
    <t>Firing Stone Kiln with Limestone Pile</t>
  </si>
  <si>
    <t>石灰石堆烧石窑</t>
  </si>
  <si>
    <t>13506.txt</t>
  </si>
  <si>
    <t>Closed Firing Stone Kiln with Limestone Pile</t>
  </si>
  <si>
    <t>石灰石堆封闭式石窑</t>
  </si>
  <si>
    <t>13507.txt</t>
  </si>
  <si>
    <t>@ Any Iron Door Closer</t>
  </si>
  <si>
    <t>13508.txt</t>
  </si>
  <si>
    <t>Stone Kiln with Quicklime</t>
  </si>
  <si>
    <t>生石灰石窑</t>
  </si>
  <si>
    <t>13509.txt</t>
  </si>
  <si>
    <t>Empty Stone Kiln# just emptied</t>
  </si>
  <si>
    <t>空石窑# just emptied</t>
  </si>
  <si>
    <t>13510.txt</t>
  </si>
  <si>
    <t>Closed Stone Kiln with Quicklime</t>
  </si>
  <si>
    <t>封闭式生石灰石窑</t>
  </si>
  <si>
    <t>13511.txt</t>
  </si>
  <si>
    <t>Stone Kiln with Wet Clay Bowls</t>
  </si>
  <si>
    <t>带湿粘土碗的石窑</t>
  </si>
  <si>
    <t>13512.txt</t>
  </si>
  <si>
    <t>Wood-filled Stone Kiln with Wet Clay Bowls</t>
  </si>
  <si>
    <t>带湿粘土碗的木填充石窑</t>
  </si>
  <si>
    <t>13513.txt</t>
  </si>
  <si>
    <t>Firing Stone Kiln with Wet Clay Bowls</t>
  </si>
  <si>
    <t>用湿粘土碗烧制石窑</t>
  </si>
  <si>
    <t>13514.txt</t>
  </si>
  <si>
    <t>Closed Firing Stone Kiln with Wet Clay Bowls</t>
  </si>
  <si>
    <t>湿粘土碗封闭式烧制石窑</t>
  </si>
  <si>
    <t>13515.txt</t>
  </si>
  <si>
    <t>Closed Stone Kiln with Clay Bowls</t>
  </si>
  <si>
    <t>封闭式石窑粘土碗</t>
  </si>
  <si>
    <t>13516.txt</t>
  </si>
  <si>
    <t>Stone Kiln with Clay Bowls</t>
  </si>
  <si>
    <t>石窑粘土碗</t>
  </si>
  <si>
    <t>13517.txt</t>
  </si>
  <si>
    <t>Stone Kiln with Wet Clay Plates</t>
  </si>
  <si>
    <t>湿粘土板石窑</t>
  </si>
  <si>
    <t>13518.txt</t>
  </si>
  <si>
    <t>Wood-filled Stone Kiln with Wet Clay Plates</t>
  </si>
  <si>
    <t>湿粘土板填充木石窑</t>
  </si>
  <si>
    <t>13519.txt</t>
  </si>
  <si>
    <t>Stone Kiln with Clay Plates</t>
  </si>
  <si>
    <t>粘土板石窑</t>
  </si>
  <si>
    <t>13520.txt</t>
  </si>
  <si>
    <t>Firing Stone Kiln with Wet Clay Plates</t>
  </si>
  <si>
    <t>使用湿粘土板烧制石窑</t>
  </si>
  <si>
    <t>13521.txt</t>
  </si>
  <si>
    <t>Closed Firing Stone Kiln with Wet Clay Plates</t>
  </si>
  <si>
    <t>湿粘土板封闭式烧制石窑</t>
  </si>
  <si>
    <t>13522.txt</t>
  </si>
  <si>
    <t>Closed Stone Kiln with Clay Plates</t>
  </si>
  <si>
    <t>封闭式粘土板石窑</t>
  </si>
  <si>
    <t>13523.txt</t>
  </si>
  <si>
    <t>Stone Kiln with Wet Bricks</t>
  </si>
  <si>
    <t>湿砖石窑</t>
  </si>
  <si>
    <t>13524.txt</t>
  </si>
  <si>
    <t>Wood-filled Stone Kiln with Wet Bricks</t>
  </si>
  <si>
    <t>湿砖填充木石窑</t>
  </si>
  <si>
    <t>13525.txt</t>
  </si>
  <si>
    <t>Stone Kiln with Bricks</t>
  </si>
  <si>
    <t>石窑砖</t>
  </si>
  <si>
    <t>13526.txt</t>
  </si>
  <si>
    <t>Firing Stone Kiln with Wet Bricks</t>
  </si>
  <si>
    <t>湿砖烧制石窑</t>
  </si>
  <si>
    <t>13527.txt</t>
  </si>
  <si>
    <t>Closed Stone Kiln with Bricks</t>
  </si>
  <si>
    <t>封闭式石窑砖</t>
  </si>
  <si>
    <t>13528.txt</t>
  </si>
  <si>
    <t>Closed Firing Stone Kiln with Wet Bricks</t>
  </si>
  <si>
    <t>湿砖密闭烧制石窑</t>
  </si>
  <si>
    <t>13529.txt</t>
  </si>
  <si>
    <t>Brick in Wooden Tongs# just removed</t>
  </si>
  <si>
    <t>木钳中的砖# just removed</t>
  </si>
  <si>
    <t>13530.txt</t>
  </si>
  <si>
    <t>Adobe Kiln# just cooled</t>
  </si>
  <si>
    <t>13531.txt</t>
  </si>
  <si>
    <t>Adobe Forge# just cooled</t>
  </si>
  <si>
    <t>13532.txt</t>
  </si>
  <si>
    <t>Stone Furnace with Charcoal</t>
  </si>
  <si>
    <t>石炉木炭</t>
  </si>
  <si>
    <t>13533.txt</t>
  </si>
  <si>
    <t>Firing Stone Furnace</t>
  </si>
  <si>
    <t>烧石炉</t>
  </si>
  <si>
    <t>13534.txt</t>
  </si>
  <si>
    <t>Empty Stone Furnace# just cooled</t>
  </si>
  <si>
    <t>空石炉# just cooled</t>
  </si>
  <si>
    <t>13535.txt</t>
  </si>
  <si>
    <t>Pile of Coal</t>
  </si>
  <si>
    <t>一堆煤</t>
  </si>
  <si>
    <t>13536.txt</t>
  </si>
  <si>
    <t>Coal#1</t>
  </si>
  <si>
    <t>煤炭#1</t>
  </si>
  <si>
    <t>13538.txt</t>
  </si>
  <si>
    <t>Pile of Coal#2</t>
  </si>
  <si>
    <t>一堆煤#2</t>
  </si>
  <si>
    <t>13539.txt</t>
  </si>
  <si>
    <t>Pile of Coke</t>
  </si>
  <si>
    <t>一堆可乐</t>
  </si>
  <si>
    <t>13540.txt</t>
  </si>
  <si>
    <t>Basket of Coke</t>
  </si>
  <si>
    <t>一篮子可乐</t>
  </si>
  <si>
    <t>13541.txt</t>
  </si>
  <si>
    <t>Basket of Coal</t>
  </si>
  <si>
    <t>一篮子煤炭</t>
  </si>
  <si>
    <t>13542.txt</t>
  </si>
  <si>
    <t>Stone Kiln with Coal</t>
  </si>
  <si>
    <t>石窑煤</t>
  </si>
  <si>
    <t>13543.txt</t>
  </si>
  <si>
    <t>Stone Kiln with Coke</t>
  </si>
  <si>
    <t>石窑焦炭</t>
  </si>
  <si>
    <t>13544.txt</t>
  </si>
  <si>
    <t>Wood-filled Stone Kiln with Coal</t>
  </si>
  <si>
    <t>燃木石煤窑</t>
  </si>
  <si>
    <t>13545.txt</t>
  </si>
  <si>
    <t>Firing Stone Kiln with Coal</t>
  </si>
  <si>
    <t>用煤烧制石窑</t>
  </si>
  <si>
    <t>13546.txt</t>
  </si>
  <si>
    <t>Closed Firing Stone Kiln with Coal</t>
  </si>
  <si>
    <t>封闭式烧煤石窑</t>
  </si>
  <si>
    <t>13547.txt</t>
  </si>
  <si>
    <t>Closed Stone Kiln with Coke</t>
  </si>
  <si>
    <t>封闭式焦炭石窑</t>
  </si>
  <si>
    <t>13548.txt</t>
  </si>
  <si>
    <t>Huge Coal Pile</t>
  </si>
  <si>
    <t>巨大的煤堆</t>
  </si>
  <si>
    <t>13549.txt</t>
  </si>
  <si>
    <t>Huge Coke Pile</t>
  </si>
  <si>
    <t>巨大的焦炭堆</t>
  </si>
  <si>
    <t>13550.txt</t>
  </si>
  <si>
    <t>Stone Furnace with Coal</t>
  </si>
  <si>
    <t>石炉煤</t>
  </si>
  <si>
    <t>13551.txt</t>
  </si>
  <si>
    <t>Stone Furnace with Coke</t>
  </si>
  <si>
    <t>石炉焦炭</t>
  </si>
  <si>
    <t>13553.txt</t>
  </si>
  <si>
    <t>@ Any Forge</t>
  </si>
  <si>
    <t>13554.txt</t>
  </si>
  <si>
    <t>Firing Stone Furnace#coke</t>
  </si>
  <si>
    <t>烧石炉#coke</t>
  </si>
  <si>
    <t>13555.txt</t>
  </si>
  <si>
    <t>Adobe Forge with Coal</t>
  </si>
  <si>
    <t>Adobe 用煤炭锻造</t>
  </si>
  <si>
    <t>13556.txt</t>
  </si>
  <si>
    <t>Adobe Forge with Coke</t>
  </si>
  <si>
    <t>Adobe Forge 与可乐</t>
  </si>
  <si>
    <t>13557.txt</t>
  </si>
  <si>
    <t>Firing Adobe Forge#coke</t>
  </si>
  <si>
    <t>解雇 Adobe Forge#coke</t>
  </si>
  <si>
    <t>13558.txt</t>
  </si>
  <si>
    <t>Adobe Kiln with Coke</t>
  </si>
  <si>
    <t>土坯窑与可乐</t>
  </si>
  <si>
    <t>13559.txt</t>
  </si>
  <si>
    <t>Adobe Kiln with Coal</t>
  </si>
  <si>
    <t>土坯窑用煤</t>
  </si>
  <si>
    <t>13560.txt</t>
  </si>
  <si>
    <t>Brick Oven</t>
  </si>
  <si>
    <t>砖炉</t>
  </si>
  <si>
    <t>13561.txt</t>
  </si>
  <si>
    <t>Firebrick</t>
  </si>
  <si>
    <t>耐火砖</t>
  </si>
  <si>
    <t>13562.txt</t>
  </si>
  <si>
    <t>Wet Firebrick</t>
  </si>
  <si>
    <t>湿耐火砖</t>
  </si>
  <si>
    <t>13563.txt</t>
  </si>
  <si>
    <t>Stack of Wet Firebricks</t>
  </si>
  <si>
    <t>一堆湿耐火砖</t>
  </si>
  <si>
    <t>13564.txt</t>
  </si>
  <si>
    <t>Stack of Firebricks</t>
  </si>
  <si>
    <t>一堆耐火砖</t>
  </si>
  <si>
    <t>13565.txt</t>
  </si>
  <si>
    <t>Pit Stakes with Firebricks</t>
  </si>
  <si>
    <t>带耐火砖的坑桩</t>
  </si>
  <si>
    <t>13566.txt</t>
  </si>
  <si>
    <t>Wheelbarrow with Firebricks #half full</t>
  </si>
  <si>
    <t>带火砖的独轮车#half full</t>
  </si>
  <si>
    <t>13567.txt</t>
  </si>
  <si>
    <t>Wheelbarrow with Firebricks#full</t>
  </si>
  <si>
    <t>带火砖的独轮车#full</t>
  </si>
  <si>
    <t>13568.txt</t>
  </si>
  <si>
    <t>Wheelbarrow with Wet Firebricks#full</t>
  </si>
  <si>
    <t>带湿耐火砖的独轮车#full</t>
  </si>
  <si>
    <t>13569.txt</t>
  </si>
  <si>
    <t>Wheelbarrow with Wet Firebricks #half full</t>
  </si>
  <si>
    <t>带湿耐火砖的独轮车#half full</t>
  </si>
  <si>
    <t>13570.txt</t>
  </si>
  <si>
    <t>Fertile Soil Pile and Clay</t>
  </si>
  <si>
    <t>肥沃的土堆和粘土</t>
  </si>
  <si>
    <t>13572.txt</t>
  </si>
  <si>
    <t>Wet Soil and Clay Mixture</t>
  </si>
  <si>
    <t>湿土和粘土混合物</t>
  </si>
  <si>
    <t>13573.txt</t>
  </si>
  <si>
    <t>Wet Soil and Fireclay Mixture</t>
  </si>
  <si>
    <t>湿土和耐火粘土混合物</t>
  </si>
  <si>
    <t>13574.txt</t>
  </si>
  <si>
    <t>Clay and Bauxite Powder</t>
  </si>
  <si>
    <t>粘土和铝土矿粉</t>
  </si>
  <si>
    <t>13575.txt</t>
  </si>
  <si>
    <t>Fireclay</t>
  </si>
  <si>
    <t>耐火粘土</t>
  </si>
  <si>
    <t>13576.txt</t>
  </si>
  <si>
    <t>Fertile Soil Pile and Fireclay</t>
  </si>
  <si>
    <t>肥沃的土堆和耐火粘土</t>
  </si>
  <si>
    <t>13577.txt</t>
  </si>
  <si>
    <t>Fireclay Pile</t>
  </si>
  <si>
    <t>耐火粘土堆</t>
  </si>
  <si>
    <t>13578.txt</t>
  </si>
  <si>
    <t>Clay Bowl with Firebrick Mixture</t>
  </si>
  <si>
    <t>粘土碗与耐火砖混合物</t>
  </si>
  <si>
    <t>13579.txt</t>
  </si>
  <si>
    <t>Flat Rock with Compressed Firebrick</t>
  </si>
  <si>
    <t>扁平岩石与压缩耐火砖</t>
  </si>
  <si>
    <t>13580.txt</t>
  </si>
  <si>
    <t>Flat Rock with Wet Shaped Firebrick</t>
  </si>
  <si>
    <t>带湿形耐火砖的扁平岩石</t>
  </si>
  <si>
    <t>13581.txt</t>
  </si>
  <si>
    <t>Flat Rock with Firebrick Mixture</t>
  </si>
  <si>
    <t>扁平岩石与耐火砖混合物</t>
  </si>
  <si>
    <t>13582.txt</t>
  </si>
  <si>
    <t>Wet Firebrick in Wooden Tongs</t>
  </si>
  <si>
    <t>木钳中的湿耐火砖</t>
  </si>
  <si>
    <t>13583.txt</t>
  </si>
  <si>
    <t>Firebrick in Wooden Tongs</t>
  </si>
  <si>
    <t>木钳中的耐火砖</t>
  </si>
  <si>
    <t>13584.txt</t>
  </si>
  <si>
    <t>Stone Kiln with Wet Firebricks</t>
  </si>
  <si>
    <t>湿法耐火砖石窑</t>
  </si>
  <si>
    <t>13585.txt</t>
  </si>
  <si>
    <t>Wood-filled Stone Kiln with Wet Firebricks</t>
  </si>
  <si>
    <t>湿法耐火砖填充木石窑</t>
  </si>
  <si>
    <t>13586.txt</t>
  </si>
  <si>
    <t>Stone Kiln with Firebricks</t>
  </si>
  <si>
    <t>石窑耐火砖</t>
  </si>
  <si>
    <t>13587.txt</t>
  </si>
  <si>
    <t>Firing Stone Kiln with Wet Firebricks</t>
  </si>
  <si>
    <t>用湿耐火砖烧制石窑</t>
  </si>
  <si>
    <t>13588.txt</t>
  </si>
  <si>
    <t>Closed Firing Stone Kiln with Wet Firebricks</t>
  </si>
  <si>
    <t>湿法耐火砖封闭式烧制石窑</t>
  </si>
  <si>
    <t>13589.txt</t>
  </si>
  <si>
    <t>Closed Stone Kiln with Firebricks</t>
  </si>
  <si>
    <t>封闭式石窑耐火砖</t>
  </si>
  <si>
    <t>13590.txt</t>
  </si>
  <si>
    <t>Firebrick in Wooden Tongs# just removed</t>
  </si>
  <si>
    <t>木钳中的耐火砖# just removed</t>
  </si>
  <si>
    <t>13591.txt</t>
  </si>
  <si>
    <t>Bucket of Gravel</t>
  </si>
  <si>
    <t>一桶碎石</t>
  </si>
  <si>
    <t>13592.txt</t>
  </si>
  <si>
    <t>Gravel# just chopped</t>
  </si>
  <si>
    <t>砾石# just chopped</t>
  </si>
  <si>
    <t>13593.txt</t>
  </si>
  <si>
    <t>Crock of Lime Gravel</t>
  </si>
  <si>
    <t>石灰砾石缸</t>
  </si>
  <si>
    <t>13594.txt</t>
  </si>
  <si>
    <t>Crock of Lime Gravel and Clay</t>
  </si>
  <si>
    <t>石灰砾石和粘土缸</t>
  </si>
  <si>
    <t>13595.txt</t>
  </si>
  <si>
    <t>Wooden Tongs with Crock of Lime Gravel and Clay</t>
  </si>
  <si>
    <t>带有石灰砾石和粘土的木钳</t>
  </si>
  <si>
    <t>13596.txt</t>
  </si>
  <si>
    <t>Crock of Clinker</t>
  </si>
  <si>
    <t>熟料缸</t>
  </si>
  <si>
    <t>13597.txt</t>
  </si>
  <si>
    <t>Wooden Tongs with Crock of Clinker</t>
  </si>
  <si>
    <t>装有熟料缸的木钳</t>
  </si>
  <si>
    <t>13598.txt</t>
  </si>
  <si>
    <t>Crock of Cement</t>
  </si>
  <si>
    <t>水泥缸</t>
  </si>
  <si>
    <t>13599.txt</t>
  </si>
  <si>
    <t>Sack of Cement #5</t>
  </si>
  <si>
    <t>一袋水泥 #5</t>
  </si>
  <si>
    <t>13600.txt</t>
  </si>
  <si>
    <t>Wheelbarrow of Cement</t>
  </si>
  <si>
    <t>水泥独轮车</t>
  </si>
  <si>
    <t>13601.txt</t>
  </si>
  <si>
    <t>Wheelbarrow of Cement and Gravel</t>
  </si>
  <si>
    <t>水泥和砾石的独轮车</t>
  </si>
  <si>
    <t>13602.txt</t>
  </si>
  <si>
    <t>Wheelbarrow of Concrete</t>
  </si>
  <si>
    <t>混凝土独轮车</t>
  </si>
  <si>
    <t>13603.txt</t>
  </si>
  <si>
    <t>Shovel of Concrete</t>
  </si>
  <si>
    <t>混凝土铲</t>
  </si>
  <si>
    <t>13605.txt</t>
  </si>
  <si>
    <t>Shovel# just emptied</t>
  </si>
  <si>
    <t>铲子# just emptied</t>
  </si>
  <si>
    <t>13606.txt</t>
  </si>
  <si>
    <t>Basket of Gravel</t>
  </si>
  <si>
    <t>一篮砾石</t>
  </si>
  <si>
    <t>13607.txt</t>
  </si>
  <si>
    <t>Wood-filled Brick Oven</t>
  </si>
  <si>
    <t>填充木材的砖烤箱</t>
  </si>
  <si>
    <t>13608.txt</t>
  </si>
  <si>
    <t>Hot Brick Oven</t>
  </si>
  <si>
    <t>热砖烤箱</t>
  </si>
  <si>
    <t>13609.txt</t>
  </si>
  <si>
    <t>Stack of Firebricks# just broken</t>
  </si>
  <si>
    <t>一堆 Firebricks# just broken</t>
  </si>
  <si>
    <t>13610.txt</t>
  </si>
  <si>
    <t>Steel Wheel with Tire</t>
  </si>
  <si>
    <t>带轮胎的钢轮</t>
  </si>
  <si>
    <t>13611.txt</t>
  </si>
  <si>
    <t>Steel Wheelbarrow</t>
  </si>
  <si>
    <t>钢独轮车</t>
  </si>
  <si>
    <t>13613.txt</t>
  </si>
  <si>
    <t>Onigiri</t>
  </si>
  <si>
    <t>饭团</t>
  </si>
  <si>
    <t>13614.txt</t>
  </si>
  <si>
    <t>Bronze Shovel of Concrete</t>
  </si>
  <si>
    <t>青铜混凝土铲</t>
  </si>
  <si>
    <t>13615.txt</t>
  </si>
  <si>
    <t>Bronze Shovel# just emptied</t>
  </si>
  <si>
    <t>青铜铲子# just emptied</t>
  </si>
  <si>
    <t>13616.txt</t>
  </si>
  <si>
    <t>Adobe Oven# just cooled</t>
  </si>
  <si>
    <t>13617.txt</t>
  </si>
  <si>
    <t>(outdated) Mine Shaft with Bauxite #desert</t>
  </si>
  <si>
    <t>13618.txt</t>
  </si>
  <si>
    <t>(outdated) Mine Shaft with Coal #precious</t>
  </si>
  <si>
    <t>（过时）装有煤的矿井#precious</t>
  </si>
  <si>
    <t>13619.txt</t>
  </si>
  <si>
    <t>Pit Stakes with Mixed Cut Stones</t>
  </si>
  <si>
    <t>混合切割石的坑桩</t>
  </si>
  <si>
    <t>13621.txt</t>
  </si>
  <si>
    <t>Pile of Bauxite</t>
  </si>
  <si>
    <t>一堆铝土矿</t>
  </si>
  <si>
    <t>13622.txt</t>
  </si>
  <si>
    <t>Wheelbarrow of Dried Concrete</t>
  </si>
  <si>
    <t>干混凝土独轮车</t>
  </si>
  <si>
    <t>13623.txt</t>
  </si>
  <si>
    <t>Wheelbarrow#just removed dried concrete</t>
  </si>
  <si>
    <t>独轮车#just removed dried concrete</t>
  </si>
  <si>
    <t>13624.txt</t>
  </si>
  <si>
    <t>Shovel with Stakes</t>
  </si>
  <si>
    <t>带木桩的铲子</t>
  </si>
  <si>
    <t>13625.txt</t>
  </si>
  <si>
    <t>Bronze Shovel with Stakes</t>
  </si>
  <si>
    <t>带木桩的青铜铲子</t>
  </si>
  <si>
    <t>13627.txt</t>
  </si>
  <si>
    <t>Bamboo Strips</t>
  </si>
  <si>
    <t>竹条</t>
  </si>
  <si>
    <t>13630.txt</t>
  </si>
  <si>
    <t>Flexible Bamboo Strips</t>
  </si>
  <si>
    <t>柔性竹条</t>
  </si>
  <si>
    <t>13631.txt</t>
  </si>
  <si>
    <t>Pile of Flexible Bamboo Strips</t>
  </si>
  <si>
    <t>一堆柔性竹条</t>
  </si>
  <si>
    <t>13632.txt</t>
  </si>
  <si>
    <t>Big Pile of Flexible Bamboo Strips</t>
  </si>
  <si>
    <t>大堆柔性竹条</t>
  </si>
  <si>
    <t>13633.txt</t>
  </si>
  <si>
    <t>Pile of Flexible Bamboo Strips#3</t>
  </si>
  <si>
    <t>一堆柔性竹条#3</t>
  </si>
  <si>
    <t>13634.txt</t>
  </si>
  <si>
    <t>Stove Pot# silence object</t>
  </si>
  <si>
    <t>炉灶# silence object</t>
  </si>
  <si>
    <t>13635.txt</t>
  </si>
  <si>
    <t>Camping Stove Frame #stowed #just made</t>
  </si>
  <si>
    <t>野营炉架#stowed #just made</t>
  </si>
  <si>
    <t>13636.txt</t>
  </si>
  <si>
    <t>Clay with Coil</t>
  </si>
  <si>
    <t>带线圈的粘土</t>
  </si>
  <si>
    <t>13637.txt</t>
  </si>
  <si>
    <t>Wet Clay Coil</t>
  </si>
  <si>
    <t>湿粘土线圈</t>
  </si>
  <si>
    <t>13638.txt</t>
  </si>
  <si>
    <t>Stack of Clay Mugs#3</t>
  </si>
  <si>
    <t>一堆粘土杯#3</t>
  </si>
  <si>
    <t>13639.txt</t>
  </si>
  <si>
    <t>Stack of Clay Mugs#2</t>
  </si>
  <si>
    <t>一堆粘土杯#2</t>
  </si>
  <si>
    <t>13640.txt</t>
  </si>
  <si>
    <t>Firepit #eveHomeMarker</t>
  </si>
  <si>
    <t>火坑#eveHomeMarker</t>
  </si>
  <si>
    <t>13641.txt</t>
  </si>
  <si>
    <t>Empty Firepit #eveHomeMarker</t>
  </si>
  <si>
    <t>空火坑#eveHomeMarker</t>
  </si>
  <si>
    <t>13642.txt</t>
  </si>
  <si>
    <t>Firepit with Kindling #eveHomeMarker</t>
  </si>
  <si>
    <t>有引火物的火坑#eveHomeMarker</t>
  </si>
  <si>
    <t>13643.txt</t>
  </si>
  <si>
    <t>Firepit with Kindling and Tinder #eveHomeMarker</t>
  </si>
  <si>
    <t>有引火物和火绒的火坑#eveHomeMarker</t>
  </si>
  <si>
    <t>13644.txt</t>
  </si>
  <si>
    <t>Firepit with Smoldering Tinder #eveHomeMarker</t>
  </si>
  <si>
    <t>有阴燃火种的火坑#eveHomeMarker</t>
  </si>
  <si>
    <t>13646.txt</t>
  </si>
  <si>
    <t>Firepit with Burning Tinder #eveHomeMarker</t>
  </si>
  <si>
    <t>有燃烧火种的火坑#eveHomeMarker</t>
  </si>
  <si>
    <t>13648.txt</t>
  </si>
  <si>
    <t>Firepit with Ashes #eveHomeMarker</t>
  </si>
  <si>
    <t>火坑与灰烬#eveHomeMarker</t>
  </si>
  <si>
    <t>13650.txt</t>
  </si>
  <si>
    <t>Firepit with Hot Coals #eveHomeMarker</t>
  </si>
  <si>
    <t>火坑与热煤#eveHomeMarker</t>
  </si>
  <si>
    <t>13651.txt</t>
  </si>
  <si>
    <t>Hot Brick Oven with Roasting Turkey</t>
  </si>
  <si>
    <t>热砖炉烤火鸡</t>
  </si>
  <si>
    <t>13652.txt</t>
  </si>
  <si>
    <t>Hot Brick Oven with Cooked Turkey</t>
  </si>
  <si>
    <t>热砖炉配熟火鸡</t>
  </si>
  <si>
    <t>13653.txt</t>
  </si>
  <si>
    <t>Hot Brick Oven with Raw Pizza</t>
  </si>
  <si>
    <t>热砖烤箱与生披萨</t>
  </si>
  <si>
    <t>13654.txt</t>
  </si>
  <si>
    <t>Hot Brick Oven with Cooked Pizza</t>
  </si>
  <si>
    <t>热砖烤箱与熟披萨</t>
  </si>
  <si>
    <t>13655.txt</t>
  </si>
  <si>
    <t>Ladle test</t>
  </si>
  <si>
    <t>钢包测试</t>
  </si>
  <si>
    <t>13656.txt</t>
  </si>
  <si>
    <t>Ladle Cart of Molten Steel</t>
  </si>
  <si>
    <t>钢水包车</t>
  </si>
  <si>
    <t>13657.txt</t>
  </si>
  <si>
    <t>Deep Water# +noHighlight#seaweed</t>
  </si>
  <si>
    <t>深水# +noHighlight#seaweed</t>
  </si>
  <si>
    <t>13658.txt</t>
  </si>
  <si>
    <t>Seaweed</t>
  </si>
  <si>
    <t>海藻</t>
  </si>
  <si>
    <t>13659.txt</t>
  </si>
  <si>
    <t>Dried Seaweed</t>
  </si>
  <si>
    <t>干海带</t>
  </si>
  <si>
    <t>13660.txt</t>
  </si>
  <si>
    <t>Pile of Seaweed</t>
  </si>
  <si>
    <t>一堆海藻</t>
  </si>
  <si>
    <t>13661.txt</t>
  </si>
  <si>
    <t>Pile of Dried Seaweed</t>
  </si>
  <si>
    <t>一堆干海藻</t>
  </si>
  <si>
    <t>13662.txt</t>
  </si>
  <si>
    <t>Bessemer Converter</t>
  </si>
  <si>
    <t>贝塞麦转换器</t>
  </si>
  <si>
    <t>13663.txt</t>
  </si>
  <si>
    <t>Bessemer Converter#horizontal</t>
  </si>
  <si>
    <t>贝塞麦转换器#horizontal</t>
  </si>
  <si>
    <t>13664.txt</t>
  </si>
  <si>
    <t>Bowl with Native Copper</t>
  </si>
  <si>
    <t>原生铜碗</t>
  </si>
  <si>
    <t>13665.txt</t>
  </si>
  <si>
    <t>Bowl of Crushed Copper Ore</t>
  </si>
  <si>
    <t>一碗碎铜矿石</t>
  </si>
  <si>
    <t>13666.txt</t>
  </si>
  <si>
    <t>Bowl with Crushed Copper Ore in Wooden Tongs</t>
  </si>
  <si>
    <t>木钳中盛有碎铜矿石的碗</t>
  </si>
  <si>
    <t>13668.txt</t>
  </si>
  <si>
    <t>Bowl with Copper Ingot in Wooden Tongs</t>
  </si>
  <si>
    <t>木钳铜锭碗</t>
  </si>
  <si>
    <t>13669.txt</t>
  </si>
  <si>
    <t>Blast Furnace</t>
  </si>
  <si>
    <t>高炉</t>
  </si>
  <si>
    <t>13671.txt</t>
  </si>
  <si>
    <t>Blank Sand Mold</t>
  </si>
  <si>
    <t>毛坯砂型</t>
  </si>
  <si>
    <t>13673.txt</t>
  </si>
  <si>
    <t>Ingot Mold</t>
  </si>
  <si>
    <t>锭模</t>
  </si>
  <si>
    <t>13674.txt</t>
  </si>
  <si>
    <t>Mold with Steel Ingot</t>
  </si>
  <si>
    <t>钢锭模具</t>
  </si>
  <si>
    <t>13675.txt</t>
  </si>
  <si>
    <t>Mold with Pig Iron Ingot</t>
  </si>
  <si>
    <t>生铁锭模具</t>
  </si>
  <si>
    <t>13676.txt</t>
  </si>
  <si>
    <t>Bessemer Converter# Firing</t>
  </si>
  <si>
    <t>贝塞麦转换器# Firing</t>
  </si>
  <si>
    <t>13677.txt</t>
  </si>
  <si>
    <t>Bessemer Converter with Molten Pig Iron#horizontal</t>
  </si>
  <si>
    <t>贝塞麦转炉与熔融生铁#horizo​​ntal</t>
  </si>
  <si>
    <t>13678.txt</t>
  </si>
  <si>
    <t>Bessemer Converter with Molten Steel</t>
  </si>
  <si>
    <t>贝塞麦钢水转炉</t>
  </si>
  <si>
    <t>13679.txt</t>
  </si>
  <si>
    <t>Empty Ladle Cart</t>
  </si>
  <si>
    <t>空钢包车</t>
  </si>
  <si>
    <t>13680.txt</t>
  </si>
  <si>
    <t>Bessemer Converter with Molten Steel#horizontal</t>
  </si>
  <si>
    <t>贝塞麦转炉与钢水#horizo​​ntal</t>
  </si>
  <si>
    <t>13681.txt</t>
  </si>
  <si>
    <t>Ladle Cart of Molten Pig Iron</t>
  </si>
  <si>
    <t>铁水钢包车</t>
  </si>
  <si>
    <t>13683.txt</t>
  </si>
  <si>
    <t>Ingot Mold Filled with Molten Steel</t>
  </si>
  <si>
    <t>充满钢水的钢锭模</t>
  </si>
  <si>
    <t>13684.txt</t>
  </si>
  <si>
    <t>Pig Iron Ingot</t>
  </si>
  <si>
    <t>生铁锭</t>
  </si>
  <si>
    <t>13685.txt</t>
  </si>
  <si>
    <t>Sheet Mold</t>
  </si>
  <si>
    <t>片材模具</t>
  </si>
  <si>
    <t>13686.txt</t>
  </si>
  <si>
    <t>Cylinder Mold</t>
  </si>
  <si>
    <t>缸体模具</t>
  </si>
  <si>
    <t>13687.txt</t>
  </si>
  <si>
    <t>Cylinder Mold Filled with Molten Cast Iron</t>
  </si>
  <si>
    <t>充满熔融铸铁的缸模</t>
  </si>
  <si>
    <t>13688.txt</t>
  </si>
  <si>
    <t>Sheet Mold Filled with Molten Cast Iron</t>
  </si>
  <si>
    <t>充满熔融铸铁的板模</t>
  </si>
  <si>
    <t>13689.txt</t>
  </si>
  <si>
    <t>Ladle Cart of Molten Steel and Ingot Mold</t>
  </si>
  <si>
    <t>钢水包车及钢锭模</t>
  </si>
  <si>
    <t>13690.txt</t>
  </si>
  <si>
    <t>13691.txt</t>
  </si>
  <si>
    <t>13692.txt</t>
  </si>
  <si>
    <t>Wooden Crate#justEmptied</t>
  </si>
  <si>
    <t>木箱#justEmptied</t>
  </si>
  <si>
    <t>13694.txt</t>
  </si>
  <si>
    <t>Firing Blast Furnace#empty</t>
  </si>
  <si>
    <t>燃烧高炉#empty</t>
  </si>
  <si>
    <t>13695.txt</t>
  </si>
  <si>
    <t>Blast Furnace Charged with Coke</t>
  </si>
  <si>
    <t>装有焦炭的高炉</t>
  </si>
  <si>
    <t>13699.txt</t>
  </si>
  <si>
    <t>Wood-filled Cast Iron Stove# +useOnContained</t>
  </si>
  <si>
    <t>木质铸铁炉# +useOnContained</t>
  </si>
  <si>
    <t>13700.txt</t>
  </si>
  <si>
    <t>Stack of Sheet Metal</t>
  </si>
  <si>
    <t>金属板堆栈</t>
  </si>
  <si>
    <t>13701.txt</t>
  </si>
  <si>
    <t>Stack of Sheet Metal#3</t>
  </si>
  <si>
    <t>金属板堆叠#3</t>
  </si>
  <si>
    <t>13702.txt</t>
  </si>
  <si>
    <t>Stack of Sheet Metal#2</t>
  </si>
  <si>
    <t>一堆金属板#2</t>
  </si>
  <si>
    <t>13703.txt</t>
  </si>
  <si>
    <t>Bessemer Vessel</t>
  </si>
  <si>
    <t>贝塞麦容器</t>
  </si>
  <si>
    <t>13704.txt</t>
  </si>
  <si>
    <t>Bessemer Vessel with Steel Rods</t>
  </si>
  <si>
    <t>带钢棒的贝塞麦容器</t>
  </si>
  <si>
    <t>13705.txt</t>
  </si>
  <si>
    <t>Bessemer Vessel with Steel Rods and Pipe</t>
  </si>
  <si>
    <t>带钢棒和管子的贝塞麦容器</t>
  </si>
  <si>
    <t>13706.txt</t>
  </si>
  <si>
    <t>Unassembled Bessemer Converter</t>
  </si>
  <si>
    <t>未组装的贝塞麦转换器</t>
  </si>
  <si>
    <t>13707.txt</t>
  </si>
  <si>
    <t>Hand Cart with Bessemer Vessel</t>
  </si>
  <si>
    <t>带贝塞麦容器的手推车</t>
  </si>
  <si>
    <t>13708.txt</t>
  </si>
  <si>
    <t>Steel Pipe#justMade</t>
  </si>
  <si>
    <t>钢管#justMade</t>
  </si>
  <si>
    <t>13709.txt</t>
  </si>
  <si>
    <t>Ladle</t>
  </si>
  <si>
    <t>钢包</t>
  </si>
  <si>
    <t>13710.txt</t>
  </si>
  <si>
    <t>Large Wooden Sledge with Ladle</t>
  </si>
  <si>
    <t>带钢包的大型木制雪橇</t>
  </si>
  <si>
    <t>13711.txt</t>
  </si>
  <si>
    <t>Two Steel Wheels with Tires</t>
  </si>
  <si>
    <t>两个带轮胎的钢轮</t>
  </si>
  <si>
    <t>13712.txt</t>
  </si>
  <si>
    <t>Four Steel Wheels with Tires</t>
  </si>
  <si>
    <t>四个带轮胎的钢轮</t>
  </si>
  <si>
    <t>13713.txt</t>
  </si>
  <si>
    <t>Furnace Tower</t>
  </si>
  <si>
    <t>炉塔</t>
  </si>
  <si>
    <t>13714.txt</t>
  </si>
  <si>
    <t>Stone Fireplace with Pile of Cut Stones</t>
  </si>
  <si>
    <t>有一堆切石的石头壁炉</t>
  </si>
  <si>
    <t>13715.txt</t>
  </si>
  <si>
    <t>Furnace Tower and Stack of Bricks</t>
  </si>
  <si>
    <t>炉塔和砖堆</t>
  </si>
  <si>
    <t>13716.txt</t>
  </si>
  <si>
    <t>Furnace Tower with Partial Cowper Stoves</t>
  </si>
  <si>
    <t>带部分 Cowper 炉灶的炉塔</t>
  </si>
  <si>
    <t>13717.txt</t>
  </si>
  <si>
    <t>Furnace Tower with Partial Cowper Stoves and Diesel Engine</t>
  </si>
  <si>
    <t>带部分 Cowper 炉灶和柴油机的炉塔</t>
  </si>
  <si>
    <t>13718.txt</t>
  </si>
  <si>
    <t>13719.txt</t>
  </si>
  <si>
    <t>Blast Furnace without Pipe System</t>
  </si>
  <si>
    <t>无管道系统高炉</t>
  </si>
  <si>
    <t>13720.txt</t>
  </si>
  <si>
    <t>13721.txt</t>
  </si>
  <si>
    <t>Blast Furnace#justBuilt</t>
  </si>
  <si>
    <t>高炉#justBuilt</t>
  </si>
  <si>
    <t>13723.txt</t>
  </si>
  <si>
    <t>Mold with Cast Iron Sheet</t>
  </si>
  <si>
    <t>铸铁板模具</t>
  </si>
  <si>
    <t>13724.txt</t>
  </si>
  <si>
    <t>Cast Iron Sheet</t>
  </si>
  <si>
    <t>铸铁片</t>
  </si>
  <si>
    <t>13725.txt</t>
  </si>
  <si>
    <t>Cast Iron Cylinder</t>
  </si>
  <si>
    <t>铸铁气缸</t>
  </si>
  <si>
    <t>13726.txt</t>
  </si>
  <si>
    <t>Partial Stack of Cast Iron Sheets</t>
  </si>
  <si>
    <t>铸铁片的部分堆叠</t>
  </si>
  <si>
    <t>13727.txt</t>
  </si>
  <si>
    <t>Stack of Cast Iron Sheets and Cylinders</t>
  </si>
  <si>
    <t>一堆铸铁片和圆柱体</t>
  </si>
  <si>
    <t>13728.txt</t>
  </si>
  <si>
    <t>Mold with Cast Iron Cylinder</t>
  </si>
  <si>
    <t>铸铁缸体模具</t>
  </si>
  <si>
    <t>13729.txt</t>
  </si>
  <si>
    <t>Stack of Cast Iron Sheets</t>
  </si>
  <si>
    <t>一堆铸铁片</t>
  </si>
  <si>
    <t>13730.txt</t>
  </si>
  <si>
    <t>Cast Iron Stove# +useOnContained</t>
  </si>
  <si>
    <t>铸铁炉# +useOnContained</t>
  </si>
  <si>
    <t>13731.txt</t>
  </si>
  <si>
    <t>Cast Iron Stove#justBuilt</t>
  </si>
  <si>
    <t>铸铁炉#justBuilt</t>
  </si>
  <si>
    <t>13735.txt</t>
  </si>
  <si>
    <t>Blast Furnace with Coke#engineOn</t>
  </si>
  <si>
    <t>高炉与可乐#engineOn</t>
  </si>
  <si>
    <t>13738.txt</t>
  </si>
  <si>
    <t>Firing Blast Furnace Charged with Iron Ore</t>
  </si>
  <si>
    <t>装有铁矿石的高炉燃烧</t>
  </si>
  <si>
    <t>13739.txt</t>
  </si>
  <si>
    <t>Firing Blast Furnace Charged with Lime Stone</t>
  </si>
  <si>
    <t>装有石灰石的燃烧高炉</t>
  </si>
  <si>
    <t>13740.txt</t>
  </si>
  <si>
    <t>Firing Blast Furnace#needCoke</t>
  </si>
  <si>
    <t>燃烧高炉#needCoke</t>
  </si>
  <si>
    <t>13741.txt</t>
  </si>
  <si>
    <t>Firing Blast Furnace Charged with Pig Iron</t>
  </si>
  <si>
    <t>装有生铁的燃烧高炉</t>
  </si>
  <si>
    <t>13742.txt</t>
  </si>
  <si>
    <t>Firing Blast Furnace Charged with Scrap Steel</t>
  </si>
  <si>
    <t>装有废钢的高炉燃烧</t>
  </si>
  <si>
    <t>13743.txt</t>
  </si>
  <si>
    <t>Ladle Cart of Molten Cast Iron</t>
  </si>
  <si>
    <t>铁水浇包车</t>
  </si>
  <si>
    <t>13744.txt</t>
  </si>
  <si>
    <t>Stack of Pig Iron</t>
  </si>
  <si>
    <t>生铁堆</t>
  </si>
  <si>
    <t>13745.txt</t>
  </si>
  <si>
    <t>Ladle Cart of Molten Cast Iron and Sheet Mold</t>
  </si>
  <si>
    <t>铁水及板模钢包车</t>
  </si>
  <si>
    <t>13746.txt</t>
  </si>
  <si>
    <t>13747.txt</t>
  </si>
  <si>
    <t>13748.txt</t>
  </si>
  <si>
    <t>Ladle Cart of Molten Cast Iron and Cylinder Mold</t>
  </si>
  <si>
    <t>铁水浇包车及缸模</t>
  </si>
  <si>
    <t>13749.txt</t>
  </si>
  <si>
    <t>13750.txt</t>
  </si>
  <si>
    <t>13751.txt</t>
  </si>
  <si>
    <t>Ingot Mold Filled with Molten Pig Iron</t>
  </si>
  <si>
    <t>充满熔融生铁的锭模</t>
  </si>
  <si>
    <t>13752.txt</t>
  </si>
  <si>
    <t>Ladle Cart of Molten Pig Iron and Ingot Mold</t>
  </si>
  <si>
    <t>铁水及钢锭模的钢包车</t>
  </si>
  <si>
    <t>13753.txt</t>
  </si>
  <si>
    <t>13754.txt</t>
  </si>
  <si>
    <t>13757.txt</t>
  </si>
  <si>
    <t>Tarry Spot#bitumen</t>
  </si>
  <si>
    <t>柏油斑#bitumen</t>
  </si>
  <si>
    <t>13758.txt</t>
  </si>
  <si>
    <t>Fractional Distiller with Bitumen</t>
  </si>
  <si>
    <t>沥青分馏器</t>
  </si>
  <si>
    <t>13759.txt</t>
  </si>
  <si>
    <t>Fractional Distiller with Charcoal#Bitumen</t>
  </si>
  <si>
    <t>木炭分馏器#Bitumen</t>
  </si>
  <si>
    <t>13760.txt</t>
  </si>
  <si>
    <t>Firing Fractional Distiller#Bitumen</t>
  </si>
  <si>
    <t>燃烧分馏器#Bitumen</t>
  </si>
  <si>
    <t>13761.txt</t>
  </si>
  <si>
    <t>Fractional Distiller with Kerosene Tank#Bitumen</t>
  </si>
  <si>
    <t>带煤油罐的分馏器#Bitumen</t>
  </si>
  <si>
    <t>13762.txt</t>
  </si>
  <si>
    <t>Tank of Kerosene# just filled #Bitumen</t>
  </si>
  <si>
    <t>煤油罐# just filled #Bitumen</t>
  </si>
  <si>
    <t>13763.txt</t>
  </si>
  <si>
    <t>Tundra Mine with Coal #2 #exploratory</t>
  </si>
  <si>
    <t>苔原煤矿 #2 #exploratory</t>
  </si>
  <si>
    <t>13764.txt</t>
  </si>
  <si>
    <t>Tundra Mine #2</t>
  </si>
  <si>
    <t>苔原矿 #2</t>
  </si>
  <si>
    <t>13765.txt</t>
  </si>
  <si>
    <t>Tundra Mine with Explosive #2</t>
  </si>
  <si>
    <t>带炸药的苔原矿井#2</t>
  </si>
  <si>
    <t>13766.txt</t>
  </si>
  <si>
    <t>Tundra Mine with Lit Explosive #2</t>
  </si>
  <si>
    <t>带有点燃炸药的苔原地雷 #2</t>
  </si>
  <si>
    <t>13767.txt</t>
  </si>
  <si>
    <t>Tundra Mine #2 #explosion</t>
  </si>
  <si>
    <t>苔原矿 #2 #explosion</t>
  </si>
  <si>
    <t>13768.txt</t>
  </si>
  <si>
    <t>Tundra Mine with Limestone #2 #exploratory</t>
  </si>
  <si>
    <t>石灰石苔原矿 #2 #exploratory</t>
  </si>
  <si>
    <t>13769.txt</t>
  </si>
  <si>
    <t>Tundra Mine with Native Copper #2 #exploratory</t>
  </si>
  <si>
    <t>原生铜苔原矿 #2 #exploratory</t>
  </si>
  <si>
    <t>13770.txt</t>
  </si>
  <si>
    <t>Tundra Mine with Malachite #2 #exploratory</t>
  </si>
  <si>
    <t>苔原矿孔雀石 #2 #exploratory</t>
  </si>
  <si>
    <t>13772.txt</t>
  </si>
  <si>
    <t>Tundra Mine with Diamond #2 #exploratory</t>
  </si>
  <si>
    <t>苔原矿钻石 #2 #exploratory</t>
  </si>
  <si>
    <t>13773.txt</t>
  </si>
  <si>
    <t>Tundra Mine with Coal Deposit #2 #exploratory</t>
  </si>
  <si>
    <t>苔原矿与煤矿 #2 #exploratory</t>
  </si>
  <si>
    <t>13774.txt</t>
  </si>
  <si>
    <t>Tundra Mine with Limestone Deposit #2 #exploratory</t>
  </si>
  <si>
    <t>苔原矿与石灰石矿床 #2 #exploratory</t>
  </si>
  <si>
    <t>13775.txt</t>
  </si>
  <si>
    <t>Tundra Mine with Iron Ore #2 #exploratory</t>
  </si>
  <si>
    <t>苔原矿铁矿石 #2 #exploratory</t>
  </si>
  <si>
    <t>13776.txt</t>
  </si>
  <si>
    <t>Tundra Mine with Iron Deposit #2 #exploratory</t>
  </si>
  <si>
    <t>有铁矿床的苔原矿 #2 #exploratory</t>
  </si>
  <si>
    <t>13777.txt</t>
  </si>
  <si>
    <t>Tundra Mine with Copper Deposit #2 #exploratory</t>
  </si>
  <si>
    <t>苔原矿铜矿 #2 #exploratory</t>
  </si>
  <si>
    <t>13778.txt</t>
  </si>
  <si>
    <t>Tundra Mine with Malachite and Cassiterite Deposit #2 #exploratory</t>
  </si>
  <si>
    <t>苔原矿孔雀石和锡石矿床 #2 #exploratory</t>
  </si>
  <si>
    <t>13779.txt</t>
  </si>
  <si>
    <t>Tundra Mine with Mineral Deposit #2 #exploratory</t>
  </si>
  <si>
    <t>拥有矿床的苔原矿 #2 #exploratory</t>
  </si>
  <si>
    <t>13780.txt</t>
  </si>
  <si>
    <t>Random Mine Results# tundra - exploratory</t>
  </si>
  <si>
    <t>随机矿山结果# tundra - exploratory</t>
  </si>
  <si>
    <t>13781.txt</t>
  </si>
  <si>
    <t>Tundra Mineral Mine #3</t>
  </si>
  <si>
    <t>苔原矿井 #3</t>
  </si>
  <si>
    <t>13782.txt</t>
  </si>
  <si>
    <t>Tundra Mineral Mine with Diamond #3</t>
  </si>
  <si>
    <t>苔原矿产钻石 #3</t>
  </si>
  <si>
    <t>13783.txt</t>
  </si>
  <si>
    <t>Tundra Mineral Mine with Gold #3</t>
  </si>
  <si>
    <t>苔原金矿 #3</t>
  </si>
  <si>
    <t>13784.txt</t>
  </si>
  <si>
    <t>Tundra Mineral Mine with Silver #3</t>
  </si>
  <si>
    <t>苔原银矿 #3</t>
  </si>
  <si>
    <t>13785.txt</t>
  </si>
  <si>
    <t>Tundra Mineral Mine with Electrum #3</t>
  </si>
  <si>
    <t>含有金金矿的苔原矿井 #3</t>
  </si>
  <si>
    <t>13786.txt</t>
  </si>
  <si>
    <t>Tundra Mineral Mine with Calamite #3</t>
  </si>
  <si>
    <t xml:space="preserve">苔原矿井与 Calamite #3
</t>
  </si>
  <si>
    <t>13787.txt</t>
  </si>
  <si>
    <t>Random Mine Results# tundra - mineralDeposit</t>
  </si>
  <si>
    <t>随机矿山结果# tundra - mineralDeposit</t>
  </si>
  <si>
    <t>13788.txt</t>
  </si>
  <si>
    <t>Tundra Mine with Two Steel Beams #2</t>
  </si>
  <si>
    <t>带两根钢梁的苔原矿 #2</t>
  </si>
  <si>
    <t>13789.txt</t>
  </si>
  <si>
    <t>Tundra Iron Mine #3</t>
  </si>
  <si>
    <t>苔原铁矿 #3</t>
  </si>
  <si>
    <t>13790.txt</t>
  </si>
  <si>
    <t>Tundra Iron Mine with Iron Ore #3</t>
  </si>
  <si>
    <t>苔原铁矿含铁矿石 #3</t>
  </si>
  <si>
    <t>13791.txt</t>
  </si>
  <si>
    <t>Tundra Coal Mine #3</t>
  </si>
  <si>
    <t>苔原煤矿 #3</t>
  </si>
  <si>
    <t>13792.txt</t>
  </si>
  <si>
    <t>Tundra Limestone Mine #3</t>
  </si>
  <si>
    <t>苔原石灰石矿 #3</t>
  </si>
  <si>
    <t>13793.txt</t>
  </si>
  <si>
    <t>Tundra Copper Mine #3</t>
  </si>
  <si>
    <t>苔原铜矿 #3</t>
  </si>
  <si>
    <t>13794.txt</t>
  </si>
  <si>
    <t>Tundra Malachite and Cassiterite Mine #3</t>
  </si>
  <si>
    <t>苔原孔雀石和锡石矿 #3</t>
  </si>
  <si>
    <t>13795.txt</t>
  </si>
  <si>
    <t>Tundra Copper Mine with Native Copper #3</t>
  </si>
  <si>
    <t>苔原铜矿，含原生铜#3</t>
  </si>
  <si>
    <t>13796.txt</t>
  </si>
  <si>
    <t>Tundra Limestone Mine with Limestone #3</t>
  </si>
  <si>
    <t>苔原石灰石矿，含石灰石 #3</t>
  </si>
  <si>
    <t>13797.txt</t>
  </si>
  <si>
    <t>Tundra Coal Mine with Coal #3</t>
  </si>
  <si>
    <t xml:space="preserve">苔原煤矿，煤炭 #3
</t>
  </si>
  <si>
    <t>13798.txt</t>
  </si>
  <si>
    <t>Tundra Malachite and Cassiterite Mine with Malachite #3</t>
  </si>
  <si>
    <t xml:space="preserve">苔原孔雀石和锡石矿，含孔雀石 #3
</t>
  </si>
  <si>
    <t>13799.txt</t>
  </si>
  <si>
    <t>Tundra Malachite and Cassiterite Mine with Cassiterite #3</t>
  </si>
  <si>
    <t>苔原孔雀石和锡石矿，含锡石 #3</t>
  </si>
  <si>
    <t>13800.txt</t>
  </si>
  <si>
    <t>Random Mine Results# tundra - malachiteCassiteriteDeposit</t>
  </si>
  <si>
    <t>随机矿山结果# tundra - malachiteCassiteriteDeposit</t>
  </si>
  <si>
    <t>13801.txt</t>
  </si>
  <si>
    <t>Steel Beam</t>
  </si>
  <si>
    <t>钢梁</t>
  </si>
  <si>
    <t>13802.txt</t>
  </si>
  <si>
    <t>Mine with Coal #2</t>
  </si>
  <si>
    <t>含煤的矿洞 #2</t>
  </si>
  <si>
    <t>13803.txt</t>
  </si>
  <si>
    <t>Mine with Niter #2</t>
  </si>
  <si>
    <t>含硝石的矿洞 #2</t>
  </si>
  <si>
    <t>13804.txt</t>
  </si>
  <si>
    <t>Two Steel Beams</t>
  </si>
  <si>
    <t>两根钢梁</t>
  </si>
  <si>
    <t>13805.txt</t>
  </si>
  <si>
    <t>Mine with Coal #1</t>
  </si>
  <si>
    <t>煤矿 #1</t>
  </si>
  <si>
    <t>13806.txt</t>
  </si>
  <si>
    <t>Mine with Stanchion Kit #2 #exhausted</t>
  </si>
  <si>
    <t>矿洞支柱套件 #2 #exhausted</t>
  </si>
  <si>
    <t>13807.txt</t>
  </si>
  <si>
    <t>Mine #2 #dismantled</t>
  </si>
  <si>
    <t>地雷 #2 #dismantled</t>
  </si>
  <si>
    <t>13808.txt</t>
  </si>
  <si>
    <t>Mine with Coal #2 #exploratory</t>
  </si>
  <si>
    <t>煤矿 #2 #exploratory</t>
  </si>
  <si>
    <t>13809.txt</t>
  </si>
  <si>
    <t>Mine with Limestone #2 #exploratory</t>
  </si>
  <si>
    <t>石灰石矿洞 #2 #exploratory</t>
  </si>
  <si>
    <t>13810.txt</t>
  </si>
  <si>
    <t>Mine with Copper #2 #exploratory</t>
  </si>
  <si>
    <t>铜矿洞 #2 #exploratory</t>
  </si>
  <si>
    <t>13811.txt</t>
  </si>
  <si>
    <t>Mine with Iron #2 #exploratory</t>
  </si>
  <si>
    <t>铁矿洞 #2 #exploratory</t>
  </si>
  <si>
    <t>13812.txt</t>
  </si>
  <si>
    <t>Mine with Cassiterite #2 #exploratory</t>
  </si>
  <si>
    <t>锡石矿洞#2 #exploratory</t>
  </si>
  <si>
    <t>13813.txt</t>
  </si>
  <si>
    <t>Random Mine Results# upgrade 2 - exploratory</t>
  </si>
  <si>
    <t>随机矿井结果# upgrade 2 - exploratory</t>
  </si>
  <si>
    <t>13814.txt</t>
  </si>
  <si>
    <t>Mine with Malachite and Cassiterite Deposit #2 #exploratory</t>
  </si>
  <si>
    <t>孔雀石和锡石矿床 #2 #exploratory</t>
  </si>
  <si>
    <t>13815.txt</t>
  </si>
  <si>
    <t>Mine with Coal Deposit #2 #exploratory</t>
  </si>
  <si>
    <t>13816.txt</t>
  </si>
  <si>
    <t>Mine with Copper Deposit #2 #exploratory</t>
  </si>
  <si>
    <t>铜矿#2#exploratory</t>
  </si>
  <si>
    <t>13817.txt</t>
  </si>
  <si>
    <t>Mine with Iron Deposit #2 #exploratory</t>
  </si>
  <si>
    <t>有铁矿床 #2 #exploratory</t>
  </si>
  <si>
    <t>13818.txt</t>
  </si>
  <si>
    <t>Mine with Limestone Deposit #2 #exploratory</t>
  </si>
  <si>
    <t>石灰石矿床 #2 #exploratory</t>
  </si>
  <si>
    <t>13819.txt</t>
  </si>
  <si>
    <t>Coal Mine #3</t>
  </si>
  <si>
    <t>煤矿#3</t>
  </si>
  <si>
    <t>13820.txt</t>
  </si>
  <si>
    <t>Copper Mine #3</t>
  </si>
  <si>
    <t>铜矿 #3</t>
  </si>
  <si>
    <t>13821.txt</t>
  </si>
  <si>
    <t>Iron Mine #3</t>
  </si>
  <si>
    <t>铁矿 #3</t>
  </si>
  <si>
    <t>13822.txt</t>
  </si>
  <si>
    <t>Limestone Mine #3</t>
  </si>
  <si>
    <t xml:space="preserve">石灰石矿 #3
</t>
  </si>
  <si>
    <t>13823.txt</t>
  </si>
  <si>
    <t>Malachite and Cassiterite Mine #3</t>
  </si>
  <si>
    <t>孔雀石和锡石矿 #3</t>
  </si>
  <si>
    <t>13824.txt</t>
  </si>
  <si>
    <t>Mine with Two Steel Beams #2</t>
  </si>
  <si>
    <t>有两根钢梁的矿洞#2</t>
  </si>
  <si>
    <t>13825.txt</t>
  </si>
  <si>
    <t>Malachite and Cassiterite Mine with Malachite #3</t>
  </si>
  <si>
    <t>孔雀石和锡石矿，含孔雀石 #3</t>
  </si>
  <si>
    <t>13826.txt</t>
  </si>
  <si>
    <t>Malachite and Cassiterite Mine with Cassiterite #3</t>
  </si>
  <si>
    <t>孔雀石和锡石矿，含锡石 #3</t>
  </si>
  <si>
    <t>13827.txt</t>
  </si>
  <si>
    <t>Limestone Mine with Limestone #3</t>
  </si>
  <si>
    <t>石灰石矿#3</t>
  </si>
  <si>
    <t>13828.txt</t>
  </si>
  <si>
    <t>Iron Mine with Iron Ore #3</t>
  </si>
  <si>
    <t>铁矿与铁矿石 #3</t>
  </si>
  <si>
    <t>13829.txt</t>
  </si>
  <si>
    <t>Copper Mine with Native Copper #3</t>
  </si>
  <si>
    <t>含天然铜的铜矿 #3</t>
  </si>
  <si>
    <t>13830.txt</t>
  </si>
  <si>
    <t>Coal Mine with Coal #3</t>
  </si>
  <si>
    <t>13831.txt</t>
  </si>
  <si>
    <t>Random Mine Results# malachiteCassiteriteDeposit</t>
  </si>
  <si>
    <t>随机矿山结果# malachiteCassiteriteDeposit</t>
  </si>
  <si>
    <t>13832.txt</t>
  </si>
  <si>
    <t>Mine #1 #justBuilt</t>
  </si>
  <si>
    <t>铁矿 #1 #justBuilt</t>
  </si>
  <si>
    <t>13833.txt</t>
  </si>
  <si>
    <t>Mine #2 #justBuilt</t>
  </si>
  <si>
    <t>铁矿 #2 #justBuilt</t>
  </si>
  <si>
    <t>13834.txt</t>
  </si>
  <si>
    <t>Malachite and Cassiterite Mine #3 #justBuilt</t>
  </si>
  <si>
    <t>孔雀石和锡石矿 #3 #justBuilt</t>
  </si>
  <si>
    <t>13835.txt</t>
  </si>
  <si>
    <t>Limestone Mine #3 #justBuilt</t>
  </si>
  <si>
    <t>石灰石矿 #3 #justBuilt</t>
  </si>
  <si>
    <t>13836.txt</t>
  </si>
  <si>
    <t>Iron Mine #3 #justBuilt</t>
  </si>
  <si>
    <t>铁矿 #3 #justBuilt</t>
  </si>
  <si>
    <t>13837.txt</t>
  </si>
  <si>
    <t>Copper Mine #3 #justBuilt</t>
  </si>
  <si>
    <t>铜矿 #3 #justBuilt</t>
  </si>
  <si>
    <t>13838.txt</t>
  </si>
  <si>
    <t>Coal Mine #3 #justBuilt</t>
  </si>
  <si>
    <t>煤矿 #3 #justBuilt</t>
  </si>
  <si>
    <t>13839.txt</t>
  </si>
  <si>
    <t>Tundra Mine #3 #exhausted</t>
  </si>
  <si>
    <t>苔原矿 #3 #exhausted</t>
  </si>
  <si>
    <t>13840.txt</t>
  </si>
  <si>
    <t>Mine #3 #exhausted</t>
  </si>
  <si>
    <t>铁矿 #3 #exhausted</t>
  </si>
  <si>
    <t>13841.txt</t>
  </si>
  <si>
    <t>Desert Mine with Explosive #2</t>
  </si>
  <si>
    <t>沙漠地雷#2 炸药</t>
  </si>
  <si>
    <t>13842.txt</t>
  </si>
  <si>
    <t>Desert Mine with Lit Explosive #2</t>
  </si>
  <si>
    <t>沙漠地雷点燃炸药 #2</t>
  </si>
  <si>
    <t>13843.txt</t>
  </si>
  <si>
    <t>Desert Mine #2 #explosion</t>
  </si>
  <si>
    <t>沙漠地雷 #2 #explosion</t>
  </si>
  <si>
    <t>13844.txt</t>
  </si>
  <si>
    <t>Random Mine Results# desert - exploratory</t>
  </si>
  <si>
    <t>随机矿山结果# desert - exploratory</t>
  </si>
  <si>
    <t>13845.txt</t>
  </si>
  <si>
    <t>Desert Mine with Coal #2 #exploratory</t>
  </si>
  <si>
    <t>沙漠煤矿 #2 #exploratory</t>
  </si>
  <si>
    <t>13846.txt</t>
  </si>
  <si>
    <t>Desert Mine with Limestone #2 #exploratory</t>
  </si>
  <si>
    <t>沙漠矿山石灰石 #2 #exploratory</t>
  </si>
  <si>
    <t>13847.txt</t>
  </si>
  <si>
    <t>Desert Mine with Native Copper #2 #exploratory</t>
  </si>
  <si>
    <t>沙漠矿与原生铜 #2 #exploratory</t>
  </si>
  <si>
    <t>13848.txt</t>
  </si>
  <si>
    <t>Desert Mine with Iron Ore #2 #exploratory</t>
  </si>
  <si>
    <t>沙漠矿山铁矿石 #2 #exploratory</t>
  </si>
  <si>
    <t>13849.txt</t>
  </si>
  <si>
    <t>Desert Mine with Niter #2 #exploratory</t>
  </si>
  <si>
    <t>沙漠矿井与尼特 #2 #exploratory</t>
  </si>
  <si>
    <t>13850.txt</t>
  </si>
  <si>
    <t>Desert Mine with Bauxite #2 #exploratory</t>
  </si>
  <si>
    <t>沙漠矿铝土矿 #2 #exploratory</t>
  </si>
  <si>
    <t>13851.txt</t>
  </si>
  <si>
    <t>Desert Mine with Coal Deposit #2 #exploratory</t>
  </si>
  <si>
    <t>沙漠煤矿#2 #exploratory</t>
  </si>
  <si>
    <t>13852.txt</t>
  </si>
  <si>
    <t>Desert Mine with Limestone Deposit #2 #exploratory</t>
  </si>
  <si>
    <t>有石灰石矿床的沙漠矿山 #2 #exploratory</t>
  </si>
  <si>
    <t>13853.txt</t>
  </si>
  <si>
    <t>Desert Mine with Copper Deposit #2 #exploratory</t>
  </si>
  <si>
    <t>有铜矿床的沙漠矿 #2 #exploratory</t>
  </si>
  <si>
    <t>13854.txt</t>
  </si>
  <si>
    <t>Desert Mine with Iron Deposit #2 #exploratory</t>
  </si>
  <si>
    <t>有铁矿床的沙漠矿 #2 #exploratory</t>
  </si>
  <si>
    <t>13855.txt</t>
  </si>
  <si>
    <t>Desert Mine with Niter Deposit #2 #exploratory</t>
  </si>
  <si>
    <t>有硝石矿床的沙漠矿 #2 #exploratory</t>
  </si>
  <si>
    <t>13856.txt</t>
  </si>
  <si>
    <t>Desert Mine with Mineral Deposit #2 #exploratory</t>
  </si>
  <si>
    <t>沙漠矿藏 #2 #exploratory</t>
  </si>
  <si>
    <t>13857.txt</t>
  </si>
  <si>
    <t>Desert Coal Mine #3</t>
  </si>
  <si>
    <t>沙漠煤矿#3</t>
  </si>
  <si>
    <t>13858.txt</t>
  </si>
  <si>
    <t>Desert Coal Mine with Coal #3</t>
  </si>
  <si>
    <t>沙漠煤矿与煤炭 #3</t>
  </si>
  <si>
    <t>13859.txt</t>
  </si>
  <si>
    <t>Desert Iron Mine #3</t>
  </si>
  <si>
    <t>沙漠铁矿 #3</t>
  </si>
  <si>
    <t>13860.txt</t>
  </si>
  <si>
    <t>Desert Iron Mine with Iron Ore #3</t>
  </si>
  <si>
    <t>沙漠铁矿与铁矿石 #3</t>
  </si>
  <si>
    <t>13861.txt</t>
  </si>
  <si>
    <t>Desert Limestone Mine #3</t>
  </si>
  <si>
    <t>沙漠石灰石矿#3</t>
  </si>
  <si>
    <t>13862.txt</t>
  </si>
  <si>
    <t>Desert Limestone Mine with Limestone #3</t>
  </si>
  <si>
    <t>沙漠石灰石矿与石灰石 #3</t>
  </si>
  <si>
    <t>13863.txt</t>
  </si>
  <si>
    <t>Desert Copper Mine #3</t>
  </si>
  <si>
    <t>沙漠铜矿#3</t>
  </si>
  <si>
    <t>13864.txt</t>
  </si>
  <si>
    <t>Desert Copper Mine with Native Copper #3</t>
  </si>
  <si>
    <t>沙漠铜矿与原生铜 #3</t>
  </si>
  <si>
    <t>13865.txt</t>
  </si>
  <si>
    <t>Desert Niter Mine #3</t>
  </si>
  <si>
    <t>沙漠硝石矿 #3</t>
  </si>
  <si>
    <t>13866.txt</t>
  </si>
  <si>
    <t>Desert Niter Mine with Niter #3</t>
  </si>
  <si>
    <t>沙漠硝石矿，含硝石 #3</t>
  </si>
  <si>
    <t>13867.txt</t>
  </si>
  <si>
    <t>Desert Mineral Mine #3</t>
  </si>
  <si>
    <t>沙漠矿井 #3</t>
  </si>
  <si>
    <t>13868.txt</t>
  </si>
  <si>
    <t>Desert Mineral Mine with Cinnabar #3</t>
  </si>
  <si>
    <t>沙漠矿藏与朱砂 #3</t>
  </si>
  <si>
    <t>13869.txt</t>
  </si>
  <si>
    <t>Desert Mineral Mine with Lapis Lazuli #3</t>
  </si>
  <si>
    <t xml:space="preserve">沙漠矿井与青金石 #3
</t>
  </si>
  <si>
    <t>13870.txt</t>
  </si>
  <si>
    <t>Desert Mineral Mine with Alum #3</t>
  </si>
  <si>
    <t>沙漠矿井与明矾 #3</t>
  </si>
  <si>
    <t>13871.txt</t>
  </si>
  <si>
    <t>Desert Mineral Mine with Bauxite #3</t>
  </si>
  <si>
    <t>沙漠矿产铝土矿 #3</t>
  </si>
  <si>
    <t>13872.txt</t>
  </si>
  <si>
    <t>Random Mine Results# desert - mineralDeposit</t>
  </si>
  <si>
    <t>随机矿山结果# desert - mineralDeposit</t>
  </si>
  <si>
    <t>13873.txt</t>
  </si>
  <si>
    <t>Desert Mine #3 #exhausted</t>
  </si>
  <si>
    <t>沙漠矿#3 #exhausted</t>
  </si>
  <si>
    <t>13874.txt</t>
  </si>
  <si>
    <t>Desert Mine with Two Steel Beams #2</t>
  </si>
  <si>
    <t>有两根钢梁的沙漠矿井#2</t>
  </si>
  <si>
    <t>13876.txt</t>
  </si>
  <si>
    <t>Shallow Water# +noHighlight</t>
  </si>
  <si>
    <t>浅水# +noHighlight</t>
  </si>
  <si>
    <t>13877.txt</t>
  </si>
  <si>
    <t>Running Tundra Coal Mine #4</t>
  </si>
  <si>
    <t>运行苔原煤矿 #4</t>
  </si>
  <si>
    <t>13880.txt</t>
  </si>
  <si>
    <t>Running Desert Coal Mine #4</t>
  </si>
  <si>
    <t>运行沙漠煤矿 #4</t>
  </si>
  <si>
    <t>13881.txt</t>
  </si>
  <si>
    <t>Running Coal Mine #4</t>
  </si>
  <si>
    <t>运行煤矿 #4</t>
  </si>
  <si>
    <t>13882.txt</t>
  </si>
  <si>
    <t>Partial Diesel Mining Kit</t>
  </si>
  <si>
    <t>部分柴油采矿套件</t>
  </si>
  <si>
    <t>13883.txt</t>
  </si>
  <si>
    <t>Diesel Mining Kit</t>
  </si>
  <si>
    <t>柴油采矿套件</t>
  </si>
  <si>
    <t>13884.txt</t>
  </si>
  <si>
    <t>13885.txt</t>
  </si>
  <si>
    <t>Coal Mine #4</t>
  </si>
  <si>
    <t>煤矿 #4</t>
  </si>
  <si>
    <t>13886.txt</t>
  </si>
  <si>
    <t>Limestone Mine #4</t>
  </si>
  <si>
    <t>石灰石矿 #4</t>
  </si>
  <si>
    <t>13887.txt</t>
  </si>
  <si>
    <t>Copper Mine #4</t>
  </si>
  <si>
    <t>铜矿 #4</t>
  </si>
  <si>
    <t>13888.txt</t>
  </si>
  <si>
    <t>Iron Mine #4</t>
  </si>
  <si>
    <t>铁矿#4</t>
  </si>
  <si>
    <t>13889.txt</t>
  </si>
  <si>
    <t>Malachite and Cassiterite Mine #4</t>
  </si>
  <si>
    <t>孔雀石和锡石矿 #4</t>
  </si>
  <si>
    <t>13890.txt</t>
  </si>
  <si>
    <t>Running Limestone Mine #4</t>
  </si>
  <si>
    <t>运营石灰石矿 #4</t>
  </si>
  <si>
    <t>13891.txt</t>
  </si>
  <si>
    <t>Running Copper Mine #4</t>
  </si>
  <si>
    <t>运行铜矿 #4</t>
  </si>
  <si>
    <t>13892.txt</t>
  </si>
  <si>
    <t>Running Iron Mine #4</t>
  </si>
  <si>
    <t>运行铁矿 #4</t>
  </si>
  <si>
    <t>13893.txt</t>
  </si>
  <si>
    <t>Running Malachite and Cassiterite Mine #4</t>
  </si>
  <si>
    <t>运行孔雀石和锡石矿 #4</t>
  </si>
  <si>
    <t>13894.txt</t>
  </si>
  <si>
    <t>Random Mine Results# #4 - malachiteCassiteriteDeposit</t>
  </si>
  <si>
    <t>随机矿山结果# #4 - malachiteCassiteriteDeposit</t>
  </si>
  <si>
    <t>13895.txt</t>
  </si>
  <si>
    <t>Desert Coal Mine #4</t>
  </si>
  <si>
    <t>沙漠煤矿#4</t>
  </si>
  <si>
    <t>13896.txt</t>
  </si>
  <si>
    <t>Desert Limestone Mine #4</t>
  </si>
  <si>
    <t>沙漠石灰石矿 #4</t>
  </si>
  <si>
    <t>13897.txt</t>
  </si>
  <si>
    <t>Desert Copper Mine #4</t>
  </si>
  <si>
    <t>沙漠铜矿#4</t>
  </si>
  <si>
    <t>13898.txt</t>
  </si>
  <si>
    <t>Desert Iron Mine #4</t>
  </si>
  <si>
    <t>沙漠铁矿 #4</t>
  </si>
  <si>
    <t>13899.txt</t>
  </si>
  <si>
    <t>Desert Niter Mine #4</t>
  </si>
  <si>
    <t>沙漠硝石矿 #4</t>
  </si>
  <si>
    <t>13900.txt</t>
  </si>
  <si>
    <t>Desert Mineral Mine #4</t>
  </si>
  <si>
    <t>沙漠矿井#4</t>
  </si>
  <si>
    <t>13901.txt</t>
  </si>
  <si>
    <t>Running Desert Limestone Mine #4</t>
  </si>
  <si>
    <t xml:space="preserve">运行沙漠石灰石矿 #4
</t>
  </si>
  <si>
    <t>13902.txt</t>
  </si>
  <si>
    <t>Running Desert Copper Mine #4</t>
  </si>
  <si>
    <t>运行沙漠铜矿 #4</t>
  </si>
  <si>
    <t>13903.txt</t>
  </si>
  <si>
    <t>Running Desert Iron Mine #4</t>
  </si>
  <si>
    <t>奔跑沙漠铁矿 #4</t>
  </si>
  <si>
    <t>13904.txt</t>
  </si>
  <si>
    <t>Running Desert Niter Mine #4</t>
  </si>
  <si>
    <t>奔跑沙漠硝石矿 #4</t>
  </si>
  <si>
    <t>13905.txt</t>
  </si>
  <si>
    <t>Running Desert Mineral Mine #4</t>
  </si>
  <si>
    <t>奔跑沙漠矿井 #4</t>
  </si>
  <si>
    <t>13906.txt</t>
  </si>
  <si>
    <t>Random Mine Results# desert - #4 - mineralDeposit</t>
  </si>
  <si>
    <t>随机矿井结果# desert - #4 - mineralDeposit</t>
  </si>
  <si>
    <t>13907.txt</t>
  </si>
  <si>
    <t>Stack of Explosives</t>
  </si>
  <si>
    <t>一堆炸药</t>
  </si>
  <si>
    <t>13908.txt</t>
  </si>
  <si>
    <t>Tundra Coal Mine #4</t>
  </si>
  <si>
    <t>苔原煤矿 #4</t>
  </si>
  <si>
    <t>13909.txt</t>
  </si>
  <si>
    <t>Tundra Limestone Mine #4</t>
  </si>
  <si>
    <t>苔原石灰石矿 #4</t>
  </si>
  <si>
    <t>13910.txt</t>
  </si>
  <si>
    <t>Tundra Copper Mine #4</t>
  </si>
  <si>
    <t>苔原铜矿 #4</t>
  </si>
  <si>
    <t>13911.txt</t>
  </si>
  <si>
    <t>Tundra Iron Mine #4</t>
  </si>
  <si>
    <t>苔原铁矿 #4</t>
  </si>
  <si>
    <t>13912.txt</t>
  </si>
  <si>
    <t>Tundra Malachite and Cassiterite Mine #4</t>
  </si>
  <si>
    <t>苔原孔雀石和锡石矿 #4</t>
  </si>
  <si>
    <t>13913.txt</t>
  </si>
  <si>
    <t>Tundra Mineral Mine #4</t>
  </si>
  <si>
    <t>苔原矿 #4</t>
  </si>
  <si>
    <t>13914.txt</t>
  </si>
  <si>
    <t>Running Tundra LImestone Mine #4</t>
  </si>
  <si>
    <t>运行苔原石灰石矿 #4</t>
  </si>
  <si>
    <t>13915.txt</t>
  </si>
  <si>
    <t>Running Tundra Copper Mine #4</t>
  </si>
  <si>
    <t>运行苔原铜矿 #4</t>
  </si>
  <si>
    <t>13916.txt</t>
  </si>
  <si>
    <t>Running Tundra Iron Mine #4</t>
  </si>
  <si>
    <t>运行苔原铁矿 #4</t>
  </si>
  <si>
    <t>13917.txt</t>
  </si>
  <si>
    <t>Running Tundra Malachite and Cassiterite Mine #4</t>
  </si>
  <si>
    <t>运行苔原孔雀石和锡石矿 #4</t>
  </si>
  <si>
    <t>13918.txt</t>
  </si>
  <si>
    <t>Running Tundra Mineral Mine #4</t>
  </si>
  <si>
    <t>运行苔原矿井 #4</t>
  </si>
  <si>
    <t>13919.txt</t>
  </si>
  <si>
    <t>Random Mine Results# tundra - #4 - mineralDeposit</t>
  </si>
  <si>
    <t>随机矿山结果# tundra - #4 -mineralDeposit</t>
  </si>
  <si>
    <t>13920.txt</t>
  </si>
  <si>
    <t>Gold Nugget</t>
  </si>
  <si>
    <t>金块</t>
  </si>
  <si>
    <t>13921.txt</t>
  </si>
  <si>
    <t>Bowl of Gold Nugget</t>
  </si>
  <si>
    <t>碗金块</t>
  </si>
  <si>
    <t>13922.txt</t>
  </si>
  <si>
    <t>Bowl of Gold Nugget in Wooden Tongs</t>
  </si>
  <si>
    <t>木钳中的一碗金块</t>
  </si>
  <si>
    <t>13923.txt</t>
  </si>
  <si>
    <t>Beam Mold</t>
  </si>
  <si>
    <t>梁模</t>
  </si>
  <si>
    <t>13924.txt</t>
  </si>
  <si>
    <t>Beam Mold Filled with Molten Steel</t>
  </si>
  <si>
    <t>充满钢水的梁模</t>
  </si>
  <si>
    <t>13925.txt</t>
  </si>
  <si>
    <t>Mold with Steel Beam</t>
  </si>
  <si>
    <t>钢梁模具</t>
  </si>
  <si>
    <t>13926.txt</t>
  </si>
  <si>
    <t>Ladle Cart of Molten Steel and Beam Mold</t>
  </si>
  <si>
    <t>钢水包车及梁模</t>
  </si>
  <si>
    <t>13927.txt</t>
  </si>
  <si>
    <t>13928.txt</t>
  </si>
  <si>
    <t>13929.txt</t>
  </si>
  <si>
    <t>Steel Beam#justCasted</t>
  </si>
  <si>
    <t>钢梁#justCasted</t>
  </si>
  <si>
    <t>13930.txt</t>
  </si>
  <si>
    <t>Mold with Sheet Metal</t>
  </si>
  <si>
    <t>带金属板的模具</t>
  </si>
  <si>
    <t>13931.txt</t>
  </si>
  <si>
    <t>Sheet Mold Filled with Molten Steel</t>
  </si>
  <si>
    <t>充满钢水的板模</t>
  </si>
  <si>
    <t>13932.txt</t>
  </si>
  <si>
    <t>Ladle Cart of Molten Steel and Sheet Mold</t>
  </si>
  <si>
    <t xml:space="preserve">钢水及板模钢包车
</t>
  </si>
  <si>
    <t>13933.txt</t>
  </si>
  <si>
    <t>钢水及板模钢包车</t>
  </si>
  <si>
    <t>13934.txt</t>
  </si>
  <si>
    <t>13935.txt</t>
  </si>
  <si>
    <t>Sheet Metal#justCasted</t>
  </si>
  <si>
    <t>钣金#justCasted</t>
  </si>
  <si>
    <t>13936.txt</t>
  </si>
  <si>
    <t>Cast Iron Pan</t>
  </si>
  <si>
    <t>铸铁锅</t>
  </si>
  <si>
    <t>13937.txt</t>
  </si>
  <si>
    <t>@ +contCastIronStove</t>
  </si>
  <si>
    <t>13938.txt</t>
  </si>
  <si>
    <t>Burning Cast Iron Stove# +useOnContained</t>
  </si>
  <si>
    <t>燃烧的铸铁炉# +useOnContained</t>
  </si>
  <si>
    <t>13940.txt</t>
  </si>
  <si>
    <t>@ Hot Pan Food - good cooked</t>
  </si>
  <si>
    <t>13941.txt</t>
  </si>
  <si>
    <t>@ Hot Pan Food - bad</t>
  </si>
  <si>
    <t>13942.txt</t>
  </si>
  <si>
    <t>Cast Iron Pan with Failed Dish</t>
  </si>
  <si>
    <t>带有失败盘子的铸铁锅</t>
  </si>
  <si>
    <t>13946.txt</t>
  </si>
  <si>
    <t>Scythe</t>
  </si>
  <si>
    <t>大镰刀</t>
  </si>
  <si>
    <t>13947.txt</t>
  </si>
  <si>
    <t>Skeleton Horse#Scythe</t>
  </si>
  <si>
    <t>骷髅马#Scythe</t>
  </si>
  <si>
    <t>13948.txt</t>
  </si>
  <si>
    <t>Ban Hammer #modTool</t>
  </si>
  <si>
    <t>禁止锤#modTool</t>
  </si>
  <si>
    <t>13952.txt</t>
  </si>
  <si>
    <t>Ban Hammer #modTool #justUsed</t>
  </si>
  <si>
    <t>禁止锤#modTool #justUsed</t>
  </si>
  <si>
    <t>13953.txt</t>
  </si>
  <si>
    <t>Ban Hammer #modTool #deadly</t>
  </si>
  <si>
    <t>禁止锤#modTool #deadly</t>
  </si>
  <si>
    <t>13954.txt</t>
  </si>
  <si>
    <t>Skeleton Horse#Scythe #bloody</t>
  </si>
  <si>
    <t>骷髅马#Scythe #bloody</t>
  </si>
  <si>
    <t>13956.txt</t>
  </si>
  <si>
    <t>Cast Iron Pan#heating</t>
  </si>
  <si>
    <t>铸铁锅#heating</t>
  </si>
  <si>
    <t>13960.txt</t>
  </si>
  <si>
    <t>@ Hot Pan Food - good raw</t>
  </si>
  <si>
    <t>13963.txt</t>
  </si>
  <si>
    <t>Bowl of Beaten Egg</t>
  </si>
  <si>
    <t>一碗打散的鸡蛋</t>
  </si>
  <si>
    <t>13964.txt</t>
  </si>
  <si>
    <t>Bowl of Broken Egg</t>
  </si>
  <si>
    <t>一碗破鸡蛋</t>
  </si>
  <si>
    <t>13965.txt</t>
  </si>
  <si>
    <t>Hot Cast Iron Pan with Omelette</t>
  </si>
  <si>
    <t>热铸铁煎锅煎蛋</t>
  </si>
  <si>
    <t>13966.txt</t>
  </si>
  <si>
    <t>Hot Cast Iron Pan with Raw Rabbit</t>
  </si>
  <si>
    <t>热铸铁锅生兔肉</t>
  </si>
  <si>
    <t>13967.txt</t>
  </si>
  <si>
    <t>Hot Cast Iron Pan with Cooked Rabbit</t>
  </si>
  <si>
    <t>热铸铁锅煮兔肉</t>
  </si>
  <si>
    <t>13968.txt</t>
  </si>
  <si>
    <t>Plate with Cooked Rabbit</t>
  </si>
  <si>
    <t>熟兔盘</t>
  </si>
  <si>
    <t>13969.txt</t>
  </si>
  <si>
    <t>Hot Cast Iron Pan with Raw Goose</t>
  </si>
  <si>
    <t>热铸铁锅生鹅</t>
  </si>
  <si>
    <t>13970.txt</t>
  </si>
  <si>
    <t>Hot Cast Iron Pan with Cooked Goose</t>
  </si>
  <si>
    <t>热铸铁锅煮鹅</t>
  </si>
  <si>
    <t>13971.txt</t>
  </si>
  <si>
    <t>Cooked Goose on Plate</t>
  </si>
  <si>
    <t>板上的熟鹅</t>
  </si>
  <si>
    <t>13973.txt</t>
  </si>
  <si>
    <t>Hot Cast Iron Pan with Raw Chicken</t>
  </si>
  <si>
    <t>热铸铁锅生鸡肉</t>
  </si>
  <si>
    <t>13974.txt</t>
  </si>
  <si>
    <t>Hot Cast Iron Pan with Cooked Chicken</t>
  </si>
  <si>
    <t>热铸铁锅煮鸡肉</t>
  </si>
  <si>
    <t>13975.txt</t>
  </si>
  <si>
    <t>Skewered Chicken</t>
  </si>
  <si>
    <t>鸡肉串</t>
  </si>
  <si>
    <t>13976.txt</t>
  </si>
  <si>
    <t>煮熟的鸡</t>
  </si>
  <si>
    <t>13977.txt</t>
  </si>
  <si>
    <t>Hot Cast Iron Pan with Shrimp</t>
  </si>
  <si>
    <t>热铸铁锅配虾</t>
  </si>
  <si>
    <t>13978.txt</t>
  </si>
  <si>
    <t>Hot Cast Iron Pan with Cooked Shrimp</t>
  </si>
  <si>
    <t>热铸铁锅煮虾</t>
  </si>
  <si>
    <t>13979.txt</t>
  </si>
  <si>
    <t>Plate of Cooked Shrimp</t>
  </si>
  <si>
    <t>一盘熟虾</t>
  </si>
  <si>
    <t>13980.txt</t>
  </si>
  <si>
    <t>Cooked Shrimp#fromPlate</t>
  </si>
  <si>
    <t>煮熟的虾#fromPlate</t>
  </si>
  <si>
    <t>13981.txt</t>
  </si>
  <si>
    <t>Hot Cast Iron Pan with Sardine</t>
  </si>
  <si>
    <t>热铸铁锅沙丁鱼</t>
  </si>
  <si>
    <t>13982.txt</t>
  </si>
  <si>
    <t>Hot Cast Iron Pan with Cooked Sardine</t>
  </si>
  <si>
    <t>热铸铁锅煮沙丁鱼</t>
  </si>
  <si>
    <t>13983.txt</t>
  </si>
  <si>
    <t>Plate of Cooked Sardines</t>
  </si>
  <si>
    <t>一盘煮熟的沙丁鱼</t>
  </si>
  <si>
    <t>13984.txt</t>
  </si>
  <si>
    <t>Skewered Cooked Sardines#fromPlate</t>
  </si>
  <si>
    <t>串烧沙丁鱼#fromPlate</t>
  </si>
  <si>
    <t>13985.txt</t>
  </si>
  <si>
    <t>Hot Cast Iron Pan with Char Fillet</t>
  </si>
  <si>
    <t xml:space="preserve">热铸铁锅配炭烤鱼片
</t>
  </si>
  <si>
    <t>13986.txt</t>
  </si>
  <si>
    <t>Hot Cast Iron Pan with Cooked Char Fillet</t>
  </si>
  <si>
    <t>热铸铁锅配熟炭鱼片</t>
  </si>
  <si>
    <t>13987.txt</t>
  </si>
  <si>
    <t>Cooked Char</t>
  </si>
  <si>
    <t>熟炭</t>
  </si>
  <si>
    <t>13988.txt</t>
  </si>
  <si>
    <t>Cooked Skewered Char Fillets#fromPlate</t>
  </si>
  <si>
    <t>熟串炭鱼片#fromPlate</t>
  </si>
  <si>
    <t>13989.txt</t>
  </si>
  <si>
    <t>Cooked Bass</t>
  </si>
  <si>
    <t>煮熟的鲈鱼</t>
  </si>
  <si>
    <t>13990.txt</t>
  </si>
  <si>
    <t>Cooked Skewered Bass Fillets#fromPlate</t>
  </si>
  <si>
    <t>熟串鲈鱼片#fromPlate</t>
  </si>
  <si>
    <t>13991.txt</t>
  </si>
  <si>
    <t>Hot Cast Iron Pan with Bass</t>
  </si>
  <si>
    <t>有鲈鱼的热铸铁锅</t>
  </si>
  <si>
    <t>13992.txt</t>
  </si>
  <si>
    <t>Hot Cast Iron Pan with Cooked Bass Fillet</t>
  </si>
  <si>
    <t>热铸铁锅配熟鲈鱼片</t>
  </si>
  <si>
    <t>13993.txt</t>
  </si>
  <si>
    <t>Cooked Cod</t>
  </si>
  <si>
    <t>熟鳕鱼</t>
  </si>
  <si>
    <t>13995.txt</t>
  </si>
  <si>
    <t>Hot Cast Iron Pan with Cooked Cod Fillet</t>
  </si>
  <si>
    <t>热铸铁锅配熟鳕鱼片</t>
  </si>
  <si>
    <t>13996.txt</t>
  </si>
  <si>
    <t>Hot Cast Iron Pan with Cod Fillet</t>
  </si>
  <si>
    <t>热铸铁锅配鳕鱼片</t>
  </si>
  <si>
    <t>13997.txt</t>
  </si>
  <si>
    <t>Cooked Skewered Cod Fillets#fromPlate</t>
  </si>
  <si>
    <t>熟串鳕鱼片#fromPlate</t>
  </si>
  <si>
    <t>13998.txt</t>
  </si>
  <si>
    <t>Cooked Pike</t>
  </si>
  <si>
    <t>熟梭子鱼</t>
  </si>
  <si>
    <t>13999.txt</t>
  </si>
  <si>
    <t>Cooked Skewered Pike Fillets#fromPlate</t>
  </si>
  <si>
    <t>熟串梭鱼片#fromPlate</t>
  </si>
  <si>
    <t>14000.txt</t>
  </si>
  <si>
    <t>Hot Cast Iron Pan with Cooked Pike Fillet</t>
  </si>
  <si>
    <t>热铸铁锅配熟派克鱼片</t>
  </si>
  <si>
    <t>14001.txt</t>
  </si>
  <si>
    <t>Hot Cast Iron Pan with Pike Fillet</t>
  </si>
  <si>
    <t>热铸铁锅配派克鱼片</t>
  </si>
  <si>
    <t>14002.txt</t>
  </si>
  <si>
    <t>Cooked Trout</t>
  </si>
  <si>
    <t>熟鳟鱼</t>
  </si>
  <si>
    <t>14003.txt</t>
  </si>
  <si>
    <t>Cooked Skewered Trout Fillets#fromPlate</t>
  </si>
  <si>
    <t>熟串鳟鱼片#fromPlate</t>
  </si>
  <si>
    <t>14004.txt</t>
  </si>
  <si>
    <t>Hot Cast Iron Pan with Cooked Trout Fillet</t>
  </si>
  <si>
    <t>铸铁锅煮鳟鱼片</t>
  </si>
  <si>
    <t>14005.txt</t>
  </si>
  <si>
    <t>Hot Cast Iron Pan with Trout Fillet</t>
  </si>
  <si>
    <t>热铸铁锅配鳟鱼片</t>
  </si>
  <si>
    <t>14006.txt</t>
  </si>
  <si>
    <t>Hot Cast Iron Pan with Pancake</t>
  </si>
  <si>
    <t>热铸铁锅煎饼</t>
  </si>
  <si>
    <t>14007.txt</t>
  </si>
  <si>
    <t>Hot Cast Iron Pan with Cooked Wheat Tortilla</t>
  </si>
  <si>
    <t>热铸铁锅配熟小麦玉米饼</t>
  </si>
  <si>
    <t>14008.txt</t>
  </si>
  <si>
    <t>Hot Cast Iron Pan#justEmptied</t>
  </si>
  <si>
    <t>热铸铁锅#justEmptied</t>
  </si>
  <si>
    <t>14009.txt</t>
  </si>
  <si>
    <t>Hot Cast Iron Pan with Cooked Corn Tortilla</t>
  </si>
  <si>
    <t>热铸铁锅配煮熟的玉米饼</t>
  </si>
  <si>
    <t>14010.txt</t>
  </si>
  <si>
    <t>Unlined Copper Pot</t>
  </si>
  <si>
    <t>无衬铜锅</t>
  </si>
  <si>
    <t>14011.txt</t>
  </si>
  <si>
    <t>Copper Plate and Ingot</t>
  </si>
  <si>
    <t>铜板及铜锭</t>
  </si>
  <si>
    <t>14012.txt</t>
  </si>
  <si>
    <t>Unlined Copper Pot with Tin Ingot</t>
  </si>
  <si>
    <t>锡锭无衬铜锅</t>
  </si>
  <si>
    <t>14014.txt</t>
  </si>
  <si>
    <t>Unlined Copper Pot with Tin Ingot in Tongs</t>
  </si>
  <si>
    <t>无衬铜锅，夹有锡锭</t>
  </si>
  <si>
    <t>14016.txt</t>
  </si>
  <si>
    <t>Pan Mold</t>
  </si>
  <si>
    <t>盘模</t>
  </si>
  <si>
    <t>14017.txt</t>
  </si>
  <si>
    <t>Pan Mold Filled with Molten Cast Iron</t>
  </si>
  <si>
    <t>装有熔融铸铁的盘模</t>
  </si>
  <si>
    <t>14018.txt</t>
  </si>
  <si>
    <t>Mold with Cast Iron Pan</t>
  </si>
  <si>
    <t>带铸铁锅的模具</t>
  </si>
  <si>
    <t>14019.txt</t>
  </si>
  <si>
    <t>Ladle Cart of Molten Cast Iron and Pan Mold</t>
  </si>
  <si>
    <t>铁水包车及锅模</t>
  </si>
  <si>
    <t>14020.txt</t>
  </si>
  <si>
    <t>14021.txt</t>
  </si>
  <si>
    <t>14022.txt</t>
  </si>
  <si>
    <t>Hot Sheet Metal in Wooden Tongs</t>
  </si>
  <si>
    <t>木钳中的热金属板</t>
  </si>
  <si>
    <t>14023.txt</t>
  </si>
  <si>
    <t>Hot Sheet Metal</t>
  </si>
  <si>
    <t>热金属板</t>
  </si>
  <si>
    <t>14024.txt</t>
  </si>
  <si>
    <t>Sheet Metal in Wooden Tongs</t>
  </si>
  <si>
    <t>木钳中的金属板</t>
  </si>
  <si>
    <t>14025.txt</t>
  </si>
  <si>
    <t>Bowl with Bitumen</t>
  </si>
  <si>
    <t>碗与沥青</t>
  </si>
  <si>
    <t>14027.txt</t>
  </si>
  <si>
    <t>Cast Iron Pan#justCleaned</t>
  </si>
  <si>
    <t>铸铁锅#justCleaned</t>
  </si>
  <si>
    <t>14028.txt</t>
  </si>
  <si>
    <t>Lily Pads</t>
  </si>
  <si>
    <t>荷叶</t>
  </si>
  <si>
    <t>14029.txt</t>
  </si>
  <si>
    <t>Lotus</t>
  </si>
  <si>
    <t>莲花</t>
  </si>
  <si>
    <t>14030.txt</t>
  </si>
  <si>
    <t>Crock of Lime Gravel and Clay#justDropped</t>
  </si>
  <si>
    <t>石灰砾石和粘土罐#justDropped</t>
  </si>
  <si>
    <t>14032.txt</t>
  </si>
  <si>
    <t>Mine with Malachite #1</t>
  </si>
  <si>
    <t>含孔雀石的铁矿#1</t>
  </si>
  <si>
    <t>14034.txt</t>
  </si>
  <si>
    <t>@ Shears with Cutting (trees and flowers, unique)</t>
  </si>
  <si>
    <t>14035.txt</t>
  </si>
  <si>
    <t>@ Cutting-source</t>
  </si>
  <si>
    <t>14038.txt</t>
  </si>
  <si>
    <t>@ Shears with Cutting (from source, not unique)</t>
  </si>
  <si>
    <t>14039.txt</t>
  </si>
  <si>
    <t>Springy Wooden Door# left Installed +autoDefaultTrans +blocksMoving</t>
  </si>
  <si>
    <t>弹性木门# left Installed +autoDefaultTrans +blocksMoving</t>
  </si>
  <si>
    <t>14040.txt</t>
  </si>
  <si>
    <t>Springy Open Wooden Door# left installed +blocksMoving</t>
  </si>
  <si>
    <t>弹性打开木门# left installed +blocksMoving</t>
  </si>
  <si>
    <t>14041.txt</t>
  </si>
  <si>
    <t>Springy Light Wooden Door# left Installed +autoDefaultTrans +blocksMoving</t>
  </si>
  <si>
    <t>弹性浅色木门# left Installed +autoDefaultTrans +blocksMoving</t>
  </si>
  <si>
    <t>14042.txt</t>
  </si>
  <si>
    <t>Springy Open Light Wooden Door# left installed +blocksMoving</t>
  </si>
  <si>
    <t>弹性开启浅色木门# left installed +blocksMoving</t>
  </si>
  <si>
    <t>14043.txt</t>
  </si>
  <si>
    <t>Springy Dark Wooden Door# left Installed +autoDefaultTrans +blocksMoving</t>
  </si>
  <si>
    <t>弹性深色木门# left Installed +autoDefaultTrans +blocksMoving</t>
  </si>
  <si>
    <t>14044.txt</t>
  </si>
  <si>
    <t>Springy Open Dark Wooden Door# left installed +blocksMoving</t>
  </si>
  <si>
    <t>弹性打开深色木门# left installed +blocksMoving</t>
  </si>
  <si>
    <t>14045.txt</t>
  </si>
  <si>
    <t>14046.txt</t>
  </si>
  <si>
    <t>Writing Set</t>
  </si>
  <si>
    <t>书写套装</t>
  </si>
  <si>
    <t>14047.txt</t>
  </si>
  <si>
    <t>Blueprint</t>
  </si>
  <si>
    <t>蓝图</t>
  </si>
  <si>
    <t>14048.txt</t>
  </si>
  <si>
    <t>Corner Blueprint</t>
  </si>
  <si>
    <t>角落蓝图</t>
  </si>
  <si>
    <t>14049.txt</t>
  </si>
  <si>
    <t>East-West Blueprint</t>
  </si>
  <si>
    <t>东西方蓝图</t>
  </si>
  <si>
    <t>14050.txt</t>
  </si>
  <si>
    <t>North-South Blueprint</t>
  </si>
  <si>
    <t>南北蓝图</t>
  </si>
  <si>
    <t>14051.txt</t>
  </si>
  <si>
    <t>Corner Brick Half Wall Blueprint</t>
  </si>
  <si>
    <t>角砖半墙蓝图</t>
  </si>
  <si>
    <t>14052.txt</t>
  </si>
  <si>
    <t>Corner Brick Wall Blueprint</t>
  </si>
  <si>
    <t>角砖墙蓝图</t>
  </si>
  <si>
    <t>14053.txt</t>
  </si>
  <si>
    <t>East-West Brick Half Wall Blueprint</t>
  </si>
  <si>
    <t>东西向砖半墙蓝图</t>
  </si>
  <si>
    <t>14055.txt</t>
  </si>
  <si>
    <t>East-West Brick Wall Blueprint</t>
  </si>
  <si>
    <t>东西向砖墙蓝图</t>
  </si>
  <si>
    <t>14056.txt</t>
  </si>
  <si>
    <t>North-South Brick Half Wall Blueprint</t>
  </si>
  <si>
    <t>南北砖半墙蓝图</t>
  </si>
  <si>
    <t>14057.txt</t>
  </si>
  <si>
    <t>North-South Brick Wall Blueprint</t>
  </si>
  <si>
    <t>南北砖墙蓝图</t>
  </si>
  <si>
    <t>14058.txt</t>
  </si>
  <si>
    <t>Corner Blueprint with Bricks</t>
  </si>
  <si>
    <t>带砖的角蓝图</t>
  </si>
  <si>
    <t>14059.txt</t>
  </si>
  <si>
    <t>North-South Blueprint with Bricks</t>
  </si>
  <si>
    <t>带砖的南北蓝图</t>
  </si>
  <si>
    <t>14060.txt</t>
  </si>
  <si>
    <t>East-West Blueprint with Bricks</t>
  </si>
  <si>
    <t>东西向的砖块蓝图</t>
  </si>
  <si>
    <t>14061.txt</t>
  </si>
  <si>
    <t>East-West Fence Holes #nostakes</t>
  </si>
  <si>
    <t>东西向栅栏孔#nostakes</t>
  </si>
  <si>
    <t>14062.txt</t>
  </si>
  <si>
    <t>North-South Fence Holes #nostakes</t>
  </si>
  <si>
    <t>南北栅栏孔#nostakes</t>
  </si>
  <si>
    <t>14063.txt</t>
  </si>
  <si>
    <t>Corner Fence Holes #nostakes</t>
  </si>
  <si>
    <t>角栅栏孔#nostakes</t>
  </si>
  <si>
    <t>14064.txt</t>
  </si>
  <si>
    <t>Floor Blueprint</t>
  </si>
  <si>
    <t>楼层蓝图</t>
  </si>
  <si>
    <t>14065.txt</t>
  </si>
  <si>
    <t>Blueprint with cooldown</t>
  </si>
  <si>
    <t>带冷却时间的蓝图</t>
  </si>
  <si>
    <t>14066.txt</t>
  </si>
  <si>
    <t>Floor Blueprint with Bricks</t>
  </si>
  <si>
    <t>带砖的地板蓝图</t>
  </si>
  <si>
    <t>14067.txt</t>
  </si>
  <si>
    <t>Shears with Blue Dyed Paper</t>
  </si>
  <si>
    <t>色染色纸剪刀</t>
  </si>
  <si>
    <t>14068.txt</t>
  </si>
  <si>
    <t>Basket of Clover Leaves</t>
  </si>
  <si>
    <t>一篮三叶草</t>
  </si>
  <si>
    <t>14069.txt</t>
  </si>
  <si>
    <t>Clover Leaf Pile</t>
  </si>
  <si>
    <t>三叶草叶堆</t>
  </si>
  <si>
    <t>14070.txt</t>
  </si>
  <si>
    <t>Pile of Goose Eggs</t>
  </si>
  <si>
    <t>堆鹅蛋</t>
  </si>
  <si>
    <t>14071.txt</t>
  </si>
  <si>
    <t>Steel Wheelbarrow with Iron Ores</t>
  </si>
  <si>
    <t>装有铁矿石的钢独轮车</t>
  </si>
  <si>
    <t>14072.txt</t>
  </si>
  <si>
    <t>Steel Wheelbarrow with Steel Ingots</t>
  </si>
  <si>
    <t>有钢锭的钢独轮车</t>
  </si>
  <si>
    <t>14073.txt</t>
  </si>
  <si>
    <t>Steel Wheelbarrow with Wrought Iron</t>
  </si>
  <si>
    <t>锻铁钢独轮车</t>
  </si>
  <si>
    <t>14074.txt</t>
  </si>
  <si>
    <t>Steel Wheelbarrow with Limestones</t>
  </si>
  <si>
    <t>有石灰石的钢独轮车</t>
  </si>
  <si>
    <t>14075.txt</t>
  </si>
  <si>
    <t>Steel Wheelbarrow with Silver Ingots</t>
  </si>
  <si>
    <t>有银锭的钢独轮车</t>
  </si>
  <si>
    <t>14076.txt</t>
  </si>
  <si>
    <t>Steel Wheelbarrow with Native Copper Ores</t>
  </si>
  <si>
    <t>装有原生铜矿的钢制独轮车</t>
  </si>
  <si>
    <t>14077.txt</t>
  </si>
  <si>
    <t>Steel Wheelbarrow with Copper Ingots</t>
  </si>
  <si>
    <t>有铜锭的钢独轮车</t>
  </si>
  <si>
    <t>14078.txt</t>
  </si>
  <si>
    <t>Steel Wheelbarrow with Calamine</t>
  </si>
  <si>
    <t>钢独轮车与炉甘石</t>
  </si>
  <si>
    <t>14079.txt</t>
  </si>
  <si>
    <t>Steel Wheelbarrow with Malachite</t>
  </si>
  <si>
    <t>带孔雀石的钢独轮车</t>
  </si>
  <si>
    <t>14080.txt</t>
  </si>
  <si>
    <t>Steel Wheelbarrow with Bronze Ingots</t>
  </si>
  <si>
    <t>装有青铜锭的钢独轮车</t>
  </si>
  <si>
    <t>14081.txt</t>
  </si>
  <si>
    <t>Steel Wheelbarrow with Cinnabar</t>
  </si>
  <si>
    <t>朱砂钢独轮车</t>
  </si>
  <si>
    <t>14082.txt</t>
  </si>
  <si>
    <t>Steel Wheelbarrow with Lapis Lazuli</t>
  </si>
  <si>
    <t>青金石钢独轮车</t>
  </si>
  <si>
    <t>14083.txt</t>
  </si>
  <si>
    <t>Steel Wheelbarrow with Alum</t>
  </si>
  <si>
    <t>明矾钢独轮车</t>
  </si>
  <si>
    <t>14084.txt</t>
  </si>
  <si>
    <t>Steel Wheelbarrow with Electrum Ores</t>
  </si>
  <si>
    <t>装有金矿的钢制独轮车</t>
  </si>
  <si>
    <t>14085.txt</t>
  </si>
  <si>
    <t>Steel Wheelbarrow with Zinc Ingots</t>
  </si>
  <si>
    <t>锌锭的钢独轮车</t>
  </si>
  <si>
    <t>14086.txt</t>
  </si>
  <si>
    <t>Steel Wheelbarrow with Tin Ingots</t>
  </si>
  <si>
    <t>锡锭的钢独轮车</t>
  </si>
  <si>
    <t>14087.txt</t>
  </si>
  <si>
    <t>Steel Wheelbarrow with Bauxite Ores</t>
  </si>
  <si>
    <t>装有铝土矿矿石的钢独轮车</t>
  </si>
  <si>
    <t>14088.txt</t>
  </si>
  <si>
    <t>Steel Wheelbarrow with Pig Iron Ingots</t>
  </si>
  <si>
    <t>带生铁锭的钢独轮车</t>
  </si>
  <si>
    <t>14089.txt</t>
  </si>
  <si>
    <t>Steel Wheelbarrow with Niter</t>
  </si>
  <si>
    <t>装有 Niter 的钢制独轮车</t>
  </si>
  <si>
    <t>14090.txt</t>
  </si>
  <si>
    <t>Steel Wheelbarrow with Bricks</t>
  </si>
  <si>
    <t>带砖的钢独轮车</t>
  </si>
  <si>
    <t>14091.txt</t>
  </si>
  <si>
    <t>Steel Wheelbarrow with Firebricks</t>
  </si>
  <si>
    <t>带耐火砖的钢独轮车</t>
  </si>
  <si>
    <t>14092.txt</t>
  </si>
  <si>
    <t>Steel Wheelbarrow with Wet Bricks</t>
  </si>
  <si>
    <t>带湿砖的钢独轮车</t>
  </si>
  <si>
    <t>14093.txt</t>
  </si>
  <si>
    <t>Steel Wheelbarrow with Wet Firebricks</t>
  </si>
  <si>
    <t>带湿耐火砖的钢独轮车</t>
  </si>
  <si>
    <t>14094.txt</t>
  </si>
  <si>
    <t>Steel Wheelbarrow with Electrum Ingots</t>
  </si>
  <si>
    <t>装有金银锭的钢制独轮车</t>
  </si>
  <si>
    <t>14095.txt</t>
  </si>
  <si>
    <t>Steel Wheelbarrow of Cement</t>
  </si>
  <si>
    <t>水泥钢独轮车</t>
  </si>
  <si>
    <t>14096.txt</t>
  </si>
  <si>
    <t>Steel Wheelbarrow of Cement and Gravel</t>
  </si>
  <si>
    <t>水泥和砾石钢独轮车</t>
  </si>
  <si>
    <t>14097.txt</t>
  </si>
  <si>
    <t>Steel Wheelbarrow of Concrete</t>
  </si>
  <si>
    <t xml:space="preserve">混凝土钢独轮车
</t>
  </si>
  <si>
    <t>14098.txt</t>
  </si>
  <si>
    <t>Steel Wheelbarrow of Dried Concrete</t>
  </si>
  <si>
    <t>干混凝土钢独轮车</t>
  </si>
  <si>
    <t>14099.txt</t>
  </si>
  <si>
    <t>Steel Wheelbarrow#just removed dried concrete</t>
  </si>
  <si>
    <t>钢独轮车#just removed dried concrete</t>
  </si>
  <si>
    <t>14100.txt</t>
  </si>
  <si>
    <t>Unassembled Steel Wheelbarrow - 3</t>
  </si>
  <si>
    <t>未组装的钢独轮车 - 3</t>
  </si>
  <si>
    <t>14101.txt</t>
  </si>
  <si>
    <t>Unassembled Steel Wheelbarrow - 2</t>
  </si>
  <si>
    <t>未组装的钢独轮车 - 2</t>
  </si>
  <si>
    <t>14102.txt</t>
  </si>
  <si>
    <t>Unassembled Steel Wheelbarrow - 1</t>
  </si>
  <si>
    <t>未组装的钢独轮车 - 1</t>
  </si>
  <si>
    <t>14103.txt</t>
  </si>
  <si>
    <t>Steel Wheelbarrow#just made</t>
  </si>
  <si>
    <t>钢制独轮车#just made</t>
  </si>
  <si>
    <t>14104.txt</t>
  </si>
  <si>
    <t xml:space="preserve">Pot of Water </t>
  </si>
  <si>
    <t>一壶水</t>
  </si>
  <si>
    <t>14105.txt</t>
  </si>
  <si>
    <t>Hot Pot#boiled over</t>
  </si>
  <si>
    <t>火锅#boiled over</t>
  </si>
  <si>
    <t>14106.txt</t>
  </si>
  <si>
    <t xml:space="preserve">Pot of Boiling Water </t>
  </si>
  <si>
    <t>一壶开水</t>
  </si>
  <si>
    <t>14107.txt</t>
  </si>
  <si>
    <t>Pot of Gooey Mess</t>
  </si>
  <si>
    <t>一锅粘糊糊的烂摊子</t>
  </si>
  <si>
    <t>14108.txt</t>
  </si>
  <si>
    <t>Pot with Onions</t>
  </si>
  <si>
    <t>洋葱锅</t>
  </si>
  <si>
    <t>14109.txt</t>
  </si>
  <si>
    <t>Stove Pot#heating</t>
  </si>
  <si>
    <t>炉锅#heating</t>
  </si>
  <si>
    <t>14110.txt</t>
  </si>
  <si>
    <t>Pot of Water#heating</t>
  </si>
  <si>
    <t>一壶水#heating</t>
  </si>
  <si>
    <t>14111.txt</t>
  </si>
  <si>
    <t>@ Hot Pot Food - bad</t>
  </si>
  <si>
    <t>14112.txt</t>
  </si>
  <si>
    <t>Hot Stove Pot</t>
  </si>
  <si>
    <t>热锅</t>
  </si>
  <si>
    <t>14113.txt</t>
  </si>
  <si>
    <t>Pot with Carrot and Onions</t>
  </si>
  <si>
    <t>胡萝卜洋葱锅</t>
  </si>
  <si>
    <t>14114.txt</t>
  </si>
  <si>
    <t>Pot of Tomato Soup</t>
  </si>
  <si>
    <t>番茄汤锅</t>
  </si>
  <si>
    <t>14115.txt</t>
  </si>
  <si>
    <t>Pot with Onions and Butter</t>
  </si>
  <si>
    <t>锅里加洋葱和黄油</t>
  </si>
  <si>
    <t>14116.txt</t>
  </si>
  <si>
    <t>Pot of Mushroom Soup</t>
  </si>
  <si>
    <t>一锅蘑菇汤</t>
  </si>
  <si>
    <t>14117.txt</t>
  </si>
  <si>
    <t>Pot of French Onion Soup</t>
  </si>
  <si>
    <t>一锅法式洋葱汤</t>
  </si>
  <si>
    <t>14119.txt</t>
  </si>
  <si>
    <t>Plate of Cooked Sausages</t>
  </si>
  <si>
    <t>一盘煮熟的香肠</t>
  </si>
  <si>
    <t>14121.txt</t>
  </si>
  <si>
    <t>@ +contTableExceptionsPot</t>
  </si>
  <si>
    <t>14122.txt</t>
  </si>
  <si>
    <t>Yew Shafts with Rope</t>
  </si>
  <si>
    <t>带绳索的红豆杉轴</t>
  </si>
  <si>
    <t>14123.txt</t>
  </si>
  <si>
    <t>14125.txt</t>
  </si>
  <si>
    <t>Pot of Cooked Beans</t>
  </si>
  <si>
    <t>一锅煮熟的豆子</t>
  </si>
  <si>
    <t>14127.txt</t>
  </si>
  <si>
    <t>Pot of Soaking Beans</t>
  </si>
  <si>
    <t>一锅泡豆子</t>
  </si>
  <si>
    <t>14128.txt</t>
  </si>
  <si>
    <t>@ Hot Pot Food - good raw</t>
  </si>
  <si>
    <t>14129.txt</t>
  </si>
  <si>
    <t>@ Hot Pot Food - good cooked</t>
  </si>
  <si>
    <t>14130.txt</t>
  </si>
  <si>
    <t>Bowl of Rinsed Rice</t>
  </si>
  <si>
    <t>一碗淘洗过的米饭</t>
  </si>
  <si>
    <t>14131.txt</t>
  </si>
  <si>
    <t>Bowl of Rinsed Rice with Water</t>
  </si>
  <si>
    <t>一碗用水淘洗过的米饭</t>
  </si>
  <si>
    <t>14132.txt</t>
  </si>
  <si>
    <t>Pot of Rinsed Rice with Water</t>
  </si>
  <si>
    <t>一锅淘米水</t>
  </si>
  <si>
    <t>14133.txt</t>
  </si>
  <si>
    <t>Pot of Cooked Rice</t>
  </si>
  <si>
    <t>锅里的米饭</t>
  </si>
  <si>
    <t>14134.txt</t>
  </si>
  <si>
    <t>Pot of Rinsed Rice with Water#heating</t>
  </si>
  <si>
    <t>一锅淘米水#heating</t>
  </si>
  <si>
    <t>14135.txt</t>
  </si>
  <si>
    <t>Pot of Crab#heating</t>
  </si>
  <si>
    <t>螃蟹锅#heating</t>
  </si>
  <si>
    <t>14136.txt</t>
  </si>
  <si>
    <t>Pot of Cooked Crab</t>
  </si>
  <si>
    <t>煮蟹锅</t>
  </si>
  <si>
    <t>14137.txt</t>
  </si>
  <si>
    <t>Cooked Crab in Clay Bowl#just removed</t>
  </si>
  <si>
    <t>粘土碗里煮熟的螃蟹#just removed</t>
  </si>
  <si>
    <t>14138.txt</t>
  </si>
  <si>
    <t>Pot of Lobster#heating</t>
  </si>
  <si>
    <t>龙虾锅#heating</t>
  </si>
  <si>
    <t>14139.txt</t>
  </si>
  <si>
    <t>Pot of Cooked Lobster</t>
  </si>
  <si>
    <t>煮龙虾锅</t>
  </si>
  <si>
    <t>14140.txt</t>
  </si>
  <si>
    <t>Cooked Lobster in Clay Bowl#just removed</t>
  </si>
  <si>
    <t>粘土碗中煮熟的龙虾#just removed</t>
  </si>
  <si>
    <t>14141.txt</t>
  </si>
  <si>
    <t>Pot of Soaking Sugarcane Pulp</t>
  </si>
  <si>
    <t>浸泡甘蔗浆的锅</t>
  </si>
  <si>
    <t>14142.txt</t>
  </si>
  <si>
    <t>Pot of Cooked Sugarcane Pulp</t>
  </si>
  <si>
    <t>一锅煮熟的甘蔗浆</t>
  </si>
  <si>
    <t>14143.txt</t>
  </si>
  <si>
    <t>Bowl of Cooked Sugarcane Pulp#just poured</t>
  </si>
  <si>
    <t>一碗煮熟的甘蔗浆#just poured</t>
  </si>
  <si>
    <t>14144.txt</t>
  </si>
  <si>
    <t>Pot of Cane Juice</t>
  </si>
  <si>
    <t>一壶甘蔗汁</t>
  </si>
  <si>
    <t>14145.txt</t>
  </si>
  <si>
    <t>Pot of Dried Raw Sugar</t>
  </si>
  <si>
    <t>一锅干原糖</t>
  </si>
  <si>
    <t>14148.txt</t>
  </si>
  <si>
    <t>Bowl of Raw Sugar#just poured</t>
  </si>
  <si>
    <t>一碗原糖#just poured</t>
  </si>
  <si>
    <t>14149.txt</t>
  </si>
  <si>
    <t>Pot of Corn in Lime Water</t>
  </si>
  <si>
    <t>石灰水玉米锅</t>
  </si>
  <si>
    <t>14150.txt</t>
  </si>
  <si>
    <t>Pot of Limed Corn</t>
  </si>
  <si>
    <t>一壶石灰玉米</t>
  </si>
  <si>
    <t>14151.txt</t>
  </si>
  <si>
    <t>Concrete Floor# groundOnly</t>
  </si>
  <si>
    <t>混凝土地板# groundOn</t>
  </si>
  <si>
    <t>14152.txt</t>
  </si>
  <si>
    <t>Mosaic Floor# groundOnly</t>
  </si>
  <si>
    <t>马赛克地板# groundOnly</t>
  </si>
  <si>
    <t>14154.txt</t>
  </si>
  <si>
    <t>14156.txt</t>
  </si>
  <si>
    <t>14157.txt</t>
  </si>
  <si>
    <t>14159.txt</t>
  </si>
  <si>
    <t>Basket of Lapis Lazuli</t>
  </si>
  <si>
    <t>青金石篮子</t>
  </si>
  <si>
    <t>14160.txt</t>
  </si>
  <si>
    <t>Grizzly Bear Hat</t>
  </si>
  <si>
    <t>灰熊帽子</t>
  </si>
  <si>
    <t>14161.txt</t>
  </si>
  <si>
    <t>Polar Bear Hat</t>
  </si>
  <si>
    <t>北极熊帽子</t>
  </si>
  <si>
    <t>14163.txt</t>
  </si>
  <si>
    <t>Banana Leaf</t>
  </si>
  <si>
    <t>香蕉叶</t>
  </si>
  <si>
    <t>14166.txt</t>
  </si>
  <si>
    <t>Cocoa Beans on Banana Leaf</t>
  </si>
  <si>
    <t>香蕉叶上的可可豆</t>
  </si>
  <si>
    <t>14167.txt</t>
  </si>
  <si>
    <t>Fermenting Cocoa Beans</t>
  </si>
  <si>
    <t>发酵可可豆</t>
  </si>
  <si>
    <t>14169.txt</t>
  </si>
  <si>
    <t>Fermented Cocoa Beans</t>
  </si>
  <si>
    <t>14170.txt</t>
  </si>
  <si>
    <t>14171.txt</t>
  </si>
  <si>
    <t>Yellow Banana Leaf</t>
  </si>
  <si>
    <t>黄蕉叶</t>
  </si>
  <si>
    <t>14172.txt</t>
  </si>
  <si>
    <t>Bowl of Fermented Cocoa Beans</t>
  </si>
  <si>
    <t>一碗发酵可可豆</t>
  </si>
  <si>
    <t>14173.txt</t>
  </si>
  <si>
    <t>Camping Stove with Hot Chocolate</t>
  </si>
  <si>
    <t>野营炉热巧克力</t>
  </si>
  <si>
    <t>14174.txt</t>
  </si>
  <si>
    <t>Camping Stove with Hot Chocolate#ashes</t>
  </si>
  <si>
    <t>野营炉热巧克力#ashes</t>
  </si>
  <si>
    <t>14175.txt</t>
  </si>
  <si>
    <t>Mug of Hot Chocolate</t>
  </si>
  <si>
    <t>一杯热巧克力</t>
  </si>
  <si>
    <t>14176.txt</t>
  </si>
  <si>
    <t>Pot of Milk#heating</t>
  </si>
  <si>
    <t>一壶牛奶#heating</t>
  </si>
  <si>
    <t>14177.txt</t>
  </si>
  <si>
    <t>Pot of Warm Milk#on stove</t>
  </si>
  <si>
    <t>一壶热牛奶#on stove</t>
  </si>
  <si>
    <t>14178.txt</t>
  </si>
  <si>
    <t>Pot of Hot Chocolate</t>
  </si>
  <si>
    <t>一壶热巧克力</t>
  </si>
  <si>
    <t>14179.txt</t>
  </si>
  <si>
    <t>uwu Eyes</t>
  </si>
  <si>
    <t>乌乌眼睛</t>
  </si>
  <si>
    <t>14180.txt</t>
  </si>
  <si>
    <t>uwu Mouth</t>
  </si>
  <si>
    <t>这是嘴</t>
  </si>
  <si>
    <t>14181.txt</t>
  </si>
  <si>
    <t>Goose Statue</t>
  </si>
  <si>
    <t>鹅雕像</t>
  </si>
  <si>
    <t>14182.txt</t>
  </si>
  <si>
    <t>Silver Mask</t>
  </si>
  <si>
    <t>银面具</t>
  </si>
  <si>
    <t>14183.txt</t>
  </si>
  <si>
    <t>Silver Armor</t>
  </si>
  <si>
    <t>银甲</t>
  </si>
  <si>
    <t>14184.txt</t>
  </si>
  <si>
    <t>Goose Crown</t>
  </si>
  <si>
    <t xml:space="preserve">
鹅冠</t>
  </si>
  <si>
    <t>14185.txt</t>
  </si>
  <si>
    <t>Stuffed Bunny</t>
  </si>
  <si>
    <t>毛绒兔子</t>
  </si>
  <si>
    <t>14186.txt</t>
  </si>
  <si>
    <t>Flower Pot</t>
  </si>
  <si>
    <t xml:space="preserve">
花盆
</t>
  </si>
  <si>
    <t>14187.txt</t>
  </si>
  <si>
    <t>Flower Pot with Soil</t>
  </si>
  <si>
    <t xml:space="preserve">带土的花盆
</t>
  </si>
  <si>
    <t>14189.txt</t>
  </si>
  <si>
    <t>Flower Pot with Seed</t>
  </si>
  <si>
    <t>有种子的花盆</t>
  </si>
  <si>
    <t>14190.txt</t>
  </si>
  <si>
    <t>Watered Flower Pot with Seed</t>
  </si>
  <si>
    <t>用种子浇水的花盆</t>
  </si>
  <si>
    <t>14191.txt</t>
  </si>
  <si>
    <t>Dry Flower Seedling</t>
  </si>
  <si>
    <t>干燥花苗</t>
  </si>
  <si>
    <t>14192.txt</t>
  </si>
  <si>
    <t>Watered Flower Seedling</t>
  </si>
  <si>
    <t>浇水的花苗</t>
  </si>
  <si>
    <t>14193.txt</t>
  </si>
  <si>
    <t>Dry Sprout</t>
  </si>
  <si>
    <t>干芽</t>
  </si>
  <si>
    <t>14194.txt</t>
  </si>
  <si>
    <t>Watered Sprout</t>
  </si>
  <si>
    <t xml:space="preserve">
浇水的芽苗菜</t>
  </si>
  <si>
    <t>14195.txt</t>
  </si>
  <si>
    <t>Dry Budding Flower</t>
  </si>
  <si>
    <t xml:space="preserve">
干花蕾</t>
  </si>
  <si>
    <t>14196.txt</t>
  </si>
  <si>
    <t>Watered Budding Flower</t>
  </si>
  <si>
    <t xml:space="preserve">
浇水的含苞待放的花</t>
  </si>
  <si>
    <t>14197.txt</t>
  </si>
  <si>
    <t>Blooming Hibiscus</t>
  </si>
  <si>
    <t>盛开的芙蓉花</t>
  </si>
  <si>
    <t>14198.txt</t>
  </si>
  <si>
    <t>Exotic Flower Seed Bag</t>
  </si>
  <si>
    <t xml:space="preserve">
异国情调的花卉种子袋</t>
  </si>
  <si>
    <t>14199.txt</t>
  </si>
  <si>
    <t>Dead Plant</t>
  </si>
  <si>
    <t xml:space="preserve">
死植物</t>
  </si>
  <si>
    <t>14200.txt</t>
  </si>
  <si>
    <t>Blooming Orchid</t>
  </si>
  <si>
    <t>盛开的兰花</t>
  </si>
  <si>
    <t>14201.txt</t>
  </si>
  <si>
    <t>干花蕾</t>
  </si>
  <si>
    <t>14202.txt</t>
  </si>
  <si>
    <t>14204.txt</t>
  </si>
  <si>
    <t>14205.txt</t>
  </si>
  <si>
    <t>14206.txt</t>
  </si>
  <si>
    <t>14207.txt</t>
  </si>
  <si>
    <t>14208.txt</t>
  </si>
  <si>
    <t>浇水的豆芽</t>
  </si>
  <si>
    <t>14209.txt</t>
  </si>
  <si>
    <t>浇水的含苞待放的花</t>
  </si>
  <si>
    <t>14210.txt</t>
  </si>
  <si>
    <t>异国情调的花卉种子袋</t>
  </si>
  <si>
    <t>14211.txt</t>
  </si>
  <si>
    <t xml:space="preserve">
湿粘土线圈</t>
  </si>
  <si>
    <t>14212.txt</t>
  </si>
  <si>
    <t>Wet Clay Flower Pot</t>
  </si>
  <si>
    <t>湿粘土花盆</t>
  </si>
  <si>
    <t>14213.txt</t>
  </si>
  <si>
    <t>Wet Clay Flower Pot in Wooden Tongs</t>
  </si>
  <si>
    <t>木钳中的湿粘土花盆</t>
  </si>
  <si>
    <t>14214.txt</t>
  </si>
  <si>
    <t>Fired Flower Pot in Wooden Tongs</t>
  </si>
  <si>
    <t>木夹烧制花盆</t>
  </si>
  <si>
    <t>14215.txt</t>
  </si>
  <si>
    <t>14216.txt</t>
  </si>
  <si>
    <t>Bolt of Cotton Blend Cloth#just removed</t>
  </si>
  <si>
    <t>一卷棉混纺布#刚刚移除</t>
  </si>
  <si>
    <t>14218.txt</t>
  </si>
  <si>
    <t>14219.txt</t>
  </si>
  <si>
    <t>14220.txt</t>
  </si>
  <si>
    <t>Steel Wheelbarrow with Cassiterite</t>
  </si>
  <si>
    <t>带锡石的钢独轮车</t>
  </si>
  <si>
    <t>14221.txt</t>
  </si>
  <si>
    <t>Wooden Table#justRemovedCloth</t>
  </si>
  <si>
    <t>木桌#justRemovedCloth</t>
  </si>
  <si>
    <t>14222.txt</t>
  </si>
  <si>
    <t>Copper Pipe #NE #justGone</t>
  </si>
  <si>
    <t>铜管#NE #justGone</t>
  </si>
  <si>
    <t>14223.txt</t>
  </si>
  <si>
    <t>Copper Pipe #SE #justGone</t>
  </si>
  <si>
    <t>铜管#SE #justGone</t>
  </si>
  <si>
    <t>14224.txt</t>
  </si>
  <si>
    <t>Copper Pipe #SW #justGone</t>
  </si>
  <si>
    <t>铜管#SW #justGone</t>
  </si>
  <si>
    <t>14225.txt</t>
  </si>
  <si>
    <t>Copper Pipe #NW #justGone</t>
  </si>
  <si>
    <t>铜管#NW #justGone</t>
  </si>
  <si>
    <t>14226.txt</t>
  </si>
  <si>
    <t>Copper Pipe #TE #NE #justGone</t>
  </si>
  <si>
    <t>铜管#TE #NE #justGone</t>
  </si>
  <si>
    <t>14227.txt</t>
  </si>
  <si>
    <t>Copper Pipe #TE #SE #justGone</t>
  </si>
  <si>
    <t>铜管#TE #SE #justGone</t>
  </si>
  <si>
    <t>14228.txt</t>
  </si>
  <si>
    <t>Copper Pipe #TN #NE #justGone</t>
  </si>
  <si>
    <t>铜管#TN #NE #justGone</t>
  </si>
  <si>
    <t>14229.txt</t>
  </si>
  <si>
    <t>Copper Pipe #TN #NW #justGone</t>
  </si>
  <si>
    <t>铜管#TN #NW #justGone</t>
  </si>
  <si>
    <t>14230.txt</t>
  </si>
  <si>
    <t>Copper Pipe #TS #SE #justGone</t>
  </si>
  <si>
    <t xml:space="preserve">铜管#TS #SE #justGone
</t>
  </si>
  <si>
    <t>14231.txt</t>
  </si>
  <si>
    <t>Copper Pipe #TS #SW #justGone</t>
  </si>
  <si>
    <t>铜管#TS #SW #justGone</t>
  </si>
  <si>
    <t>14232.txt</t>
  </si>
  <si>
    <t>Copper Pipe #TW #NW #justGone</t>
  </si>
  <si>
    <t>铜管#TW #NW #justGone</t>
  </si>
  <si>
    <t>14233.txt</t>
  </si>
  <si>
    <t>Copper Pipe #TW #SW #justGone</t>
  </si>
  <si>
    <t>铜管#TW #SW #justGone</t>
  </si>
  <si>
    <t>14234.txt</t>
  </si>
  <si>
    <t>Track #NE #justGone</t>
  </si>
  <si>
    <t>轨道#NE #justGone</t>
  </si>
  <si>
    <t>14235.txt</t>
  </si>
  <si>
    <t>Track #SE #justGone</t>
  </si>
  <si>
    <t>轨道#SE #justGone</t>
  </si>
  <si>
    <t>14236.txt</t>
  </si>
  <si>
    <t>Track #SW #justGone</t>
  </si>
  <si>
    <t>轨道#SW #justGone</t>
  </si>
  <si>
    <t>14237.txt</t>
  </si>
  <si>
    <t>Track #NW #justGone</t>
  </si>
  <si>
    <t>轨道#NW #justGone</t>
  </si>
  <si>
    <t>14238.txt</t>
  </si>
  <si>
    <t>Track End #E #justGone</t>
  </si>
  <si>
    <t>轨道终点#E #justGone</t>
  </si>
  <si>
    <t>14239.txt</t>
  </si>
  <si>
    <t>Track End #N #justGone</t>
  </si>
  <si>
    <t>轨道终点#N #justGone</t>
  </si>
  <si>
    <t>14240.txt</t>
  </si>
  <si>
    <t>Track End #S #justGone</t>
  </si>
  <si>
    <t>轨道终点#S #justGone</t>
  </si>
  <si>
    <t>14241.txt</t>
  </si>
  <si>
    <t>Track End #W #justGone</t>
  </si>
  <si>
    <t>轨道终点#W #justGone</t>
  </si>
  <si>
    <t>14242.txt</t>
  </si>
  <si>
    <t>Bicycle</t>
  </si>
  <si>
    <t>自行车</t>
  </si>
  <si>
    <t>14243.txt</t>
  </si>
  <si>
    <t>Bicycle#riding</t>
  </si>
  <si>
    <t>自行车#riding</t>
  </si>
  <si>
    <t>14244.txt</t>
  </si>
  <si>
    <t>Chair</t>
  </si>
  <si>
    <t>椅子</t>
  </si>
  <si>
    <t>14245.txt</t>
  </si>
  <si>
    <t>Chair#sitting</t>
  </si>
  <si>
    <t>椅子#sitting</t>
  </si>
  <si>
    <t>14247.txt</t>
  </si>
  <si>
    <t>Chair#left</t>
  </si>
  <si>
    <t>椅子r#left</t>
  </si>
  <si>
    <t>14251.txt</t>
  </si>
  <si>
    <t>Chair#pulled #left</t>
  </si>
  <si>
    <t>椅子r#pulled #left</t>
  </si>
  <si>
    <t>14252.txt</t>
  </si>
  <si>
    <t>Chair#pulled</t>
  </si>
  <si>
    <t>椅子#pulled</t>
  </si>
  <si>
    <t>14253.txt</t>
  </si>
  <si>
    <t>Copper Sprinkler #EW #waterE spraying +tapoutTrigger,1,1,1,1</t>
  </si>
  <si>
    <t>铜喷头  #EW #waterE spraying +tapoutTrigger,1,1,1,1</t>
  </si>
  <si>
    <t>14254.txt</t>
  </si>
  <si>
    <t>Copper Sprinkler #EW #waterE spraying +tapoutTrigger,1,1,2,2</t>
  </si>
  <si>
    <t>铜喷头  #EW #waterE spraying +tapoutTrigger,1,1,2,2</t>
  </si>
  <si>
    <t>14255.txt</t>
  </si>
  <si>
    <t>Copper Sprinkler #EW #waterE spraying +tapoutTrigger,1,1,4,4</t>
  </si>
  <si>
    <t>铜喷头 #EW #waterE spraying +tapoutTrigger,1,1,4,4</t>
  </si>
  <si>
    <t>14256.txt</t>
  </si>
  <si>
    <t>@ Perhaps EW Sprinkler waterW tapout (outdated)</t>
  </si>
  <si>
    <t>14258.txt</t>
  </si>
  <si>
    <t>@ Perhaps NS Sprinkler waterS tapout (outdated)</t>
  </si>
  <si>
    <t>14259.txt</t>
  </si>
  <si>
    <t>Copper Sprinkler #EW #waterW spraying +tapoutTrigger,1,1,1,1</t>
  </si>
  <si>
    <t>铜喷头  #EW #waterW spraying +tapoutTrigger,1,1,1,1</t>
  </si>
  <si>
    <t>14260.txt</t>
  </si>
  <si>
    <t>Copper Sprinkler #EW #waterW spraying +tapoutTrigger,1,1,2,2</t>
  </si>
  <si>
    <t>铜喷头 #EW #waterW spraying +tapoutTrigger,1,1,2,2</t>
  </si>
  <si>
    <t>14261.txt</t>
  </si>
  <si>
    <t>Copper Sprinkler #EW #waterW spraying +tapoutTrigger,1,1,4,4</t>
  </si>
  <si>
    <t>铜喷头  #EW #waterW spraying +tapoutTrigger,1,1,4,4</t>
  </si>
  <si>
    <t>14262.txt</t>
  </si>
  <si>
    <t>Perhaps EW Sprinkler waterE tapout</t>
  </si>
  <si>
    <t>也许 EW 洒水器 E 水龙头</t>
  </si>
  <si>
    <t>14263.txt</t>
  </si>
  <si>
    <t>Perhaps EW Sprinkler waterW tapout</t>
  </si>
  <si>
    <t>也许 EW 洒水器 W 水龙头</t>
  </si>
  <si>
    <t>14264.txt</t>
  </si>
  <si>
    <t>Copper Sprinkler #NS #waterN spraying +tapoutTrigger,1,1,1,1</t>
  </si>
  <si>
    <t>铜喷头#NS #waterN spraying +tapoutTrigger,1,1,1,1</t>
  </si>
  <si>
    <t>14265.txt</t>
  </si>
  <si>
    <t>Copper Sprinkler #NS #waterN spraying +tapoutTrigger,1,1,2,2</t>
  </si>
  <si>
    <t>铜喷头  #NS #waterN spraying +tapoutTrigger,1,1,2,2</t>
  </si>
  <si>
    <t>14266.txt</t>
  </si>
  <si>
    <t>Copper Sprinkler #NS #waterN spraying +tapoutTrigger,1,1,4,4</t>
  </si>
  <si>
    <t>铜喷头 #NS#NS #waterN spraying +tapoutTrigger,1,1,4,4</t>
  </si>
  <si>
    <t>14267.txt</t>
  </si>
  <si>
    <t>Perhaps NS Sprinkler waterN tapout</t>
  </si>
  <si>
    <t>方向 NS 洒水器 N 水龙头</t>
  </si>
  <si>
    <t>14268.txt</t>
  </si>
  <si>
    <t>Perhaps NS Sprinkler waterS tapout</t>
  </si>
  <si>
    <t>方向 NS 洒水器水龙头</t>
  </si>
  <si>
    <t>14269.txt</t>
  </si>
  <si>
    <t>Copper Sprinkler #NS #waterS spraying +tapoutTrigger,1,1,1,1</t>
  </si>
  <si>
    <t>铜喷头 #NS #waterS spraying +tapoutTrigger,1,1,1,1</t>
  </si>
  <si>
    <t>14270.txt</t>
  </si>
  <si>
    <t>Copper Sprinkler #NS #waterS spraying +tapoutTrigger,1,1,2,2</t>
  </si>
  <si>
    <t>铜喷头 #NS #waterS spraying +tapoutTrigger,1,1,2,2</t>
  </si>
  <si>
    <t>14271.txt</t>
  </si>
  <si>
    <t>Copper Sprinkler #NS #waterS spraying +tapoutTrigger,1,1,4,4</t>
  </si>
  <si>
    <t>铜喷头#NS #waterS spraying +tapoutTrigger,1,1,4,4</t>
  </si>
  <si>
    <t>14272.txt</t>
  </si>
  <si>
    <t>Boards with Two Short Shafts# just dismantled</t>
  </si>
  <si>
    <t>有两个短轴的板#刚刚拆除</t>
  </si>
  <si>
    <t>14273.txt</t>
  </si>
  <si>
    <t>Metal Box</t>
  </si>
  <si>
    <t>金属盒</t>
  </si>
  <si>
    <t>14274.txt</t>
  </si>
  <si>
    <t>Steel Wire</t>
  </si>
  <si>
    <t>钢丝</t>
  </si>
  <si>
    <t>14275.txt</t>
  </si>
  <si>
    <t>Hot Thin Rod in Wooden Tongs #reheated</t>
  </si>
  <si>
    <t>木钳中的热细棒#reheated</t>
  </si>
  <si>
    <t>14276.txt</t>
  </si>
  <si>
    <t>Steel Wire in Wooden Tongs</t>
  </si>
  <si>
    <t>木钳中的钢丝</t>
  </si>
  <si>
    <t>14277.txt</t>
  </si>
  <si>
    <t>Steel Wire on Work Bench</t>
  </si>
  <si>
    <t>工作台上的钢丝</t>
  </si>
  <si>
    <t>14278.txt</t>
  </si>
  <si>
    <t>Bicycle Wheel Rim on Work Bench</t>
  </si>
  <si>
    <t>工作台上的自行车轮圈</t>
  </si>
  <si>
    <t>14279.txt</t>
  </si>
  <si>
    <t>Bicycle Wheel Rim and Hub on Work Bench</t>
  </si>
  <si>
    <t>工作台上的自行车轮圈和轮毂</t>
  </si>
  <si>
    <t>14280.txt</t>
  </si>
  <si>
    <t>Partially Laced Bicycle Wheel on Work Bench</t>
  </si>
  <si>
    <t>工作台上部分系带的自行车轮</t>
  </si>
  <si>
    <t>14281.txt</t>
  </si>
  <si>
    <t>Bicycle Wheel without Rubber Tire on Work Bench</t>
  </si>
  <si>
    <t xml:space="preserve">
工作台上无橡胶轮胎的自行车车轮</t>
  </si>
  <si>
    <t>14282.txt</t>
  </si>
  <si>
    <t>Bicycle Wheel on Work Bench</t>
  </si>
  <si>
    <t xml:space="preserve">
工作台上的自行车轮</t>
  </si>
  <si>
    <t>14283.txt</t>
  </si>
  <si>
    <t>Bicycle Wheel Rim</t>
  </si>
  <si>
    <t>自行车轮圈</t>
  </si>
  <si>
    <t>14284.txt</t>
  </si>
  <si>
    <t>Bicycle Wheel</t>
  </si>
  <si>
    <t>自行车车轮</t>
  </si>
  <si>
    <t>14285.txt</t>
  </si>
  <si>
    <t>Steel Pipe in Wooden Tongs</t>
  </si>
  <si>
    <t>木钳中的钢管</t>
  </si>
  <si>
    <t>14286.txt</t>
  </si>
  <si>
    <t>Stack of Hot Steel Pipes</t>
  </si>
  <si>
    <t>一堆热钢管</t>
  </si>
  <si>
    <t>14287.txt</t>
  </si>
  <si>
    <t>Hot Steel Pipe in Wooden Tongs</t>
  </si>
  <si>
    <t>木钳中的热钢管</t>
  </si>
  <si>
    <t>14288.txt</t>
  </si>
  <si>
    <t>Hot Steel Pipe</t>
  </si>
  <si>
    <t>热钢管</t>
  </si>
  <si>
    <t>14289.txt</t>
  </si>
  <si>
    <t>Hot Steel Pipe in Wooden Tongs #grabbed</t>
  </si>
  <si>
    <t>木钳中的热钢管#grabbed</t>
  </si>
  <si>
    <t>14290.txt</t>
  </si>
  <si>
    <t>Bicycle Frame</t>
  </si>
  <si>
    <t>自行车车架</t>
  </si>
  <si>
    <t>14291.txt</t>
  </si>
  <si>
    <t>Bicycle Frame with Saddle</t>
  </si>
  <si>
    <t>带车座的自行车车架</t>
  </si>
  <si>
    <t>14292.txt</t>
  </si>
  <si>
    <t>Bicycle Wheels</t>
  </si>
  <si>
    <t xml:space="preserve">
自行车车轮</t>
  </si>
  <si>
    <t>14294.txt</t>
  </si>
  <si>
    <t>Bicycle Cart</t>
  </si>
  <si>
    <t>自行车车</t>
  </si>
  <si>
    <t>14295.txt</t>
  </si>
  <si>
    <t>Bicycle Cart#riding</t>
  </si>
  <si>
    <t>行车车#riding</t>
  </si>
  <si>
    <t>14296.txt</t>
  </si>
  <si>
    <t>Bicycle Trailer without Tires</t>
  </si>
  <si>
    <t xml:space="preserve">
无轮胎自行车拖车</t>
  </si>
  <si>
    <t>14297.txt</t>
  </si>
  <si>
    <t>Bicycle Trailer</t>
  </si>
  <si>
    <t xml:space="preserve">
自行车拖车</t>
  </si>
  <si>
    <t>14298.txt</t>
  </si>
  <si>
    <t>Bicycle Trailer#held</t>
  </si>
  <si>
    <t xml:space="preserve">
自行车拖车#held</t>
  </si>
  <si>
    <t>14299.txt</t>
  </si>
  <si>
    <t>Bicycle Trailer#justBuilt</t>
  </si>
  <si>
    <t>自行车拖车#justBuilt</t>
  </si>
  <si>
    <t>14300.txt</t>
  </si>
  <si>
    <t>Stack of Sheet Metal and Thin Steel Pipes</t>
  </si>
  <si>
    <t>金属板和薄钢管堆栈</t>
  </si>
  <si>
    <t>14302.txt</t>
  </si>
  <si>
    <t>Two Kindling#justChopped</t>
  </si>
  <si>
    <t xml:space="preserve">
两根引火物#justChopped</t>
  </si>
  <si>
    <t>14303.txt</t>
  </si>
  <si>
    <t>Steel Wheelbarrow with Composted Soil</t>
  </si>
  <si>
    <t>带堆肥土壤的钢独轮车</t>
  </si>
  <si>
    <t>14304.txt</t>
  </si>
  <si>
    <t>Steel Wheelbarrow with Soil</t>
  </si>
  <si>
    <t>带土的钢独轮车</t>
  </si>
  <si>
    <t>14305.txt</t>
  </si>
  <si>
    <t>14306.txt</t>
  </si>
  <si>
    <t>Steel Wheelbarrow with Snow</t>
  </si>
  <si>
    <t>钢独轮车与雪</t>
  </si>
  <si>
    <t>14307.txt</t>
  </si>
  <si>
    <t>Boards#justDismantled</t>
  </si>
  <si>
    <t>木板#justDismantled</t>
  </si>
  <si>
    <t>14308.txt</t>
  </si>
  <si>
    <t>Pile of Boards #dark</t>
  </si>
  <si>
    <t>一堆木板 #dark</t>
  </si>
  <si>
    <t>14309.txt</t>
  </si>
  <si>
    <t>Pile of Boards #light</t>
  </si>
  <si>
    <t>一堆木板#light</t>
  </si>
  <si>
    <t>14310.txt</t>
  </si>
  <si>
    <t>@ Any Big Stack of Boards Color</t>
  </si>
  <si>
    <t>14313.txt</t>
  </si>
  <si>
    <t>Plate of Cooked Sausage</t>
  </si>
  <si>
    <t xml:space="preserve">
一盘煮熟的香肠</t>
  </si>
  <si>
    <t>14314.txt</t>
  </si>
  <si>
    <t>Smithing Hammer #justRemoved</t>
  </si>
  <si>
    <t xml:space="preserve">
史密斯锤#justRemoved</t>
  </si>
  <si>
    <t>14315.txt</t>
  </si>
  <si>
    <t>Bow Saw#justRemoved</t>
  </si>
  <si>
    <t>弓锯#justRemoved</t>
  </si>
  <si>
    <t>14316.txt</t>
  </si>
  <si>
    <t>Skinned Polar Bear#with hide</t>
  </si>
  <si>
    <t>剥皮的北极熊#with hide</t>
  </si>
  <si>
    <t>14317.txt</t>
  </si>
  <si>
    <t>Polar Bear Skin</t>
  </si>
  <si>
    <t>北极熊皮肤</t>
  </si>
  <si>
    <t>14318.txt</t>
  </si>
  <si>
    <t>Pile of Polar Bear Skins</t>
  </si>
  <si>
    <t>一堆北极熊皮</t>
  </si>
  <si>
    <t>14319.txt</t>
  </si>
  <si>
    <t>Horse-Drawn Cart with Tires #black, ground, feather hat</t>
  </si>
  <si>
    <t>带轮胎的马车#black, ground, feather hat</t>
  </si>
  <si>
    <t>14320.txt</t>
  </si>
  <si>
    <t>Horse-Drawn Cart with Tires #black, riding, feather hat</t>
  </si>
  <si>
    <t>带轮胎的马车#black, riding, feather hat</t>
  </si>
  <si>
    <t>14321.txt</t>
  </si>
  <si>
    <t>Horse-Drawn Cart with Tires #black, hitched, feather hat</t>
  </si>
  <si>
    <t>带轮胎的马车#black, hitched, feather hat</t>
  </si>
  <si>
    <t>14322.txt</t>
  </si>
  <si>
    <t>Bronze Knife with Butter</t>
  </si>
  <si>
    <t>黄油青铜刀</t>
  </si>
  <si>
    <t>14323.txt</t>
  </si>
  <si>
    <t>Dead Rattle Snake</t>
  </si>
  <si>
    <t>死响尾蛇</t>
  </si>
  <si>
    <t>14324.txt</t>
  </si>
  <si>
    <t>Rattle Snake Pinned Down by Shaft</t>
  </si>
  <si>
    <t>响尾蛇被轴压住</t>
  </si>
  <si>
    <t>14325.txt</t>
  </si>
  <si>
    <t>Long Straight Shaft#snakeJustLeft</t>
  </si>
  <si>
    <t>长直轴#snakeJustLeft</t>
  </si>
  <si>
    <t>14326.txt</t>
  </si>
  <si>
    <t>Rattle Snake#justEscaped</t>
  </si>
  <si>
    <t>响尾蛇#justEscaped</t>
  </si>
  <si>
    <t>14327.txt</t>
  </si>
  <si>
    <t>Dead Rattle Snake#pinnedDown</t>
  </si>
  <si>
    <t>死响尾蛇#pinnedDown</t>
  </si>
  <si>
    <t>14328.txt</t>
  </si>
  <si>
    <t>Brown Snake Pinned Down by Shaft</t>
  </si>
  <si>
    <t>14329.txt</t>
  </si>
  <si>
    <t>Dead Brown Snake#pinnedDown</t>
  </si>
  <si>
    <t>死棕色蛇#pinnedDown</t>
  </si>
  <si>
    <t>14330.txt</t>
  </si>
  <si>
    <t>Brown Snake#justEscaped</t>
  </si>
  <si>
    <t>棕色蛇#justEscaped</t>
  </si>
  <si>
    <t>14331.txt</t>
  </si>
  <si>
    <t>@ Decorative Plants</t>
  </si>
  <si>
    <t>14333.txt</t>
  </si>
  <si>
    <t>@ Wet Planted Decorative Plants Cutting</t>
  </si>
  <si>
    <t>14334.txt</t>
  </si>
  <si>
    <t>@ Dry Decorative Plants Sprout</t>
  </si>
  <si>
    <t>14335.txt</t>
  </si>
  <si>
    <t>@ Wet Decorative Plants Sprout</t>
  </si>
  <si>
    <t>14336.txt</t>
  </si>
  <si>
    <t>@ Maturing Decorative Plants</t>
  </si>
  <si>
    <t>14337.txt</t>
  </si>
  <si>
    <t>Christmas Lights#justMade</t>
  </si>
  <si>
    <t>圣诞灯#justMade</t>
  </si>
  <si>
    <t>14338.txt</t>
  </si>
  <si>
    <t>@ Watering Cans</t>
  </si>
  <si>
    <t>14339.txt</t>
  </si>
  <si>
    <t>Wild Hedge Stump</t>
  </si>
  <si>
    <t>密码删除密钥</t>
  </si>
  <si>
    <t>14341.txt</t>
  </si>
  <si>
    <t>Password Removal Key</t>
  </si>
  <si>
    <t>14342.txt</t>
  </si>
  <si>
    <t>Removed Password Lock and Key</t>
  </si>
  <si>
    <t>删除密码锁和钥匙</t>
  </si>
  <si>
    <t>14343.txt</t>
  </si>
  <si>
    <t>Password Locked Wooden Door# +password-protectable</t>
  </si>
  <si>
    <t>密码锁木门r# +password-protectable</t>
  </si>
  <si>
    <t>14344.txt</t>
  </si>
  <si>
    <t>Open Password Locked Wooden Door# +password-protectable</t>
  </si>
  <si>
    <t>打开密码上锁的木门r# +password-protectable</t>
  </si>
  <si>
    <t>14345.txt</t>
  </si>
  <si>
    <t>Password Lock Blank# +password-assigner</t>
  </si>
  <si>
    <t>密码锁空白# +password-assigner</t>
  </si>
  <si>
    <t>14346.txt</t>
  </si>
  <si>
    <t>Open Password Locked Wooden Door# vert +password-protectable</t>
  </si>
  <si>
    <t>打开密码上锁的木门# vert +password-protectable</t>
  </si>
  <si>
    <t>14347.txt</t>
  </si>
  <si>
    <t>Password Locked Wooden Door# vert +password-protectable</t>
  </si>
  <si>
    <t>密码锁木门# vert +password-protectable</t>
  </si>
  <si>
    <t>14349.txt</t>
  </si>
  <si>
    <t>Stone Kiln with Charcoal# bellowRemoved</t>
  </si>
  <si>
    <t>石窑木炭# bellowRemoved</t>
  </si>
  <si>
    <t>14350.txt</t>
  </si>
  <si>
    <t>Stone Kiln with Charcoal# charcoalIn</t>
  </si>
  <si>
    <t>窑木炭# charcoalIn</t>
  </si>
  <si>
    <t>14351.txt</t>
  </si>
  <si>
    <t>Bicycle Wheel without Rubber Tire</t>
  </si>
  <si>
    <t>不带橡胶轮胎的自行车车轮</t>
  </si>
  <si>
    <t>14352.txt</t>
  </si>
  <si>
    <t>Bicycle Wheel without Rubber Tire on Work Bench# justPutWheelOn</t>
  </si>
  <si>
    <t>工作台上没有橡胶轮胎的自行车轮# justPutWheelOn</t>
  </si>
  <si>
    <t>14353.txt</t>
  </si>
  <si>
    <t>Filled Bore Hole</t>
  </si>
  <si>
    <t>填充钻孔</t>
  </si>
  <si>
    <t>14354.txt</t>
  </si>
  <si>
    <t>Basket of Crushed Bones</t>
  </si>
  <si>
    <t>一篮碎骨头</t>
  </si>
  <si>
    <t>14355.txt</t>
  </si>
  <si>
    <t>Bowl of Honeycomb</t>
  </si>
  <si>
    <t>蜂窝碗</t>
  </si>
  <si>
    <t>14356.txt</t>
  </si>
  <si>
    <t>Bowl of Crushed Honeycomb</t>
  </si>
  <si>
    <t>碗里碎了的蜂窝</t>
  </si>
  <si>
    <t>14357.txt</t>
  </si>
  <si>
    <t>Bowl of Dirty Bee Wax</t>
  </si>
  <si>
    <t>一碗脏蜂蜡</t>
  </si>
  <si>
    <t>14358.txt</t>
  </si>
  <si>
    <t>Full Bee Box</t>
  </si>
  <si>
    <t>满了的蜂箱</t>
  </si>
  <si>
    <t>14359.txt</t>
  </si>
  <si>
    <t>Bee Box with Honeycomb Removed</t>
  </si>
  <si>
    <t>移除蜂窝的蜂箱</t>
  </si>
  <si>
    <t>14360.txt</t>
  </si>
  <si>
    <t>Bee Hive #2 #honey1</t>
  </si>
  <si>
    <t>蜂巢 #2 #honey1</t>
  </si>
  <si>
    <t>14361.txt</t>
  </si>
  <si>
    <t>Bee Hive #3 #honey2</t>
  </si>
  <si>
    <t>蜂巢 #3 #honey2</t>
  </si>
  <si>
    <t>14362.txt</t>
  </si>
  <si>
    <t>Bee Hive #3 #honey1</t>
  </si>
  <si>
    <t>蜂巢 #3 #honey1</t>
  </si>
  <si>
    <t>14363.txt</t>
  </si>
  <si>
    <t>Bee Hive #4 #honey3</t>
  </si>
  <si>
    <t>蜂巢 #4 #honey3</t>
  </si>
  <si>
    <t>14364.txt</t>
  </si>
  <si>
    <t>Bee Hive #4 #honey2</t>
  </si>
  <si>
    <t>蜂巢 #4 #honey2</t>
  </si>
  <si>
    <t>14365.txt</t>
  </si>
  <si>
    <t>Bee Hive #4 #honey1</t>
  </si>
  <si>
    <t>蜂巢 #4 #honey1</t>
  </si>
  <si>
    <t>14366.txt</t>
  </si>
  <si>
    <t>Bee Hive #1 #honey0 #justLeft</t>
  </si>
  <si>
    <t>蜂巢 #1 #honey0 #justLeft</t>
  </si>
  <si>
    <t>14367.txt</t>
  </si>
  <si>
    <t>Bee Hive #1 #honey1 #justLeft</t>
  </si>
  <si>
    <t>蜂巢 #1 #honey1 #justLeft</t>
  </si>
  <si>
    <t>14368.txt</t>
  </si>
  <si>
    <t>Bee Hive #2 #honey0 #justLeft</t>
  </si>
  <si>
    <t>蜂巢 #2 #honey0 #justLeft</t>
  </si>
  <si>
    <t>14369.txt</t>
  </si>
  <si>
    <t>Bee Hive #2 #honey1 #justLeft</t>
  </si>
  <si>
    <t>蜂巢 #2 #honey1 #justLeft</t>
  </si>
  <si>
    <t>14370.txt</t>
  </si>
  <si>
    <t>Bee Hive #2 #honey2 #justLeft</t>
  </si>
  <si>
    <t>蜂巢 #2 #honey2 #justLeft</t>
  </si>
  <si>
    <t>14371.txt</t>
  </si>
  <si>
    <t>Bee Hive #3 #honey0 #justLeft</t>
  </si>
  <si>
    <t>蜂巢 #3 #honey0 #justLeft</t>
  </si>
  <si>
    <t>14372.txt</t>
  </si>
  <si>
    <t>Bee Hive #3 #honey1 #justLeft</t>
  </si>
  <si>
    <t>蜂巢 #3 #honey1 #justLeft</t>
  </si>
  <si>
    <t>14373.txt</t>
  </si>
  <si>
    <t>Bee Hive #3 #honey2 #justLeft</t>
  </si>
  <si>
    <t>蜂巢 #3 #honey2 #justLeft</t>
  </si>
  <si>
    <t>14374.txt</t>
  </si>
  <si>
    <t>Bee Hive #3 #honey3 #justLeft</t>
  </si>
  <si>
    <t>蜂巢 #3 #honey3 #justLeft</t>
  </si>
  <si>
    <t>14375.txt</t>
  </si>
  <si>
    <t>Bee Hive #4 #honey0 #justLeft</t>
  </si>
  <si>
    <t>蜂巢 #4 #honey0 #justLeft</t>
  </si>
  <si>
    <t>14376.txt</t>
  </si>
  <si>
    <t>Bee Hive #4 #honey1 #justLeft</t>
  </si>
  <si>
    <t>蜂巢 #4 #honey1 #justLeft</t>
  </si>
  <si>
    <t>14377.txt</t>
  </si>
  <si>
    <t>Bee Hive #4 #honey2 #justLeft</t>
  </si>
  <si>
    <t>蜂巢 #4 #honey2 #justLeft</t>
  </si>
  <si>
    <t>14378.txt</t>
  </si>
  <si>
    <t>Bee Hive #4 #honey3 #justLeft</t>
  </si>
  <si>
    <t>蜂巢 #4 #honey3 #justLeft</t>
  </si>
  <si>
    <t>14379.txt</t>
  </si>
  <si>
    <t>Bee Hive #4 #honey4 #justLeft</t>
  </si>
  <si>
    <t>蜂巢 #4 #honey4 #justLeft</t>
  </si>
  <si>
    <t>14381.txt</t>
  </si>
  <si>
    <t>Bee Hive #1 #honey1 #bee</t>
  </si>
  <si>
    <t>蜂巢 #1 #honey1 #bee</t>
  </si>
  <si>
    <t>14383.txt</t>
  </si>
  <si>
    <t>Bee Hive #2 #honey1 #bee</t>
  </si>
  <si>
    <t>蜂巢 #2 #honey1 #bee</t>
  </si>
  <si>
    <t>14386.txt</t>
  </si>
  <si>
    <t>Bee Hive #3 #honey1 #bee</t>
  </si>
  <si>
    <t>蜂巢 #3 #honey1 #bee</t>
  </si>
  <si>
    <t>14387.txt</t>
  </si>
  <si>
    <t>Bee Hive #3 #honey2 #bee</t>
  </si>
  <si>
    <t>蜂巢 #3 #honey2 #bee</t>
  </si>
  <si>
    <t>14390.txt</t>
  </si>
  <si>
    <t>Bee Hive #4 #honey1 #bee</t>
  </si>
  <si>
    <t>蜂巢 #4 #honey1 #bee</t>
  </si>
  <si>
    <t>14391.txt</t>
  </si>
  <si>
    <t>Bee Hive #4 #honey2 #bee</t>
  </si>
  <si>
    <t>蜂巢 #4 #honey2 #bee</t>
  </si>
  <si>
    <t>14392.txt</t>
  </si>
  <si>
    <t>Bee Hive #4 #honey3 #bee</t>
  </si>
  <si>
    <t>蜂巢 #4 #honey3 #bee</t>
  </si>
  <si>
    <t>14393.txt</t>
  </si>
  <si>
    <t>Bee Hive #1 #honey0 #justPlaced</t>
  </si>
  <si>
    <t>蜂巢  #1 #honey0 #justPlaced</t>
  </si>
  <si>
    <t>14394.txt</t>
  </si>
  <si>
    <t>Bee Hive #1 #honey1 #justPlaced</t>
  </si>
  <si>
    <t>蜂巢  #1 #honey1 #justPlaced</t>
  </si>
  <si>
    <t>14395.txt</t>
  </si>
  <si>
    <t>Bee Hive #2 #honey0 #justPlaced</t>
  </si>
  <si>
    <t>蜂巢  #2 #honey0 #justPlaced</t>
  </si>
  <si>
    <t>14396.txt</t>
  </si>
  <si>
    <t>Bee Hive #2 #honey1 #justPlaced</t>
  </si>
  <si>
    <t>蜂巢 #2 #honey1 #justPlaced</t>
  </si>
  <si>
    <t>14397.txt</t>
  </si>
  <si>
    <t>Bee Hive #2 #honey2 #justPlaced</t>
  </si>
  <si>
    <t>蜂巢 #2 #honey2 #justPlaced</t>
  </si>
  <si>
    <t>14398.txt</t>
  </si>
  <si>
    <t>Bee Hive #3 #honey0 #justPlaced</t>
  </si>
  <si>
    <t>蜂巢 #3 #honey0 #justPlaced</t>
  </si>
  <si>
    <t>14399.txt</t>
  </si>
  <si>
    <t>Bee Hive #3 #honey1 #justPlaced</t>
  </si>
  <si>
    <t>蜂巢 #3 #honey1 #justPlaced</t>
  </si>
  <si>
    <t>14400.txt</t>
  </si>
  <si>
    <t>Bee Hive #3 #honey2 #justPlaced</t>
  </si>
  <si>
    <t>蜂巢 #3 #honey2 #justPlaced</t>
  </si>
  <si>
    <t>14401.txt</t>
  </si>
  <si>
    <t>Bee Hive #3 #honey3 #justPlaced</t>
  </si>
  <si>
    <t>蜂巢 #3 #honey3 #justPlaced</t>
  </si>
  <si>
    <t>14402.txt</t>
  </si>
  <si>
    <t>Bee Hive #4 #honey0 #justPlaced</t>
  </si>
  <si>
    <t>蜂巢#4 #honey0 #justPlaced</t>
  </si>
  <si>
    <t>14403.txt</t>
  </si>
  <si>
    <t>Bee Hive #4 #honey1 #justPlaced</t>
  </si>
  <si>
    <t>蜂巢 #4 #honey1 #justPlaced</t>
  </si>
  <si>
    <t>14404.txt</t>
  </si>
  <si>
    <t>Bee Hive #4 #honey2 #justPlaced</t>
  </si>
  <si>
    <t>蜂巢 #4 #honey2 #justPlaced</t>
  </si>
  <si>
    <t>14405.txt</t>
  </si>
  <si>
    <t>Bee Hive #4 #honey3 #justPlaced</t>
  </si>
  <si>
    <t>蜂巢 #4 #honey3 #justPlaced</t>
  </si>
  <si>
    <t>14406.txt</t>
  </si>
  <si>
    <t>Bee Hive #4 #honey4 #justPlaced</t>
  </si>
  <si>
    <t>蜂巢  #4 #honey4 #justPlaced</t>
  </si>
  <si>
    <t>14407.txt</t>
  </si>
  <si>
    <t>Bee Box#justMade</t>
  </si>
  <si>
    <t>蜂箱#justMade</t>
  </si>
  <si>
    <t>14408.txt</t>
  </si>
  <si>
    <t>Clay Bowl with Cloth</t>
  </si>
  <si>
    <t>带布的粘土碗</t>
  </si>
  <si>
    <t>14409.txt</t>
  </si>
  <si>
    <t xml:space="preserve">Bowl of Filtered Honey </t>
  </si>
  <si>
    <t>一碗过滤过的蜂蜜</t>
  </si>
  <si>
    <t>14410.txt</t>
  </si>
  <si>
    <t>Bowl of Hot Dirty Bee Wax</t>
  </si>
  <si>
    <t>一碗热脏蜂蜡</t>
  </si>
  <si>
    <t>14411.txt</t>
  </si>
  <si>
    <t>Bowl of Filtered Bee Wax</t>
  </si>
  <si>
    <t>一碗过滤蜂蜡</t>
  </si>
  <si>
    <t>14412.txt</t>
  </si>
  <si>
    <t>Bowl of Bee Wax</t>
  </si>
  <si>
    <t>一碗蜂蜡</t>
  </si>
  <si>
    <t>14413.txt</t>
  </si>
  <si>
    <t>Bowl of Warm Bee Wax</t>
  </si>
  <si>
    <t>一碗温热蜂蜡</t>
  </si>
  <si>
    <t>14414.txt</t>
  </si>
  <si>
    <t>Bowl of Cooled Dirty Bee Wax</t>
  </si>
  <si>
    <t>一碗冷却的脏蜂蜡</t>
  </si>
  <si>
    <t>14415.txt</t>
  </si>
  <si>
    <t>Dirty Bee Wax</t>
  </si>
  <si>
    <t>脏蜂蜡</t>
  </si>
  <si>
    <t>14416.txt</t>
  </si>
  <si>
    <t>Bowl of Dirty Bee Wax#justScoped</t>
  </si>
  <si>
    <t>一碗脏蜂蜡#justScoped</t>
  </si>
  <si>
    <t>14417.txt</t>
  </si>
  <si>
    <t>Pot of Hot Dirty Bee Wax</t>
  </si>
  <si>
    <t>一壶热脏蜂蜡</t>
  </si>
  <si>
    <t>14418.txt</t>
  </si>
  <si>
    <t>Pot of Cooled Dirty Bee Wax</t>
  </si>
  <si>
    <t xml:space="preserve">
一壶冷却的脏蜂蜡</t>
  </si>
  <si>
    <t>14419.txt</t>
  </si>
  <si>
    <t>Pot of Hot Dirty Bee Wax#cooling</t>
  </si>
  <si>
    <t xml:space="preserve">
一壶热脏蜂蜡#cooling</t>
  </si>
  <si>
    <t>14420.txt</t>
  </si>
  <si>
    <t>Bowl of Cooled Dirty Bee Wax#justPoured</t>
  </si>
  <si>
    <t>一碗冷却的脏蜂蜡#justPoured</t>
  </si>
  <si>
    <t>14421.txt</t>
  </si>
  <si>
    <t>Warp Weighted Loom with Linen Warp</t>
  </si>
  <si>
    <t xml:space="preserve">
亚麻经纱加重经纱织机</t>
  </si>
  <si>
    <t>14422.txt</t>
  </si>
  <si>
    <t>Flax Sprouts</t>
  </si>
  <si>
    <t>亚麻芽</t>
  </si>
  <si>
    <t>14423.txt</t>
  </si>
  <si>
    <t>Flax Plants</t>
  </si>
  <si>
    <t xml:space="preserve">
亚麻植物</t>
  </si>
  <si>
    <t>14424.txt</t>
  </si>
  <si>
    <t>Flowering Flax Plants</t>
  </si>
  <si>
    <t>开花的亚麻植物</t>
  </si>
  <si>
    <t>14425.txt</t>
  </si>
  <si>
    <t>Ripe Flax Plants#7</t>
  </si>
  <si>
    <t>成熟的亚麻植物#7</t>
  </si>
  <si>
    <t>14426.txt</t>
  </si>
  <si>
    <t>Dry Planted Flax</t>
  </si>
  <si>
    <t>干燥的亚麻植物</t>
  </si>
  <si>
    <t>14427.txt</t>
  </si>
  <si>
    <t>Wet Planted Flax</t>
  </si>
  <si>
    <t>湿润的亚麻植物</t>
  </si>
  <si>
    <t>14428.txt</t>
  </si>
  <si>
    <t>Perhaps sprayed Planted Flax</t>
  </si>
  <si>
    <t xml:space="preserve">也许喷洒了种植亚麻
</t>
  </si>
  <si>
    <t>14429.txt</t>
  </si>
  <si>
    <t>Harvested Flax</t>
  </si>
  <si>
    <t>收获的亚麻</t>
  </si>
  <si>
    <t>14430.txt</t>
  </si>
  <si>
    <t>14431.txt</t>
  </si>
  <si>
    <t>Ripe Flax Plants#6</t>
  </si>
  <si>
    <t>成熟的亚麻植物#6</t>
  </si>
  <si>
    <t>14432.txt</t>
  </si>
  <si>
    <t>Ripe Flax Plants#5</t>
  </si>
  <si>
    <t>成熟的亚麻植物#5</t>
  </si>
  <si>
    <t>14433.txt</t>
  </si>
  <si>
    <t>Ripe Flax Plants#4</t>
  </si>
  <si>
    <t>成熟的亚麻植物#4</t>
  </si>
  <si>
    <t>14434.txt</t>
  </si>
  <si>
    <t>Ripe Flax Plants#3</t>
  </si>
  <si>
    <t>成熟的亚麻植物#3</t>
  </si>
  <si>
    <t>14435.txt</t>
  </si>
  <si>
    <t>Ripe Flax Plants#2</t>
  </si>
  <si>
    <t>成熟的亚麻植物#2</t>
  </si>
  <si>
    <t>14436.txt</t>
  </si>
  <si>
    <t>Ripe Flax Plants#1</t>
  </si>
  <si>
    <t>成熟的亚麻植物#1</t>
  </si>
  <si>
    <t>14437.txt</t>
  </si>
  <si>
    <t>Hardened Row#justPulledFlax</t>
  </si>
  <si>
    <t>硬化行#justPulledFlax</t>
  </si>
  <si>
    <t>14439.txt</t>
  </si>
  <si>
    <t>Harvested Flax#bollsRemoved</t>
  </si>
  <si>
    <t>收获的亚麻#bollsRemoved</t>
  </si>
  <si>
    <t>14440.txt</t>
  </si>
  <si>
    <t>Harvested Flax and Bolls</t>
  </si>
  <si>
    <t>收获的亚麻和棉铃</t>
  </si>
  <si>
    <t>14451.txt</t>
  </si>
  <si>
    <t>Scutched Flax</t>
  </si>
  <si>
    <t>打碎的亚麻</t>
  </si>
  <si>
    <t>14452.txt</t>
  </si>
  <si>
    <t>Crock of Retting Flax</t>
  </si>
  <si>
    <t>沤制亚麻缸</t>
  </si>
  <si>
    <t>14453.txt</t>
  </si>
  <si>
    <t>Crock of Flax</t>
  </si>
  <si>
    <t>亚麻缸</t>
  </si>
  <si>
    <t>14455.txt</t>
  </si>
  <si>
    <t>Bowl of Flax Bolls</t>
  </si>
  <si>
    <t>碗亚麻棉铃</t>
  </si>
  <si>
    <t>14456.txt</t>
  </si>
  <si>
    <t>Bowl of Linseeds</t>
  </si>
  <si>
    <t>碗里的亚麻籽</t>
  </si>
  <si>
    <t>14457.txt</t>
  </si>
  <si>
    <t>Flax Bolls</t>
  </si>
  <si>
    <t>亚麻棉铃</t>
  </si>
  <si>
    <t>14460.txt</t>
  </si>
  <si>
    <t>Crock of Retted Flax</t>
  </si>
  <si>
    <t>一缸沤制亚麻</t>
  </si>
  <si>
    <t>14463.txt</t>
  </si>
  <si>
    <t>Dried Flax</t>
  </si>
  <si>
    <t>干亚麻</t>
  </si>
  <si>
    <t>14464.txt</t>
  </si>
  <si>
    <t>Retted Flax</t>
  </si>
  <si>
    <t>沤制亚麻</t>
  </si>
  <si>
    <t>14465.txt</t>
  </si>
  <si>
    <t>Flax Scutching on Table</t>
  </si>
  <si>
    <t>桌上的亚麻打浆</t>
  </si>
  <si>
    <t>14466.txt</t>
  </si>
  <si>
    <t>Scutched Flax on Table</t>
  </si>
  <si>
    <t>桌子上的碎亚麻</t>
  </si>
  <si>
    <t>14468.txt</t>
  </si>
  <si>
    <t>@ Seed Bags - except exotic</t>
  </si>
  <si>
    <t>14469.txt</t>
  </si>
  <si>
    <t>@ Baggable Seed</t>
  </si>
  <si>
    <t>14470.txt</t>
  </si>
  <si>
    <t>@ Dry Planted Seed - from seed heads</t>
  </si>
  <si>
    <t>14471.txt</t>
  </si>
  <si>
    <t>Linseed</t>
  </si>
  <si>
    <t>亚麻籽</t>
  </si>
  <si>
    <t>14472.txt</t>
  </si>
  <si>
    <t>Flax Seed Bag</t>
  </si>
  <si>
    <t>亚麻籽袋</t>
  </si>
  <si>
    <t>14473.txt</t>
  </si>
  <si>
    <t>Small Ball of Linen Yarn</t>
  </si>
  <si>
    <t>亚麻纱小球</t>
  </si>
  <si>
    <t>14474.txt</t>
  </si>
  <si>
    <t>Wild Flax Boll</t>
  </si>
  <si>
    <t>野生亚麻棉铃</t>
  </si>
  <si>
    <t>14475.txt</t>
  </si>
  <si>
    <t>Cotton Sheet #1</t>
  </si>
  <si>
    <t>棉床单#1</t>
  </si>
  <si>
    <t>14476.txt</t>
  </si>
  <si>
    <t>Silk Sheet #1 #held</t>
  </si>
  <si>
    <t>丝绸床单#1 #held</t>
  </si>
  <si>
    <t>14477.txt</t>
  </si>
  <si>
    <t>Wool Blend Sheet #1 #held</t>
  </si>
  <si>
    <t>羊毛混纺床单 #1 #held</t>
  </si>
  <si>
    <t>14478.txt</t>
  </si>
  <si>
    <t>Big Ball of Linen Yarn</t>
  </si>
  <si>
    <t>亚麻纱大球</t>
  </si>
  <si>
    <t>14479.txt</t>
  </si>
  <si>
    <t>Huge Ball of Linen Yarn</t>
  </si>
  <si>
    <t>巨大的亚麻纱球</t>
  </si>
  <si>
    <t>14480.txt</t>
  </si>
  <si>
    <t>Warp Weighted Loom</t>
  </si>
  <si>
    <t>经纱加重织机</t>
  </si>
  <si>
    <t>14481.txt</t>
  </si>
  <si>
    <t>Warp Weighted Loom with Linen Cloth</t>
  </si>
  <si>
    <t>亚麻布经纱加重织机</t>
  </si>
  <si>
    <t>14482.txt</t>
  </si>
  <si>
    <t>Warp Weighted Loom with Cut Linen Sheet</t>
  </si>
  <si>
    <t>带切割亚麻片的经纱加重织机</t>
  </si>
  <si>
    <t>14483.txt</t>
  </si>
  <si>
    <t>Linen Sheet #1</t>
  </si>
  <si>
    <t>亚麻床单#1</t>
  </si>
  <si>
    <t>14484.txt</t>
  </si>
  <si>
    <t>Linen Sheet #1 #held</t>
  </si>
  <si>
    <t>亚麻床单 #1 #held</t>
  </si>
  <si>
    <t>14485.txt</t>
  </si>
  <si>
    <t>Rack#justRemovedStone</t>
  </si>
  <si>
    <t>晾衣架#justRemovedStone</t>
  </si>
  <si>
    <t>14486.txt</t>
  </si>
  <si>
    <t>Linen Sheets #2</t>
  </si>
  <si>
    <t>亚麻床单#2</t>
  </si>
  <si>
    <t>14487.txt</t>
  </si>
  <si>
    <t>Linen Sheets #3</t>
  </si>
  <si>
    <t>亚麻床单#3</t>
  </si>
  <si>
    <t>14488.txt</t>
  </si>
  <si>
    <t>Linen Sheets #4</t>
  </si>
  <si>
    <t>亚麻床单#4</t>
  </si>
  <si>
    <t>14489.txt</t>
  </si>
  <si>
    <t>Used Straining Cloth</t>
  </si>
  <si>
    <t>使用过的滤布</t>
  </si>
  <si>
    <t>14490.txt</t>
  </si>
  <si>
    <t>Used Straining Cloth #held</t>
  </si>
  <si>
    <t>用过的过滤布#held</t>
  </si>
  <si>
    <t>14491.txt</t>
  </si>
  <si>
    <t xml:space="preserve">Cow Mammoth #wild pregnant female
</t>
  </si>
  <si>
    <t xml:space="preserve">牛猛犸象 #wild pregnant female
</t>
  </si>
  <si>
    <t>14492.txt</t>
  </si>
  <si>
    <t xml:space="preserve">Cow Mammoth #wild sterile
</t>
  </si>
  <si>
    <t xml:space="preserve">牛猛犸象 #wild sterile
</t>
  </si>
  <si>
    <t>14493.txt</t>
  </si>
  <si>
    <t xml:space="preserve">Cow Mammoth and Calf #male
</t>
  </si>
  <si>
    <t xml:space="preserve">牛猛犸象和小牛#male
</t>
  </si>
  <si>
    <t>14494.txt</t>
  </si>
  <si>
    <t>Orange Juice Bottle with Funnel# inserted</t>
  </si>
  <si>
    <t>14495.txt</t>
  </si>
  <si>
    <t>Orange Juice Bottle# just poured</t>
  </si>
  <si>
    <t>橙汁瓶# just poured</t>
  </si>
  <si>
    <t>14496.txt</t>
  </si>
  <si>
    <t>Apple Juice Bottle with Funnel# inserted</t>
  </si>
  <si>
    <t>14497.txt</t>
  </si>
  <si>
    <t>Apple Juice Bottle# just poured</t>
  </si>
  <si>
    <t>苹果汁瓶# just poured</t>
  </si>
  <si>
    <t>14498.txt</t>
  </si>
  <si>
    <t>Lemonade Bottle with Funnel# inserted</t>
  </si>
  <si>
    <t>14499.txt</t>
  </si>
  <si>
    <t>Lemonade Bottle# just poured</t>
  </si>
  <si>
    <t>柠檬水瓶# just poured</t>
  </si>
  <si>
    <t>14500.txt</t>
  </si>
  <si>
    <t>Maple Syrup Bottle with Funnel# inserted</t>
  </si>
  <si>
    <t>14501.txt</t>
  </si>
  <si>
    <t>Maple Syrup Bottle# just poured</t>
  </si>
  <si>
    <t>枫糖浆瓶# just poured</t>
  </si>
  <si>
    <t>14502.txt</t>
  </si>
  <si>
    <t>Mug of Apple Juice</t>
  </si>
  <si>
    <t>一杯苹果汁</t>
  </si>
  <si>
    <t>14503.txt</t>
  </si>
  <si>
    <t>Mug of Orange Juice</t>
  </si>
  <si>
    <t>一杯橙汁</t>
  </si>
  <si>
    <t>14504.txt</t>
  </si>
  <si>
    <t>Mug of Lemonade</t>
  </si>
  <si>
    <t xml:space="preserve">一杯柠檬水
</t>
  </si>
  <si>
    <t>14505.txt</t>
  </si>
  <si>
    <t>Mug of Whole Milk</t>
  </si>
  <si>
    <t>一杯全脂牛奶</t>
  </si>
  <si>
    <t>14506.txt</t>
  </si>
  <si>
    <t>Mug of Skim Milk</t>
  </si>
  <si>
    <t>一杯脱脂牛奶</t>
  </si>
  <si>
    <t>14507.txt</t>
  </si>
  <si>
    <t>Steel Wheelbarrow with Gold Ingots</t>
  </si>
  <si>
    <t>有金锭的钢独轮车</t>
  </si>
  <si>
    <t>14508.txt</t>
  </si>
  <si>
    <t>Sack of Roasted Cocoa Beans #5</t>
  </si>
  <si>
    <t>一袋烤可可豆 #5</t>
  </si>
  <si>
    <t>14509.txt</t>
  </si>
  <si>
    <t>Sack of Roasted Cocoa Beans #4</t>
  </si>
  <si>
    <t>一袋烤可可豆 #4</t>
  </si>
  <si>
    <t>14510.txt</t>
  </si>
  <si>
    <t>Sack of Roasted Cocoa Beans #3</t>
  </si>
  <si>
    <t>一袋烤可可豆 #3</t>
  </si>
  <si>
    <t>14511.txt</t>
  </si>
  <si>
    <t>Sack of Roasted Cocoa Beans #2</t>
  </si>
  <si>
    <t>一袋烤可可豆 #2</t>
  </si>
  <si>
    <t>14512.txt</t>
  </si>
  <si>
    <t>Sack of Roasted Cocoa Beans #1</t>
  </si>
  <si>
    <t>一袋烤可可豆 #1</t>
  </si>
  <si>
    <t>14513.txt</t>
  </si>
  <si>
    <t>Bowl of Roasted Cocoa Beans #just scooped</t>
  </si>
  <si>
    <t>一碗烤可可豆#just scooped</t>
  </si>
  <si>
    <t>14514.txt</t>
  </si>
  <si>
    <t>Small Pile of Short Shafts with Curved Shafts</t>
  </si>
  <si>
    <t>小堆短轴弯轴</t>
  </si>
  <si>
    <t>14515.txt</t>
  </si>
  <si>
    <t>Small Pile of Short Shafts</t>
  </si>
  <si>
    <t>小堆短轴</t>
  </si>
  <si>
    <t>14516.txt</t>
  </si>
  <si>
    <t>Two Short Shafts# justStacked</t>
  </si>
  <si>
    <t>两根短轴# justStacked</t>
  </si>
  <si>
    <t>14517.txt</t>
  </si>
  <si>
    <t>Wooden Flywheel</t>
  </si>
  <si>
    <t>木制飞轮</t>
  </si>
  <si>
    <t>14518.txt</t>
  </si>
  <si>
    <t>Spinning Wheel Kit</t>
  </si>
  <si>
    <t>纺车套件</t>
  </si>
  <si>
    <t>14519.txt</t>
  </si>
  <si>
    <t>Spinning Wheel Kit# justDismantled</t>
  </si>
  <si>
    <t>纺车套件# justDismantled</t>
  </si>
  <si>
    <t>14520.txt</t>
  </si>
  <si>
    <t>Black Devil Hood</t>
  </si>
  <si>
    <t>黑色恶魔兜帽</t>
  </si>
  <si>
    <t>14521.txt</t>
  </si>
  <si>
    <t>Black Witch Hat</t>
  </si>
  <si>
    <t>黑色女巫帽</t>
  </si>
  <si>
    <t>14522.txt</t>
  </si>
  <si>
    <t>Pink Witch Hat</t>
  </si>
  <si>
    <t>粉色女巫帽</t>
  </si>
  <si>
    <t>14523.txt</t>
  </si>
  <si>
    <t>Pile of Harvested Flax</t>
  </si>
  <si>
    <t>一堆收获的亚麻</t>
  </si>
  <si>
    <t>14524.txt</t>
  </si>
  <si>
    <t>Full Bundle of Harvested Flax</t>
  </si>
  <si>
    <t>整捆收获的亚麻</t>
  </si>
  <si>
    <t>14525.txt</t>
  </si>
  <si>
    <t>@ Ripe Flax</t>
  </si>
  <si>
    <t>14526.txt</t>
  </si>
  <si>
    <t>@ Ripe Flax - 1 use less</t>
  </si>
  <si>
    <t>14528.txt</t>
  </si>
  <si>
    <t>Linen Tunic</t>
  </si>
  <si>
    <t>亚麻外套</t>
  </si>
  <si>
    <t>14529.txt</t>
  </si>
  <si>
    <t>Linen Top</t>
  </si>
  <si>
    <t>亚麻上衣</t>
  </si>
  <si>
    <t>14530.txt</t>
  </si>
  <si>
    <t>Linen Skirt</t>
  </si>
  <si>
    <t>亚麻裙子</t>
  </si>
  <si>
    <t>14534.txt</t>
  </si>
  <si>
    <t>Linen Scarf</t>
  </si>
  <si>
    <t>亚麻围巾</t>
  </si>
  <si>
    <t>14535.txt</t>
  </si>
  <si>
    <t>Springy Wooden Door with Berry Wreath# Installed +autoDefaultTrans +blocksMoving</t>
  </si>
  <si>
    <t>带浆果花环的弹性木门# Installed +autoDefaultTrans +blocksMoving</t>
  </si>
  <si>
    <t>14536.txt</t>
  </si>
  <si>
    <t>Springy Wooden Door with Plain Wreath# Installed +autoDefaultTrans +blocksMoving</t>
  </si>
  <si>
    <t>带普通花环的弹性木门# Installed +autoDefaultTrans +blocksMoving</t>
  </si>
  <si>
    <t>14537.txt</t>
  </si>
  <si>
    <t>Springy Wooden Door with Rose Wreath# Installed +autoDefaultTrans +blocksMoving</t>
  </si>
  <si>
    <t>带玫瑰花环的弹性木门# Installed +autoDefaultTrans +blocksMoving</t>
  </si>
  <si>
    <t>14538.txt</t>
  </si>
  <si>
    <t>Springy Wooden Door with Bell Wreath# Installed +autoDefaultTrans +blocksMoving</t>
  </si>
  <si>
    <t>铃花环的弹性木门# Installed +autoDefaultTrans +blocksMoving</t>
  </si>
  <si>
    <t>14539.txt</t>
  </si>
  <si>
    <t>Springy Dark Wooden Door with Berry Wreath# Installed +autoDefaultTrans +blocksMoving</t>
  </si>
  <si>
    <t>带浆果花环的弹性深色木门# Installed +autoDefaultTrans +blocksMoving</t>
  </si>
  <si>
    <t>14540.txt</t>
  </si>
  <si>
    <t>Springy Dark Wooden Door with Plain Wreath# Installed +autoDefaultTrans +blocksMoving</t>
  </si>
  <si>
    <t>带普通花环的弹性深色木门# Installed +autoDefaultTrans +blocksMoving</t>
  </si>
  <si>
    <t>14541.txt</t>
  </si>
  <si>
    <t>Springy Dark Wooden Door with Rose Wreath# Installed +autoDefaultTrans +blocksMoving</t>
  </si>
  <si>
    <t>带玫瑰花环的弹性深色木门# Installed +autoDefaultTrans +blocksMoving</t>
  </si>
  <si>
    <t>14542.txt</t>
  </si>
  <si>
    <t>Springy Dark Wooden Door with Bell Wreath# Installed +autoDefaultTrans +blocksMoving</t>
  </si>
  <si>
    <t>带铃花环的弹性深色木门# Installed +autoDefaultTrans +blocksMoving</t>
  </si>
  <si>
    <t>14543.txt</t>
  </si>
  <si>
    <t>Springy Light Wooden Door with Berry Wreath# Installed +autoDefaultTrans +blocksMoving</t>
  </si>
  <si>
    <t>带浆果花环的弹性浅色木门# Installed +autoDefaultTrans +blocksMoving</t>
  </si>
  <si>
    <t>14544.txt</t>
  </si>
  <si>
    <t>Springy Light Wooden Door with Plain Wreath# Installed +autoDefaultTrans +blocksMoving</t>
  </si>
  <si>
    <t>带普通花环的弹性浅色木门# Installed +autoDefaultTrans +blocksMoving</t>
  </si>
  <si>
    <t>14545.txt</t>
  </si>
  <si>
    <t>Springy Light Wooden Door with Rose Wreath# Installed +autoDefaultTrans +blocksMoving</t>
  </si>
  <si>
    <t>带玫瑰花环的弹性浅色木门# Installed +autoDefaultTrans +blocksMoving</t>
  </si>
  <si>
    <t>14546.txt</t>
  </si>
  <si>
    <t>Springy Light Wooden Door with Bell Wreath# Installed +autoDefaultTrans +blocksMoving</t>
  </si>
  <si>
    <t>带铃花环的弹性浅色木门# Installed +autoDefaultTrans +blocksMoving</t>
  </si>
  <si>
    <t>14547.txt</t>
  </si>
  <si>
    <t>Springy Open Wooden Door with Berry Wreath# Installed +blocksMoving</t>
  </si>
  <si>
    <t>带浆果花环的弹性开放木门# Installed +blocksMoving</t>
  </si>
  <si>
    <t>14548.txt</t>
  </si>
  <si>
    <t>Springy Open Wooden Door with Plain Wreath# Installed +blocksMoving</t>
  </si>
  <si>
    <t>带普通花环的弹性开放木门# Installed +blocksMoving</t>
  </si>
  <si>
    <t>14549.txt</t>
  </si>
  <si>
    <t>Springy Open Wooden Door with Rose Wreath# Installed +blocksMoving</t>
  </si>
  <si>
    <t>带玫瑰花环的弹性开放木门# Installed +blocksMoving</t>
  </si>
  <si>
    <t>14550.txt</t>
  </si>
  <si>
    <t>Springy Open Wooden Door with Bell Wreath# Installed +blocksMoving</t>
  </si>
  <si>
    <t>带铃花环的弹性开放木门# Installed +blocksMoving</t>
  </si>
  <si>
    <t>14551.txt</t>
  </si>
  <si>
    <t>Springy Open Dark Wooden Door with Berry Wreath# Installed +blocksMoving</t>
  </si>
  <si>
    <t>带浆果花环的弹性打开深色木门# Installed +blocksMoving</t>
  </si>
  <si>
    <t>14552.txt</t>
  </si>
  <si>
    <t>Springy Open Dark Wooden Door with Plain Wreath# Installed +blocksMoving</t>
  </si>
  <si>
    <t>带普通花环的弹性打开深色木门# Installed +blocksMoving</t>
  </si>
  <si>
    <t>14553.txt</t>
  </si>
  <si>
    <t>Springy Open Dark Wooden Door with Rose Wreath# Installed +blocksMoving</t>
  </si>
  <si>
    <t>带玫瑰花环的弹性打开深色木门# Installed +blocksMoving</t>
  </si>
  <si>
    <t>14554.txt</t>
  </si>
  <si>
    <t>Springy Open Dark Wooden Door with Bell Wreath# Installed +blocksMoving</t>
  </si>
  <si>
    <t>带铃花环的弹性打开深色木门# Installed +blocksMoving</t>
  </si>
  <si>
    <t>14555.txt</t>
  </si>
  <si>
    <t>Springy Open Light Wooden Door with Berry Wreath# Installed +blocksMoving</t>
  </si>
  <si>
    <t>带浆果花环的弹性开放式浅色木门# Installed +blocksMoving</t>
  </si>
  <si>
    <t>14556.txt</t>
  </si>
  <si>
    <t>Springy Open Light Wooden Door with Plain Wreath# Installed +blocksMoving</t>
  </si>
  <si>
    <t>带普通花环的弹性开放式浅色木门# Installed +blocksMoving</t>
  </si>
  <si>
    <t>14557.txt</t>
  </si>
  <si>
    <t>Springy Open Light Wooden Door with Rose Wreath# Installed +blocksMoving</t>
  </si>
  <si>
    <t>带玫瑰花环的弹性开放式浅色木门# Installed +blocksMoving</t>
  </si>
  <si>
    <t>14558.txt</t>
  </si>
  <si>
    <t>Springy Open Light Wooden Door with Bell Wreath# Installed +blocksMoving</t>
  </si>
  <si>
    <t>带铃花环的弹性开放式浅色木门# Installed +blocksMoving</t>
  </si>
  <si>
    <t>14559.txt</t>
  </si>
  <si>
    <t>Partial Bridge Foundation #shallow</t>
  </si>
  <si>
    <t>部分桥梁基础#shallow</t>
  </si>
  <si>
    <t>14560.txt</t>
  </si>
  <si>
    <t>Tied Bridge Foundation #shallow</t>
  </si>
  <si>
    <t>系桥基础#shallow</t>
  </si>
  <si>
    <t>14561.txt</t>
  </si>
  <si>
    <t>14562.txt</t>
  </si>
  <si>
    <t>14563.txt</t>
  </si>
  <si>
    <t>美联储剪毛家羊</t>
  </si>
  <si>
    <t>14564.txt</t>
  </si>
  <si>
    <t>Trough</t>
  </si>
  <si>
    <t>槽</t>
  </si>
  <si>
    <t>14565.txt</t>
  </si>
  <si>
    <t>Empty Trough</t>
  </si>
  <si>
    <t>空槽</t>
  </si>
  <si>
    <t>14566.txt</t>
  </si>
  <si>
    <t>TEST Dead Sheep#shorn #starved #test</t>
  </si>
  <si>
    <t>测试死羊#shorn #starved #test</t>
  </si>
  <si>
    <t>14567.txt</t>
  </si>
  <si>
    <t>TEST Shorn Domestic Sheep#hungry #test</t>
  </si>
  <si>
    <t>测试剪毛的家羊#hungry #test</t>
  </si>
  <si>
    <t>14568.txt</t>
  </si>
  <si>
    <t>Beet# just pulled</t>
  </si>
  <si>
    <t>甜菜# just pulled</t>
  </si>
  <si>
    <t>14569.txt</t>
  </si>
  <si>
    <t>Bamboo Stalk</t>
  </si>
  <si>
    <t>竹竿</t>
  </si>
  <si>
    <t>14570.txt</t>
  </si>
  <si>
    <t>Bamboo Stalks</t>
  </si>
  <si>
    <t>竹竿堆</t>
  </si>
  <si>
    <t>14571.txt</t>
  </si>
  <si>
    <t>Bee Wax</t>
  </si>
  <si>
    <t>14572.txt</t>
  </si>
  <si>
    <t>Stack of Bee Wax</t>
  </si>
  <si>
    <t>一堆蜂蜡</t>
  </si>
  <si>
    <t>14573.txt</t>
  </si>
  <si>
    <t>Pile of Fence Stakes</t>
  </si>
  <si>
    <t>一堆栅栏桩</t>
  </si>
  <si>
    <t>14575.txt</t>
  </si>
  <si>
    <t>Hunting Calico Cat #held</t>
  </si>
  <si>
    <t>狩猎印花布猫#held</t>
  </si>
  <si>
    <t>14576.txt</t>
  </si>
  <si>
    <t>@ Cat - held hunting</t>
  </si>
  <si>
    <t>14577.txt</t>
  </si>
  <si>
    <t>Hunting Tabby Cat #held</t>
  </si>
  <si>
    <t>狩猎虎斑猫#held</t>
  </si>
  <si>
    <t>14578.txt</t>
  </si>
  <si>
    <t>Hunting White Cat #held</t>
  </si>
  <si>
    <t>狩猎白猫#held</t>
  </si>
  <si>
    <t>14579.txt</t>
  </si>
  <si>
    <t>Hunting Maine Coon Cat #held</t>
  </si>
  <si>
    <t>狩猎缅因猫#held</t>
  </si>
  <si>
    <t>14580.txt</t>
  </si>
  <si>
    <t>Hunting Black Cat #held</t>
  </si>
  <si>
    <t>狩猎黑猫#held</t>
  </si>
  <si>
    <t>14581.txt</t>
  </si>
  <si>
    <t>Black Cat #standing2</t>
  </si>
  <si>
    <t>黑猫 #standing2</t>
  </si>
  <si>
    <t>14582.txt</t>
  </si>
  <si>
    <t>White Cat #standing2</t>
  </si>
  <si>
    <t>白猫 #standing2</t>
  </si>
  <si>
    <t>14583.txt</t>
  </si>
  <si>
    <t>Calico Cat #standing2</t>
  </si>
  <si>
    <t>印花布猫 #standing2</t>
  </si>
  <si>
    <t>14584.txt</t>
  </si>
  <si>
    <t>Tabby Cat #standing2</t>
  </si>
  <si>
    <t>虎斑猫 #standing2</t>
  </si>
  <si>
    <t>14585.txt</t>
  </si>
  <si>
    <t>Maine Coon Cat #standing2</t>
  </si>
  <si>
    <t>缅因猫 #standing2</t>
  </si>
  <si>
    <t>14586.txt</t>
  </si>
  <si>
    <t>@ Cat - standing2</t>
  </si>
  <si>
    <t>14587.txt</t>
  </si>
  <si>
    <t>Fox House Flag Stand</t>
  </si>
  <si>
    <t>狐狸屋旗架</t>
  </si>
  <si>
    <t>14588.txt</t>
  </si>
  <si>
    <t>Cork Hat</t>
  </si>
  <si>
    <t>软木帽</t>
  </si>
  <si>
    <t>14589.txt</t>
  </si>
  <si>
    <t>Wedding Dress</t>
  </si>
  <si>
    <t>婚纱</t>
  </si>
  <si>
    <t>14590.txt</t>
  </si>
  <si>
    <t>Veil</t>
  </si>
  <si>
    <t>面纱</t>
  </si>
  <si>
    <t>14591.txt</t>
  </si>
  <si>
    <t>Trough #justLeft</t>
  </si>
  <si>
    <t>槽#justLeft</t>
  </si>
  <si>
    <t>14592.txt</t>
  </si>
  <si>
    <t>Empty Trough #justLeft</t>
  </si>
  <si>
    <t>空槽#justLeft</t>
  </si>
  <si>
    <t>14593.txt</t>
  </si>
  <si>
    <t>Fed Shorn Domestic Sheep #empty</t>
  </si>
  <si>
    <t>美联储剪短家羊#empty</t>
  </si>
  <si>
    <t>14594.txt</t>
  </si>
  <si>
    <t>Fed Shorn Domestic Sheep #fromTrough</t>
  </si>
  <si>
    <t>美联储剪短家羊#fromTrough</t>
  </si>
  <si>
    <t>14595.txt</t>
  </si>
  <si>
    <t>14596.txt</t>
  </si>
  <si>
    <t>Trough #justFilled</t>
  </si>
  <si>
    <t>槽#justFilled</t>
  </si>
  <si>
    <t>14597.txt</t>
  </si>
  <si>
    <t>Shaft with Reed Bundle#justDismantled</t>
  </si>
  <si>
    <t>带簧片束的轴#justDismanted</t>
  </si>
  <si>
    <t>14598.txt</t>
  </si>
  <si>
    <t>Soil-filled Bamboo Backpack</t>
  </si>
  <si>
    <t>充满土壤的竹背包</t>
  </si>
  <si>
    <t>14599.txt</t>
  </si>
  <si>
    <t>Bamboo Backpack with Firewood</t>
  </si>
  <si>
    <t>带柴火的竹背包</t>
  </si>
  <si>
    <t>14600.txt</t>
  </si>
  <si>
    <t>Bamboo Backpack with Light Firewood</t>
  </si>
  <si>
    <t>竹背包与轻木柴</t>
  </si>
  <si>
    <t>14601.txt</t>
  </si>
  <si>
    <t>Bamboo Backpack with Dark Firewood</t>
  </si>
  <si>
    <t>竹背包与深色木柴</t>
  </si>
  <si>
    <t>14603.txt</t>
  </si>
  <si>
    <t>Pumpkin Flag Stand</t>
  </si>
  <si>
    <t>南瓜旗架</t>
  </si>
  <si>
    <t>14604.txt</t>
  </si>
  <si>
    <t>Pumpkin Flag Roll</t>
  </si>
  <si>
    <t>南瓜旗卷</t>
  </si>
  <si>
    <t>14605.txt</t>
  </si>
  <si>
    <t>Cast Iron Fence</t>
  </si>
  <si>
    <t>14606.txt</t>
  </si>
  <si>
    <t>14607.txt</t>
  </si>
  <si>
    <t>14608.txt</t>
  </si>
  <si>
    <t>14609.txt</t>
  </si>
  <si>
    <t>Cast Iron Fence Gate# +blocksMoving +autoDefaultTrans</t>
  </si>
  <si>
    <t>14610.txt</t>
  </si>
  <si>
    <t>Open Cast Iron Fence Gate# +blocksMoving</t>
  </si>
  <si>
    <t>14611.txt</t>
  </si>
  <si>
    <t>14612.txt</t>
  </si>
  <si>
    <t>14613.txt</t>
  </si>
  <si>
    <t>14614.txt</t>
  </si>
  <si>
    <t>14615.txt</t>
  </si>
  <si>
    <t>14616.txt</t>
  </si>
  <si>
    <t>14617.txt</t>
  </si>
  <si>
    <t>14618.txt</t>
  </si>
  <si>
    <t>14619.txt</t>
  </si>
  <si>
    <t>14620.txt</t>
  </si>
  <si>
    <t>14621.txt</t>
  </si>
  <si>
    <t>14622.txt</t>
  </si>
  <si>
    <t>14623.txt</t>
  </si>
  <si>
    <t>14625.txt</t>
  </si>
  <si>
    <t>Meat on Drying Rack with Hot Coals</t>
  </si>
  <si>
    <t>14626.txt</t>
  </si>
  <si>
    <t>Jerky on Drying Rack with Hot Coals</t>
  </si>
  <si>
    <t>14627.txt</t>
  </si>
  <si>
    <t>Big Pile of Tied Yew Shafts</t>
  </si>
  <si>
    <t>14628.txt</t>
  </si>
  <si>
    <t>Drying Rack with Ashes</t>
  </si>
  <si>
    <t>14629.txt</t>
  </si>
  <si>
    <t>Jerky on Drying Rack with Ashes</t>
  </si>
  <si>
    <t>14630.txt</t>
  </si>
  <si>
    <t>Big Pile of Tied Yew Shafts#justDismantled</t>
  </si>
  <si>
    <t>14631.txt</t>
  </si>
  <si>
    <t>Pile of Tied Yew Shafts#justDismantled</t>
  </si>
  <si>
    <t>14632.txt</t>
  </si>
  <si>
    <t>Rack with Kindling</t>
  </si>
  <si>
    <t>14633.txt</t>
  </si>
  <si>
    <t>Drying Rack with Fire</t>
  </si>
  <si>
    <t>14634.txt</t>
  </si>
  <si>
    <t>Drying Rack with Hot Coal</t>
  </si>
  <si>
    <t>14635.txt</t>
  </si>
  <si>
    <t>Plate of Sliced Meat</t>
  </si>
  <si>
    <t>14638.txt</t>
  </si>
  <si>
    <t>Rickety Primitive Fence Gate</t>
  </si>
  <si>
    <t>14639.txt</t>
  </si>
  <si>
    <t>Renewed Primitive Fence Gate</t>
  </si>
  <si>
    <t>14640.txt</t>
  </si>
  <si>
    <t>Ornament Mold</t>
  </si>
  <si>
    <t>14641.txt</t>
  </si>
  <si>
    <t>Cast Iron Bench</t>
  </si>
  <si>
    <t>14642.txt</t>
  </si>
  <si>
    <t>Ornament Mold with Cast Iron Ornaments</t>
  </si>
  <si>
    <t>14643.txt</t>
  </si>
  <si>
    <t>Ladle Cart of Molten Cast Iron and Ornament Mold</t>
  </si>
  <si>
    <t>14644.txt</t>
  </si>
  <si>
    <t>14645.txt</t>
  </si>
  <si>
    <t>14646.txt</t>
  </si>
  <si>
    <t>Ornament Mold Filled with Molten Cast Iron</t>
  </si>
  <si>
    <t>14647.txt</t>
  </si>
  <si>
    <t>Cast Iron Ornate Panel</t>
  </si>
  <si>
    <t>14648.txt</t>
  </si>
  <si>
    <t>Two Cast Iron Ornate Panels</t>
  </si>
  <si>
    <t>14649.txt</t>
  </si>
  <si>
    <t>14650.txt</t>
  </si>
  <si>
    <t>14651.txt</t>
  </si>
  <si>
    <t>14652.txt</t>
  </si>
  <si>
    <t>14653.txt</t>
  </si>
  <si>
    <t>14654.txt</t>
  </si>
  <si>
    <t>14655.txt</t>
  </si>
  <si>
    <t>14656.txt</t>
  </si>
  <si>
    <t>14657.txt</t>
  </si>
  <si>
    <t>14660.txt</t>
  </si>
  <si>
    <t>Cast Iron Bench#sitting</t>
  </si>
  <si>
    <t>14661.txt</t>
  </si>
  <si>
    <t>Cast Iron Bench Shadow</t>
  </si>
  <si>
    <t>14662.txt</t>
  </si>
  <si>
    <t>Cast Iron Bench#justDropped +tapoutTrigger,1,1,3,3</t>
  </si>
  <si>
    <t>14663.txt</t>
  </si>
  <si>
    <t>14664.txt</t>
  </si>
  <si>
    <t>Test Object</t>
  </si>
  <si>
    <t>14665.txt</t>
  </si>
  <si>
    <t>Piled of Filler Tobacco Leaves</t>
  </si>
  <si>
    <t>14666.txt</t>
  </si>
  <si>
    <t>Harvested Tobacco Leaves</t>
  </si>
  <si>
    <t>14667.txt</t>
  </si>
  <si>
    <t>Perhaps Seedless Tobacco Plant</t>
  </si>
  <si>
    <t>14668.txt</t>
  </si>
  <si>
    <t>Work Bench with Removal Notice</t>
  </si>
  <si>
    <t>14669.txt</t>
  </si>
  <si>
    <t>Work Bench with Removal Notice#justWritten</t>
  </si>
  <si>
    <t>14670.txt</t>
  </si>
  <si>
    <t>Work Bench with Blank Paper</t>
  </si>
  <si>
    <t>14671.txt</t>
  </si>
  <si>
    <t>Removal Notice</t>
  </si>
  <si>
    <t>14672.txt</t>
  </si>
  <si>
    <t>Marked Steel Adze</t>
  </si>
  <si>
    <t>14673.txt</t>
  </si>
  <si>
    <t>Light Post</t>
  </si>
  <si>
    <t>14674.txt</t>
  </si>
  <si>
    <t>Two Cast Iron Cylinders</t>
  </si>
  <si>
    <t>14675.txt</t>
  </si>
  <si>
    <t>Two Cast Iron Cylinders with Steel Pipe</t>
  </si>
  <si>
    <t>14676.txt</t>
  </si>
  <si>
    <t>Two Cast Iron Cylinders with Steel Pipes</t>
  </si>
  <si>
    <t>14677.txt</t>
  </si>
  <si>
    <t>Two Cast Iron Cylinders with Steel Pipes and Glass Pane</t>
  </si>
  <si>
    <t>14678.txt</t>
  </si>
  <si>
    <t>Cast Iron Bench#justMade</t>
  </si>
  <si>
    <t>14679.txt</t>
  </si>
  <si>
    <t>Raven Flag Stand</t>
  </si>
  <si>
    <t>14680.txt</t>
  </si>
  <si>
    <t>Gazebo</t>
  </si>
  <si>
    <t>14681.txt</t>
  </si>
  <si>
    <t>Stack of Cast Iron Ornate Panels</t>
  </si>
  <si>
    <t>14682.txt</t>
  </si>
  <si>
    <t>Stack of Cast Iron Ornate Panels with Glass Panes</t>
  </si>
  <si>
    <t>14683.txt</t>
  </si>
  <si>
    <t>Stack of Cast Iron Ornate Panels with Glass Panes#justStacked</t>
  </si>
  <si>
    <t>14684.txt</t>
  </si>
  <si>
    <t>Fountain</t>
  </si>
  <si>
    <t>14686.txt</t>
  </si>
  <si>
    <t>Empty Fountain</t>
  </si>
  <si>
    <t>14687.txt</t>
  </si>
  <si>
    <t>Three Cast Iron Cylinders</t>
  </si>
  <si>
    <t>14688.txt</t>
  </si>
  <si>
    <t>Blowpipe With Hot Glass Cylinder</t>
  </si>
  <si>
    <t>14689.txt</t>
  </si>
  <si>
    <t>Blowpipe With Cool Glass Cylinder</t>
  </si>
  <si>
    <t>14692.txt</t>
  </si>
  <si>
    <t>Glass Cylinder</t>
  </si>
  <si>
    <t>14693.txt</t>
  </si>
  <si>
    <t>Blowpipe with Detached Cylinder</t>
  </si>
  <si>
    <t>14694.txt</t>
  </si>
  <si>
    <t>Glass Cylinder in Wooden Tongs</t>
  </si>
  <si>
    <t>14695.txt</t>
  </si>
  <si>
    <t>Hot Glass Cylinder in Wooden Tongs</t>
  </si>
  <si>
    <t>14696.txt</t>
  </si>
  <si>
    <t>Hot Glass Cylinder</t>
  </si>
  <si>
    <t>14697.txt</t>
  </si>
  <si>
    <t>Hot Glass Pane</t>
  </si>
  <si>
    <t>14699.txt</t>
  </si>
  <si>
    <t>Stack of Glass Panes</t>
  </si>
  <si>
    <t>14700.txt</t>
  </si>
  <si>
    <t>Fruiting Pineapple Plant</t>
  </si>
  <si>
    <t>14701.txt</t>
  </si>
  <si>
    <t>Pineapple Plant</t>
  </si>
  <si>
    <t>14702.txt</t>
  </si>
  <si>
    <t>Pineapple Plant with Pineapple</t>
  </si>
  <si>
    <t>14703.txt</t>
  </si>
  <si>
    <t>Pineapple</t>
  </si>
  <si>
    <t>14705.txt</t>
  </si>
  <si>
    <t>Ruined Slice of Pizza# +emotEat_10_10</t>
  </si>
  <si>
    <t>14706.txt</t>
  </si>
  <si>
    <t>Two Cast Iron Ornate Panels with Spring</t>
  </si>
  <si>
    <t>Key</t>
  </si>
  <si>
    <t>Ukrainian</t>
  </si>
  <si>
    <t>writeFailed</t>
  </si>
  <si>
    <t>ERROR:  GAME FOLDER IS READ-ONLY</t>
  </si>
  <si>
    <t>錯誤：遊戲文件夾是唯讀的</t>
  </si>
  <si>
    <t>错误：游戏文件夹是只读的</t>
  </si>
  <si>
    <t>ПОМИЛКА: ПАПКА З ГРОЮ ДОСТУПНА ЛИШЕ ДЛЯ ЧИТАННЯ</t>
  </si>
  <si>
    <t>measuringFPS</t>
  </si>
  <si>
    <t>MEASURING MAXIMUM FRAMERATE</t>
  </si>
  <si>
    <t>測量最大幀速率</t>
  </si>
  <si>
    <t>检测最大帧率</t>
  </si>
  <si>
    <t>ВИМІРЮВАННЯ МАКСИМАЛЬНОЇ ЧАСТОТИ КАДРІВ</t>
  </si>
  <si>
    <t>vsyncWarning</t>
  </si>
  <si>
    <t>WARNING: VERTICAL SYNC DISABLED</t>
  </si>
  <si>
    <t>警告：垂直同步已禁用</t>
  </si>
  <si>
    <t>ПОПЕРЕДЖЕННЯ: ВЕРТИКАЛЬНУ СИНХРОНІЗАЦІЮ ВИМКНЕНО</t>
  </si>
  <si>
    <t>vsyncWarning2</t>
  </si>
  <si>
    <t>(VISUAL TEARING LIKELY)</t>
  </si>
  <si>
    <t>（可能會出現視覺撕裂）</t>
  </si>
  <si>
    <t>（可能会出现画面撕裂）</t>
  </si>
  <si>
    <t>(МОЖЛИВЕ РОЗРИВАННЯ ЗОБРАЖЕННЯ)</t>
  </si>
  <si>
    <t>vsyncWarning3</t>
  </si>
  <si>
    <t>GRAPHICS CARD CONTROL PANEL CAN FIX THIS</t>
  </si>
  <si>
    <t>顯卡控制面板可以解決此問題</t>
  </si>
  <si>
    <t>显卡控制面板可以解决此问题</t>
  </si>
  <si>
    <t>ЦЕ МОЖНА ВИПРАВИТИ ЗА ДОПОМОГОЮ ПАНЕЛІ КЕРУВАННЯ ВІДЕОКАРТИ</t>
  </si>
  <si>
    <t>vsyncContinueMessage</t>
  </si>
  <si>
    <t>PRESS Y TO CONTINUE WITHOUT VSYNC OR ESC TO QUIT</t>
  </si>
  <si>
    <t>按 Y 繼續而不使用 VSYNC 或按 ESC 退出</t>
  </si>
  <si>
    <t>按Y继续而不使用VSYNC或按ESC退出</t>
  </si>
  <si>
    <t>НАТИСНІТЬ КЛАВІШУ Y, ЩОБ ПРОДОВЖИТИ БЕЗ СИНХРОНІЗАЦІЇ, АБО ESC, ЩОБ ВИЙТИ</t>
  </si>
  <si>
    <t>fpsErrorLogin</t>
  </si>
  <si>
    <t>ERROR:  FPS MISMATCH DETECTED.##VSYNC CHANGED?  MEASURED %0.1f FPS, EXPECTING %d FPS</t>
  </si>
  <si>
    <t>錯誤：檢測到 FPS 不匹配。##VSYNC 已更改？測量 %0.1f FPS，預期 %d FPS</t>
  </si>
  <si>
    <t>错误：检测到FPS不匹配 ##VSYNC 已更改？测量 %0.1f FPS，预期 %d FPS</t>
  </si>
  <si>
    <t>ПОМИЛКА:  ВИЯВЛЕНО НЕВІДПОВІДНІСТЬ FPS.##VSYNC ЗМІНЕНО?  ВИМІРЯНО %0.1f FPS, ОЧІКУЄТЬСЯ %d FPS</t>
  </si>
  <si>
    <t>loading</t>
  </si>
  <si>
    <t>LOADING</t>
  </si>
  <si>
    <t>載入中</t>
  </si>
  <si>
    <t>加载中</t>
  </si>
  <si>
    <t>ЗАВАНТАЖЕННЯ</t>
  </si>
  <si>
    <t>sprites</t>
  </si>
  <si>
    <t>SPRITES</t>
  </si>
  <si>
    <t>圖片</t>
  </si>
  <si>
    <t>图元</t>
  </si>
  <si>
    <t>СПРАЙТИ</t>
  </si>
  <si>
    <t>sounds</t>
  </si>
  <si>
    <t>SOUNDS</t>
  </si>
  <si>
    <t>聲音</t>
  </si>
  <si>
    <t>音效</t>
  </si>
  <si>
    <t>ЗВУКИ</t>
  </si>
  <si>
    <t>objects</t>
  </si>
  <si>
    <t>OBJECTS</t>
  </si>
  <si>
    <t>物品</t>
  </si>
  <si>
    <t>ОБ'ЄКТИ</t>
  </si>
  <si>
    <t>transitions</t>
  </si>
  <si>
    <t>TRANSITIONS</t>
  </si>
  <si>
    <t>合成表</t>
  </si>
  <si>
    <t>转换</t>
  </si>
  <si>
    <t>ПЕРЕХОДИ</t>
  </si>
  <si>
    <t>animations</t>
  </si>
  <si>
    <t>ANIMATIONS</t>
  </si>
  <si>
    <t>動畫</t>
  </si>
  <si>
    <t>动画</t>
  </si>
  <si>
    <t>АНІМАЦІЇ</t>
  </si>
  <si>
    <t>categories</t>
  </si>
  <si>
    <t>CATEGORIES</t>
  </si>
  <si>
    <t>類別</t>
  </si>
  <si>
    <t>类别</t>
  </si>
  <si>
    <t>КАТЕГОРІЇ</t>
  </si>
  <si>
    <t>groundTextures</t>
  </si>
  <si>
    <t>GROUND TEXTURES</t>
  </si>
  <si>
    <t>地面紋理</t>
  </si>
  <si>
    <t>地面纹理</t>
  </si>
  <si>
    <t>ТЕКСТУРИ ЗЕМЛІ</t>
  </si>
  <si>
    <t>spritesRebuild</t>
  </si>
  <si>
    <t>SPRITES##(REBUILDING CACHE)</t>
  </si>
  <si>
    <t>圖片##（重建快取）</t>
  </si>
  <si>
    <t>图元##（重建缓存）</t>
  </si>
  <si>
    <t>СПРАЙТИ##(ПЕРЕЗАВАНТАЖЕННЯ КЕШУ)</t>
  </si>
  <si>
    <t>soundsRebuild</t>
  </si>
  <si>
    <t>SOUNDS##(REBUILDING CACHE)</t>
  </si>
  <si>
    <t>聲音##（重建快取）</t>
  </si>
  <si>
    <t>声音##（重建缓存）</t>
  </si>
  <si>
    <t>ЗВУКИ##(ПЕРЕЗАВАНТАЖИТИ КЕШ)</t>
  </si>
  <si>
    <t>objectsRebuild</t>
  </si>
  <si>
    <t>OBJECTS##(REBUILDING CACHE)</t>
  </si>
  <si>
    <t>物品##（重建快取）</t>
  </si>
  <si>
    <t>物品##（重建缓存）</t>
  </si>
  <si>
    <t>ОБ'ЄКТИ##(ПЕРЕЗАВАНТАЖИТИ КЕШ)</t>
  </si>
  <si>
    <t>transitionsRebuild</t>
  </si>
  <si>
    <t>TRANSITIONS##(REBUILDING CACHE)</t>
  </si>
  <si>
    <t>合成表##（重建快取）</t>
  </si>
  <si>
    <t>合成表##（重建缓存）</t>
  </si>
  <si>
    <t>ПЕРЕХОДИ##(ПЕРЕЗАВАНТАЖИТИ КЕШ)</t>
  </si>
  <si>
    <t>animationsRebuild</t>
  </si>
  <si>
    <t>ANIMATIONS##(REBUILDING CACHE)</t>
  </si>
  <si>
    <t>動畫##（重建快取）</t>
  </si>
  <si>
    <t>动画##（重建缓存）</t>
  </si>
  <si>
    <t>АНІМАЦІЇ##(ПЕРЕЗАВАНТАЖИТИ КЕШ)</t>
  </si>
  <si>
    <t>categoriesRebuild</t>
  </si>
  <si>
    <t>CATEGORIES##(REBUILDING CACHE)</t>
  </si>
  <si>
    <t>類別##（重建快取）</t>
  </si>
  <si>
    <t>类别##（重建缓存）</t>
  </si>
  <si>
    <t>КАТЕГОРІЇ##(ПЕРЕЗАВАНТАЖИТИ КЕШ)</t>
  </si>
  <si>
    <t>email</t>
  </si>
  <si>
    <t>EMAIL:</t>
  </si>
  <si>
    <t>電子郵件：</t>
  </si>
  <si>
    <t>电子邮件：</t>
  </si>
  <si>
    <t>username</t>
  </si>
  <si>
    <t>USERNAME:</t>
  </si>
  <si>
    <t>用戶名:</t>
  </si>
  <si>
    <t>用户名：</t>
  </si>
  <si>
    <t>atSignTip</t>
  </si>
  <si>
    <t>INSERT '@' SIGN (INTL KEYBOARDS)</t>
  </si>
  <si>
    <t>插入'@'符號（國際鍵盤）</t>
  </si>
  <si>
    <t>插入'@'符号</t>
  </si>
  <si>
    <t>ВСТАВИТИ ЗНАК '@' (INTL КЛАВІАТУРИ)</t>
  </si>
  <si>
    <t>loginButton</t>
  </si>
  <si>
    <t>BE BORN</t>
  </si>
  <si>
    <t>出生</t>
  </si>
  <si>
    <t>friendsButton</t>
  </si>
  <si>
    <t>FRIENDS</t>
  </si>
  <si>
    <t>朋友</t>
  </si>
  <si>
    <t>ДРУЗІ</t>
  </si>
  <si>
    <t>familyTrees</t>
  </si>
  <si>
    <t>FAMILY TREES</t>
  </si>
  <si>
    <t>家譜</t>
  </si>
  <si>
    <t>家谱</t>
  </si>
  <si>
    <t>ФАМІЛЬНІ ДЕРЕВА</t>
  </si>
  <si>
    <t>techTree</t>
  </si>
  <si>
    <t>TECH</t>
  </si>
  <si>
    <t>科技</t>
  </si>
  <si>
    <t>科技树</t>
  </si>
  <si>
    <t>ТЕХНІКА</t>
  </si>
  <si>
    <t>genesButton</t>
  </si>
  <si>
    <t>GENES</t>
  </si>
  <si>
    <t>基因</t>
  </si>
  <si>
    <t>ГЕНИ</t>
  </si>
  <si>
    <t>geneticHistoryButton</t>
  </si>
  <si>
    <t>GENETIC HISTORY</t>
  </si>
  <si>
    <t>遺傳史</t>
  </si>
  <si>
    <t>遗传史</t>
  </si>
  <si>
    <t>ГЕНЕТИЧНА ІСТОРІЯ</t>
  </si>
  <si>
    <t>clearAccount</t>
  </si>
  <si>
    <t>CLEAR ACCOUNT</t>
  </si>
  <si>
    <t>清除賬戶</t>
  </si>
  <si>
    <t>清除账户</t>
  </si>
  <si>
    <t>СБРОСИТИ АККАУНТ</t>
  </si>
  <si>
    <t>settingsButton</t>
  </si>
  <si>
    <t>SETTINGS</t>
  </si>
  <si>
    <t>設置</t>
  </si>
  <si>
    <t>设置</t>
  </si>
  <si>
    <t>НАЛАШТУВАННЯ</t>
  </si>
  <si>
    <t>postReviewButton</t>
  </si>
  <si>
    <t>POST REVIEW</t>
  </si>
  <si>
    <t>發布評論</t>
  </si>
  <si>
    <t>发布评论</t>
  </si>
  <si>
    <t>ПОСТ РЕЦЕНЗІЇ</t>
  </si>
  <si>
    <t>updateReviewButton</t>
  </si>
  <si>
    <t>UPDATE REVIEW</t>
  </si>
  <si>
    <t>更新評論</t>
  </si>
  <si>
    <t>更新评论</t>
  </si>
  <si>
    <t>ОНОВЛЕННЯ РЕЦЕНЗІЇ</t>
  </si>
  <si>
    <t>reviewText</t>
  </si>
  <si>
    <t>REVIEW TEXT</t>
  </si>
  <si>
    <t>評論文字</t>
  </si>
  <si>
    <t>评论文字</t>
  </si>
  <si>
    <t>ТЕКСТ ВІДГУКУ</t>
  </si>
  <si>
    <t>reviewName</t>
  </si>
  <si>
    <t>DISPLAY NAME</t>
  </si>
  <si>
    <t>顯示名稱</t>
  </si>
  <si>
    <t>显示名称</t>
  </si>
  <si>
    <t>ВІДОБРАЗИТИ НАЗВУ</t>
  </si>
  <si>
    <t>recommend</t>
  </si>
  <si>
    <t>RECOMMEND</t>
  </si>
  <si>
    <t>推薦</t>
  </si>
  <si>
    <t>推荐</t>
  </si>
  <si>
    <t>РЕКОМЕНДУВАТИ</t>
  </si>
  <si>
    <t>recommendYes</t>
  </si>
  <si>
    <t>YES</t>
  </si>
  <si>
    <t>是</t>
  </si>
  <si>
    <t>ТАК</t>
  </si>
  <si>
    <t>recommendNo</t>
  </si>
  <si>
    <t>NO</t>
  </si>
  <si>
    <t>否</t>
  </si>
  <si>
    <t>НІ</t>
  </si>
  <si>
    <t>postButton</t>
  </si>
  <si>
    <t>POST</t>
  </si>
  <si>
    <t>發佈</t>
  </si>
  <si>
    <t>发布</t>
  </si>
  <si>
    <t>ОПУБЛІКУВАТИ</t>
  </si>
  <si>
    <t>postReviewTip</t>
  </si>
  <si>
    <t>POST TO ONEHOURONELIFE.COM</t>
  </si>
  <si>
    <t>發佈到 ONEHOURONELIFE.COM</t>
  </si>
  <si>
    <t>发布到 ONEHOURONELIFE.COM</t>
  </si>
  <si>
    <t>НАПИСАТИ НА ONEHOURONELIFE.COM</t>
  </si>
  <si>
    <t>updateButton</t>
  </si>
  <si>
    <t>UPDATE</t>
  </si>
  <si>
    <t>更新</t>
  </si>
  <si>
    <t>ОНОВЛЕННЯ</t>
  </si>
  <si>
    <t>updateReviewTip</t>
  </si>
  <si>
    <t>UPDATE ON ONEHOURONELIFE.COM</t>
  </si>
  <si>
    <t>在 ONEHOURONELIFE.COM 更新</t>
  </si>
  <si>
    <t>ОНОВИТИ НА ONEHOURONELIFE.COM</t>
  </si>
  <si>
    <t>removeButton</t>
  </si>
  <si>
    <t>REMOVE</t>
  </si>
  <si>
    <t>刪除</t>
  </si>
  <si>
    <t>删除</t>
  </si>
  <si>
    <t>ВИДАЛИТИ</t>
  </si>
  <si>
    <t>removeReviewTip</t>
  </si>
  <si>
    <t>REMOVE FROM ONEHOURONELIFE.COM</t>
  </si>
  <si>
    <t>從 ONEHOURONELIFE.COM 中刪除</t>
  </si>
  <si>
    <t>从 ONEHOURONELIFE.COM 中删除</t>
  </si>
  <si>
    <t>ВИДАЛИТИ З ONEHOURONELIFE.COM</t>
  </si>
  <si>
    <t>copyReviewTip</t>
  </si>
  <si>
    <t>COPY REVIEW TEXT TO CLIPBOARD</t>
  </si>
  <si>
    <t>將評論文字複製到剪貼板</t>
  </si>
  <si>
    <t>将评论文字复制到剪切板</t>
  </si>
  <si>
    <t>СКОПІЮВАТИ ТЕКСТ ВІДГУКУ В БУФЕР ОБМІНУ</t>
  </si>
  <si>
    <t>copySelectionTip</t>
  </si>
  <si>
    <t>COPY SELECTION TO CLIPBOARD</t>
  </si>
  <si>
    <t>將選擇複製到剪貼板</t>
  </si>
  <si>
    <t>将选择复制到剪切板</t>
  </si>
  <si>
    <t>СКОПІЮВАТИ ВИБІР В БУФЕР ОБМІНУ</t>
  </si>
  <si>
    <t>spellCheck</t>
  </si>
  <si>
    <t>CHECK SPELLING</t>
  </si>
  <si>
    <t>檢查拼寫</t>
  </si>
  <si>
    <t>检查拼写（英文）</t>
  </si>
  <si>
    <t>ПЕРЕВІРТЕ ПРАВИЛЬНІСТЬ</t>
  </si>
  <si>
    <t>requestDenied</t>
  </si>
  <si>
    <t>POST REQUEST DENIED</t>
  </si>
  <si>
    <t>發布請求被拒絕</t>
  </si>
  <si>
    <t>发布请求被拒绝</t>
  </si>
  <si>
    <t>ЗАПИТ НА ПУБЛІКАЦІЮ ВІДХИЛЕНО</t>
  </si>
  <si>
    <t>reviewPosted</t>
  </si>
  <si>
    <t>REVIEW HAS BEEN POSTED</t>
  </si>
  <si>
    <t>評論已發布</t>
  </si>
  <si>
    <t>评论已发布</t>
  </si>
  <si>
    <t>ВІДГУК РОЗМІЩЕНО</t>
  </si>
  <si>
    <t>reviewUpdated</t>
  </si>
  <si>
    <t>REVIEW HAS BEEN UPDATED</t>
  </si>
  <si>
    <t>評論已更新</t>
  </si>
  <si>
    <t>评论已更新</t>
  </si>
  <si>
    <t>ВІДГУК ОНОВЛЕНО</t>
  </si>
  <si>
    <t>reviewRemoved</t>
  </si>
  <si>
    <t>REVIEW HAS BEEN REMOVED</t>
  </si>
  <si>
    <t>評論已被刪除</t>
  </si>
  <si>
    <t>评论已删除</t>
  </si>
  <si>
    <t>ВІДГУК ВИДАЛЕНО</t>
  </si>
  <si>
    <t>poll</t>
  </si>
  <si>
    <t>USER POLL:</t>
  </si>
  <si>
    <t>用戶投票：</t>
  </si>
  <si>
    <t>用户投票：</t>
  </si>
  <si>
    <t>ОПИТУВАННЯ КОРИСТУВАЧІВ:</t>
  </si>
  <si>
    <t>submit</t>
  </si>
  <si>
    <t>SUBMIT</t>
  </si>
  <si>
    <t>提交</t>
  </si>
  <si>
    <t>ВІДПРАВИТИ</t>
  </si>
  <si>
    <t>saveTip</t>
  </si>
  <si>
    <t>LOGIN AND STORE DETAILS LOCALLY</t>
  </si>
  <si>
    <t>本地登入並存儲資訊</t>
  </si>
  <si>
    <t>登录并在本地存储信息</t>
  </si>
  <si>
    <t>УВІЙТИ ТА ЗБЕРІГАТИ ДАНІ ЛОКАЛЬНО</t>
  </si>
  <si>
    <t>getAccountTip</t>
  </si>
  <si>
    <t>TYPE -KEY ON DISCORD TO GET YOUR ACCOUNT</t>
  </si>
  <si>
    <t>在DISCORD上输入命令获得账户</t>
  </si>
  <si>
    <t>clearAccountTip</t>
  </si>
  <si>
    <t>DELETES ACCOUNT DETAILS FROM DISK</t>
  </si>
  <si>
    <t>從磁盤中刪除帳戶資訊</t>
  </si>
  <si>
    <t>从本地中删除帐户信息</t>
  </si>
  <si>
    <t>ВИДАЛИТИ ДАНІ ОБЛІКОВОГО ЗАПИСУ З ДИСКА</t>
  </si>
  <si>
    <t>friendsTip</t>
  </si>
  <si>
    <t>GET BORN WITH FRIENDS</t>
  </si>
  <si>
    <t>與朋友出生在一起</t>
  </si>
  <si>
    <t>与朋友出生在一起</t>
  </si>
  <si>
    <t>НАРОДИТИСЯ З ДРУЗЯМИ</t>
  </si>
  <si>
    <t>genesTip</t>
  </si>
  <si>
    <t>GENETIC SCORE DETAILS</t>
  </si>
  <si>
    <t>遺傳分數資訊</t>
  </si>
  <si>
    <t>遗传分数信息</t>
  </si>
  <si>
    <t>ДЕТАЛІ ГЕНЕТИЧНОЇ ОЦІНКИ</t>
  </si>
  <si>
    <t>familyTreesTip</t>
  </si>
  <si>
    <t>OPEN FAMILY TREES IN WEB BROWSER</t>
  </si>
  <si>
    <t>在網路瀏覽器中打開家譜</t>
  </si>
  <si>
    <t>在浏览器内打开家谱</t>
  </si>
  <si>
    <t>ВІДКРИТИ ГЕНЕАЛОГІЧНЕ ДЕРЕВО У ВЕБ-БРАУЗЕРІ</t>
  </si>
  <si>
    <t>techTreeTip</t>
  </si>
  <si>
    <t>OPEN TECH TREE IN WEB BROWSER</t>
  </si>
  <si>
    <t>在網路瀏覽器中打開技術樹</t>
  </si>
  <si>
    <t>在浏览器内打开教程</t>
  </si>
  <si>
    <t>ВІДКРИТИ ТЕХНОЛОГІЧНЕ ДЕРЕВО У ВЕБ-БРАУЗЕРІ</t>
  </si>
  <si>
    <t>accountKey</t>
  </si>
  <si>
    <t>KEY:</t>
  </si>
  <si>
    <t>鑰匙：</t>
  </si>
  <si>
    <t>密钥：</t>
  </si>
  <si>
    <t>КЛЮЧ:</t>
  </si>
  <si>
    <t>paste</t>
  </si>
  <si>
    <t>PASTE</t>
  </si>
  <si>
    <t>貼上</t>
  </si>
  <si>
    <t>粘贴</t>
  </si>
  <si>
    <t>ВСТАВИТИ</t>
  </si>
  <si>
    <t>copy</t>
  </si>
  <si>
    <t>COPY</t>
  </si>
  <si>
    <t>複製</t>
  </si>
  <si>
    <t>复制</t>
  </si>
  <si>
    <t>КОПІЮВАТИ</t>
  </si>
  <si>
    <t>clear</t>
  </si>
  <si>
    <t>CLEAR</t>
  </si>
  <si>
    <t>清除</t>
  </si>
  <si>
    <t>ОЧИСТИТИ</t>
  </si>
  <si>
    <t>charLimit</t>
  </si>
  <si>
    <t>5000 CHARACTER LIMIT REACHED</t>
  </si>
  <si>
    <t>已達到 5000 個字符的限制</t>
  </si>
  <si>
    <t>已达到5000个字符的限制</t>
  </si>
  <si>
    <t>ДОСЯГНУТО ЛІМІТ 5000 СИМВОЛІВ</t>
  </si>
  <si>
    <t>twinCode</t>
  </si>
  <si>
    <t>TWIN CODE:</t>
  </si>
  <si>
    <t>雙胞胎代碼：</t>
  </si>
  <si>
    <t>双胞胎代码：</t>
  </si>
  <si>
    <t>ДВІЙНИЙ КОД:</t>
  </si>
  <si>
    <t>generate</t>
  </si>
  <si>
    <t>GENERATE</t>
  </si>
  <si>
    <t>產生</t>
  </si>
  <si>
    <t>生成</t>
  </si>
  <si>
    <t>twinTip</t>
  </si>
  <si>
    <t>GIVE FRIENDS THIS CODE AND GET BORN TOGETHER</t>
  </si>
  <si>
    <t>將此代碼交給朋友並一起出生</t>
  </si>
  <si>
    <t>将此代码交给朋友并一起出生</t>
  </si>
  <si>
    <t>ДАЙТЕ ДРУЗЯМ ЦЕЙ КОД І НАРОДЖУЙТЕСЬ РАЗОМ</t>
  </si>
  <si>
    <t>twins</t>
  </si>
  <si>
    <t>TWINS</t>
  </si>
  <si>
    <t>雙胞胎</t>
  </si>
  <si>
    <t>双胞胎</t>
  </si>
  <si>
    <t>ДВІЙНЯТА</t>
  </si>
  <si>
    <t>triplets</t>
  </si>
  <si>
    <t>TRIPLETS</t>
  </si>
  <si>
    <t>三胞胎</t>
  </si>
  <si>
    <t>ТРІЙНЯТА</t>
  </si>
  <si>
    <t>quadruplets</t>
  </si>
  <si>
    <t>QUADRUPLETS</t>
  </si>
  <si>
    <t>四胞胎</t>
  </si>
  <si>
    <t>ЧЕТВІРКИ</t>
  </si>
  <si>
    <t>cancel</t>
  </si>
  <si>
    <t>CANCEL</t>
  </si>
  <si>
    <t>取消</t>
  </si>
  <si>
    <t>СКАСУВАТИ</t>
  </si>
  <si>
    <t>backButton</t>
  </si>
  <si>
    <t>BACK</t>
  </si>
  <si>
    <t>後退</t>
  </si>
  <si>
    <t>后退</t>
  </si>
  <si>
    <t>НАЗАД</t>
  </si>
  <si>
    <t>restartButton</t>
  </si>
  <si>
    <t>RESTART</t>
  </si>
  <si>
    <t>重新開始</t>
  </si>
  <si>
    <t>重新开始</t>
  </si>
  <si>
    <t>ПЕРЕЗАПУСТИТИ</t>
  </si>
  <si>
    <t>fullscreen</t>
  </si>
  <si>
    <t>FULLSCREEN</t>
  </si>
  <si>
    <t>全屏</t>
  </si>
  <si>
    <t>borderless</t>
  </si>
  <si>
    <t>BORDERLESS</t>
  </si>
  <si>
    <t>没有边界</t>
  </si>
  <si>
    <t>musicLoudness</t>
  </si>
  <si>
    <t>MUSIC LOUDNESS</t>
  </si>
  <si>
    <t>音乐响度</t>
  </si>
  <si>
    <t>soundLoudness</t>
  </si>
  <si>
    <t>SOUND LOUDNESS</t>
  </si>
  <si>
    <t>声音响度</t>
  </si>
  <si>
    <t>currentFPS</t>
  </si>
  <si>
    <t>CURRENT FRAME RATE</t>
  </si>
  <si>
    <t>当前帧率</t>
  </si>
  <si>
    <t>targetFPS</t>
  </si>
  <si>
    <t>TARGET FRAME RATE</t>
  </si>
  <si>
    <t>目标帧率</t>
  </si>
  <si>
    <t>vsyncOn</t>
  </si>
  <si>
    <t>USING VSYNC</t>
  </si>
  <si>
    <t>使用VSYNC</t>
  </si>
  <si>
    <t>vsyncYes</t>
  </si>
  <si>
    <t>vsyncNo</t>
  </si>
  <si>
    <t>retryButton</t>
  </si>
  <si>
    <t>RETRY</t>
  </si>
  <si>
    <t>重試</t>
  </si>
  <si>
    <t>重试</t>
  </si>
  <si>
    <t>ПОВТОРНА СПРОБА</t>
  </si>
  <si>
    <t>redetectButton</t>
  </si>
  <si>
    <t>RE-DETECT</t>
  </si>
  <si>
    <t>重新檢測</t>
  </si>
  <si>
    <t>重新检查</t>
  </si>
  <si>
    <t>ВИЯВИТИ ЗНОВУ</t>
  </si>
  <si>
    <t>cursor</t>
  </si>
  <si>
    <t>MOUSE POINTER:</t>
  </si>
  <si>
    <t>游標：</t>
  </si>
  <si>
    <t>鼠标：</t>
  </si>
  <si>
    <t>ВКАЗІВНИК МИШІ:</t>
  </si>
  <si>
    <t>system</t>
  </si>
  <si>
    <t>NATIVE</t>
  </si>
  <si>
    <t>原生</t>
  </si>
  <si>
    <t>本地</t>
  </si>
  <si>
    <t>РІДНИЙ</t>
  </si>
  <si>
    <t>drawn</t>
  </si>
  <si>
    <t>DRAWN</t>
  </si>
  <si>
    <t>畫的</t>
  </si>
  <si>
    <t>绘制</t>
  </si>
  <si>
    <t>НАМАЛЮВАНО</t>
  </si>
  <si>
    <t>both</t>
  </si>
  <si>
    <t>BOTH</t>
  </si>
  <si>
    <t>兩者</t>
  </si>
  <si>
    <t>两者</t>
  </si>
  <si>
    <t>ОБА</t>
  </si>
  <si>
    <t>scale</t>
  </si>
  <si>
    <t>DRAWN CURSOR SIZE</t>
  </si>
  <si>
    <t>绘制的光标大小</t>
  </si>
  <si>
    <t>useCustomServer</t>
  </si>
  <si>
    <t>USE CUSTOM SERVER</t>
  </si>
  <si>
    <t>使用自定义服务器</t>
  </si>
  <si>
    <t>address</t>
  </si>
  <si>
    <t>ADDRESS</t>
  </si>
  <si>
    <t>地址</t>
  </si>
  <si>
    <t>port</t>
  </si>
  <si>
    <t>PORT</t>
  </si>
  <si>
    <t>端口</t>
  </si>
  <si>
    <t>spawnSeed</t>
  </si>
  <si>
    <t>SPAWN SEED:</t>
  </si>
  <si>
    <t>出生种子</t>
  </si>
  <si>
    <t>downloadingUpdate</t>
  </si>
  <si>
    <t>DOWNLOADING UPDATE</t>
  </si>
  <si>
    <t>下載更新</t>
  </si>
  <si>
    <t>下载更新</t>
  </si>
  <si>
    <t>ЗАВАНТАЖЕННЯ ОНОВЛЕННЯ</t>
  </si>
  <si>
    <t>applyingUpdate</t>
  </si>
  <si>
    <t>APPLYING UPDATE</t>
  </si>
  <si>
    <t>使用更新</t>
  </si>
  <si>
    <t>ЗАСТОСУВАННЯ ОНОВЛЕННЯ</t>
  </si>
  <si>
    <t>serverShutdownMessage</t>
  </si>
  <si>
    <t>THE SERVERS HAVE BEEN##SHUT DOWN FOR MAINTENANCE.##PLEASE TRY AGAIN LATER.</t>
  </si>
  <si>
    <t>伺服器已被##關閉以進行維護。##請稍後再試。</t>
  </si>
  <si>
    <t>服务器已被##关闭以进行维护。##请稍后再试。</t>
  </si>
  <si>
    <t>СЕРВЕРИ БУЛО## ВИМКНЕНО ДЛЯ ТЕХНІЧНОГО ОБСЛУГОВУВАННЯ.## БУДЬ ЛАСКА, ПОВТОРІТЬ СПРОБУ ПІЗНІШЕ.</t>
  </si>
  <si>
    <t>upgradeMessage</t>
  </si>
  <si>
    <t>PLEASE DOWNLOAD THE LATEST VERSION</t>
  </si>
  <si>
    <t>請下載最新版本</t>
  </si>
  <si>
    <t>请下载最新版本</t>
  </si>
  <si>
    <t>ЗАВАНТАЖТЕ ОСТАННЮ ВЕРСІЮ</t>
  </si>
  <si>
    <t>upgradeMessageSteam</t>
  </si>
  <si>
    <t>PLEASE UPDATE THE GAME THROUGH STEAM</t>
  </si>
  <si>
    <t>請通過Steam更新遊戲</t>
  </si>
  <si>
    <t>请通过steam更新游戏</t>
  </si>
  <si>
    <t>БУДЬ ЛАСКА, ПОНОВІТЬ ГРУ ЧЕРЕЗ STEAM</t>
  </si>
  <si>
    <t>steamID</t>
  </si>
  <si>
    <t>STEAM ID:</t>
  </si>
  <si>
    <t>Steam ID：</t>
  </si>
  <si>
    <t>editAccount</t>
  </si>
  <si>
    <t>EDIT ACCOUNT</t>
  </si>
  <si>
    <t>編輯帳戶</t>
  </si>
  <si>
    <t>编辑账户</t>
  </si>
  <si>
    <t>РЕДАГУВАТИ АКАУНТ</t>
  </si>
  <si>
    <t>editAccountWarning</t>
  </si>
  <si>
    <t>DON'T EDIT ACCOUNT UNLESS YOU KNOW WHAT YOU'RE DOING</t>
  </si>
  <si>
    <t>除非你知道自己在做什么，否则不要编辑帐户</t>
  </si>
  <si>
    <t>view</t>
  </si>
  <si>
    <t>VIEW</t>
  </si>
  <si>
    <t>查看</t>
  </si>
  <si>
    <t>ПЕРЕГЛЯНУТИ</t>
  </si>
  <si>
    <t>hide</t>
  </si>
  <si>
    <t>HIDE</t>
  </si>
  <si>
    <t>隱藏</t>
  </si>
  <si>
    <t>隐藏</t>
  </si>
  <si>
    <t>ПРИХОВАТИ</t>
  </si>
  <si>
    <t>updateWritePermissionMessage</t>
  </si>
  <si>
    <t>FAILED TO APPLY UPDATE:##MOVE GAME FOLDER SOMEWHERE##THAT IS NOT READ-ONLY.</t>
  </si>
  <si>
    <t>無法使用更新：##將游戲文件夾移動到某處##非唯讀位置。</t>
  </si>
  <si>
    <t>无法使用更新：##将游戏文件夹移动到某处##非只读位置。</t>
  </si>
  <si>
    <t>НЕ ВДАЛОСЯ ЗАСТОСУВАТИ ОНОВЛЕННЯ:##ПЕРЕМІСТІТЬ ТЕКУ З ГРОЮ У МІСЦЕ, ДОСТУПНЕ НЕ ЛИШЕ ДЛЯ ЧИТАННЯ.</t>
  </si>
  <si>
    <t>manualRestartMessage</t>
  </si>
  <si>
    <t>RESTART GAME TO APPLY UPDATE</t>
  </si>
  <si>
    <t>重新啟動遊戲以使用更新</t>
  </si>
  <si>
    <t>重新启动游戏以使用更新</t>
  </si>
  <si>
    <t>ПЕРЕЗАПУСТІТЬ ГРУ, ЩОБ ЗАСТОСУВАТИ ОНОВЛЕННЯ</t>
  </si>
  <si>
    <t>loginFailed</t>
  </si>
  <si>
    <t>LOGIN FAILED</t>
  </si>
  <si>
    <t>登入失敗</t>
  </si>
  <si>
    <t>登录失败</t>
  </si>
  <si>
    <t>НЕВДАЛОСЯ УВІЙТИ</t>
  </si>
  <si>
    <t>versionMismatch</t>
  </si>
  <si>
    <t>VERSION MISMATCH:  CLIENT %d -- SERVER %d</t>
  </si>
  <si>
    <t>版本不匹配：客戶端 %d -- 伺服器 %d</t>
  </si>
  <si>
    <t>版本不匹配：客户端 %d -- 服务器 %d</t>
  </si>
  <si>
    <t>НЕВІДПОВІДНІСТЬ ВЕРСІЙ:  КЛІЄНТ %d -- СЕРВЕР %d</t>
  </si>
  <si>
    <t>disableCustomServer</t>
  </si>
  <si>
    <t>DISABLE CUSTOM SERVER</t>
  </si>
  <si>
    <t>禁用自定義伺服器</t>
  </si>
  <si>
    <t>禁用自定义服务器</t>
  </si>
  <si>
    <t>ВИМКНУТИ КОРИСТУВАЦЬКИЙ СЕРВЕР</t>
  </si>
  <si>
    <t>serverShutdown</t>
  </si>
  <si>
    <t>SERVER HAS BEEN SHUT DOWN</t>
  </si>
  <si>
    <t>伺服器已關閉</t>
  </si>
  <si>
    <t>服务器已关闭</t>
  </si>
  <si>
    <t>СЕРВЕР ВИМКНЕНО</t>
  </si>
  <si>
    <t>serverUpdate</t>
  </si>
  <si>
    <t>SERVERS ARE IN THE PROCESS OF UPDATING</t>
  </si>
  <si>
    <t>伺服器正在更新中</t>
  </si>
  <si>
    <t>服务器正在更新中</t>
  </si>
  <si>
    <t>СЕРВЕРИ В ПРОЦЕСІ ОНОВЛЕННЯ</t>
  </si>
  <si>
    <t>serverFull</t>
  </si>
  <si>
    <t>SERVER IS FULL</t>
  </si>
  <si>
    <t>伺服器已滿</t>
  </si>
  <si>
    <t>服务器人数已满</t>
  </si>
  <si>
    <t>СЕРВЕР ЗАВАНТАЖЕНО</t>
  </si>
  <si>
    <t>connectionFailed</t>
  </si>
  <si>
    <t>CONNECTION FAILED</t>
  </si>
  <si>
    <t>連線失敗</t>
  </si>
  <si>
    <t>连接失败</t>
  </si>
  <si>
    <t>З'ЄДНАННЯ НЕ ВДАЛОСЯ</t>
  </si>
  <si>
    <t>noLifeTokens</t>
  </si>
  <si>
    <t>YOU ARE OUT OF LIVES</t>
  </si>
  <si>
    <t>你已經沒命了</t>
  </si>
  <si>
    <t>你失去了生命</t>
  </si>
  <si>
    <t>У ВАС ЗАКІНЧИЛИСЯ ЖИТТЯ</t>
  </si>
  <si>
    <t>tokenMessage</t>
  </si>
  <si>
    <t>%d/%d %s LEFT##(NEW LIFE EVERY %d %s WHEN BELOW %d %s)</t>
  </si>
  <si>
    <t>%d/%d %s 剩餘##（每 %d %s都有新生命，當低於 %d %s時）</t>
  </si>
  <si>
    <t>%d/%d %s 剩余##（每 %d %s 都有新生命，当低于 %d %s 时）</t>
  </si>
  <si>
    <t>%d/%d %s LEFT## (НОВЕ ЖИТТЯ КОЖНОГО %d %s КОЛИ НИЖЧЕ %d %s)</t>
  </si>
  <si>
    <t>livesPlural</t>
  </si>
  <si>
    <t>LIVES</t>
  </si>
  <si>
    <t>生命</t>
  </si>
  <si>
    <t>ЖИТТЯ</t>
  </si>
  <si>
    <t>lifeSingular</t>
  </si>
  <si>
    <t>LIFE</t>
  </si>
  <si>
    <t>minutesPlural</t>
  </si>
  <si>
    <t>MINUTES</t>
  </si>
  <si>
    <t>分</t>
  </si>
  <si>
    <t>ХВИЛИНИ</t>
  </si>
  <si>
    <t>minuteSingular</t>
  </si>
  <si>
    <t>MINUTE</t>
  </si>
  <si>
    <t>ХВИЛИНА</t>
  </si>
  <si>
    <t>tokenTimeMessage</t>
  </si>
  <si>
    <t xml:space="preserve">NEW LIFE IN:  </t>
  </si>
  <si>
    <t>新生命：</t>
  </si>
  <si>
    <t>НОВЕ ЖИТТЯ ВХОДИТЬ:</t>
  </si>
  <si>
    <t>scoreMessage</t>
  </si>
  <si>
    <t>GENETIC FITNESS:##%s (%d%s PLACE)</t>
  </si>
  <si>
    <t>遺傳分數：##%s（%d%s 名）</t>
  </si>
  <si>
    <t>遗传分数：##%s（%d%s 名）</t>
  </si>
  <si>
    <t>ГЕНЕТИЧНА ПРИГОДНІСТЬ:##%s (%d%s МІСЦЕ)</t>
  </si>
  <si>
    <t>scoreMessageNoRank</t>
  </si>
  <si>
    <t>GENETIC FITNESS:##%s</t>
  </si>
  <si>
    <t>遺傳分數：##%s</t>
  </si>
  <si>
    <t>遗传分数：##%s</t>
  </si>
  <si>
    <t>refreshButton</t>
  </si>
  <si>
    <t>REFRESH</t>
  </si>
  <si>
    <t>刷新</t>
  </si>
  <si>
    <t>age</t>
  </si>
  <si>
    <t>AGE</t>
  </si>
  <si>
    <t>年齡</t>
  </si>
  <si>
    <t>年龄</t>
  </si>
  <si>
    <t>ВІК</t>
  </si>
  <si>
    <t>leaderboardMessage</t>
  </si>
  <si>
    <t>LEADERBOARD NAME (%d%s PLACE):##%s</t>
  </si>
  <si>
    <t>排行榜名稱（%d%s 名）：##%s</t>
  </si>
  <si>
    <t>排行榜名单（%d%s 名）：##%s</t>
  </si>
  <si>
    <t>ЛІДЕРБОРД ІМ'Я (%d%s МІСЦЕ):##%s</t>
  </si>
  <si>
    <t>leaderboard</t>
  </si>
  <si>
    <t>LEADERBOARD</t>
  </si>
  <si>
    <t>排行榜</t>
  </si>
  <si>
    <t>ЛІДЕРСЬКА ДОШКА</t>
  </si>
  <si>
    <t>scrollTip</t>
  </si>
  <si>
    <t>SCROLL##WITH##ARROW##KEYS</t>
  </si>
  <si>
    <t>用##方向##鍵滾動##</t>
  </si>
  <si>
    <t>用##方向##键滚动##</t>
  </si>
  <si>
    <t>ПРОКРУТІТЬ ЗА ДОПОМОГОЮ КЛАВІШ ЗІ СТРІЛКАМИ</t>
  </si>
  <si>
    <t>geneticHistoryTitle</t>
  </si>
  <si>
    <t>YOUR RECENT GENETIC HISTORY:</t>
  </si>
  <si>
    <t>您最近的遺傳史：</t>
  </si>
  <si>
    <t>你最近的遗传史：</t>
  </si>
  <si>
    <t>ВАША НЕЩОДАВНЯ ГЕНЕТИЧНА ІСТОРІЯ:</t>
  </si>
  <si>
    <t>fitnessTitle</t>
  </si>
  <si>
    <t>FITNESS</t>
  </si>
  <si>
    <t>分數</t>
  </si>
  <si>
    <t>分数</t>
  </si>
  <si>
    <t>ПРИГОДНІСТЬ</t>
  </si>
  <si>
    <t>customServerMesssage</t>
  </si>
  <si>
    <t>CUSTOM SERVER:  %s : %d</t>
  </si>
  <si>
    <t>自定義伺服器：%s：%d</t>
  </si>
  <si>
    <t>自定义服务器：%s：%d</t>
  </si>
  <si>
    <t>КАСТОМ СЕРВЕР: %s : %d</t>
  </si>
  <si>
    <t>connecting</t>
  </si>
  <si>
    <t>CONNECTING</t>
  </si>
  <si>
    <t>連線</t>
  </si>
  <si>
    <t>连接</t>
  </si>
  <si>
    <t>ПІДКЛЮЧЕННЯ</t>
  </si>
  <si>
    <t>waitingBirth</t>
  </si>
  <si>
    <t>WAITING TO BE BORN</t>
  </si>
  <si>
    <t>等待出生</t>
  </si>
  <si>
    <t>ЧЕКАЮ НА НАРОДЖЕННЯ</t>
  </si>
  <si>
    <t>waitingBirthFriends</t>
  </si>
  <si>
    <t>WAITING TO BE BORN AS %s</t>
  </si>
  <si>
    <t>作為 %s 等待出生</t>
  </si>
  <si>
    <t>作为 %s 等待出生</t>
  </si>
  <si>
    <t>ОЧІКУЄТЕ НАРОДЖЕННЯ ЯК %s</t>
  </si>
  <si>
    <t>cancelWaitingFriends</t>
  </si>
  <si>
    <t>PRESS [x] KEY TO CANCEL</t>
  </si>
  <si>
    <t>按 [x] 鍵取消</t>
  </si>
  <si>
    <t>按 [x] 键取消</t>
  </si>
  <si>
    <t>НАТИСНІТЬ [x] КЛАВІШУ, ЩОБ СКАСУВАТИ</t>
  </si>
  <si>
    <t>waitingReconnect</t>
  </si>
  <si>
    <t>TRYING TO RECONNECT</t>
  </si>
  <si>
    <t>嘗試重新連線</t>
  </si>
  <si>
    <t>重试重新连接</t>
  </si>
  <si>
    <t>СПРОБА ПЕРЕПІДКЛЮЧЕННЯ</t>
  </si>
  <si>
    <t>waitingArrival</t>
  </si>
  <si>
    <t>CURRENTLY IN TRANSIT</t>
  </si>
  <si>
    <t>目前正在運輸途中</t>
  </si>
  <si>
    <t>目前正在运输</t>
  </si>
  <si>
    <t>ЗАРАЗ В ДОРОЗІ</t>
  </si>
  <si>
    <t>loadingMap</t>
  </si>
  <si>
    <t>LOADING MAP</t>
  </si>
  <si>
    <t>載入地圖</t>
  </si>
  <si>
    <t>载入地图</t>
  </si>
  <si>
    <t>ЗАВАНТАЖИТИ КАРТУ</t>
  </si>
  <si>
    <t>loadingMapFailedMessage</t>
  </si>
  <si>
    <t>FAILED TO LOAD THE MAP.</t>
  </si>
  <si>
    <t>無法載入地圖。</t>
  </si>
  <si>
    <t>无法载入地图。</t>
  </si>
  <si>
    <t>НЕ ВДАЛОСЯ ЗАВАНТАЖИТИ МАПУ.</t>
  </si>
  <si>
    <t>loadingMapFailedSubMessage</t>
  </si>
  <si>
    <t>THE FOLLOWING FILE IS MISSING OR CORRUPTED:##%s####REINSTALLING THE GAME SHOULD FIX THIS PROBLEM.</t>
  </si>
  <si>
    <t>以下文件丟失或損壞：##%s####重新安裝遊戲應該可以解決此問題。</t>
  </si>
  <si>
    <t>以下文件丢失或损坏：##%s####重新安装游戏应该可以解决此问题。</t>
  </si>
  <si>
    <t>НАСТУПНИЙ ФАЙЛ ВІДСУТНІЙ АБО ПОШКОДЖЕНО:##%s#### ПЕРЕВСТАНОВЛЕННЯ ГРИ ВИПРАВЛЯЄ ЦЮ ПРОБЛЕМУ.</t>
  </si>
  <si>
    <t>lastAte</t>
  </si>
  <si>
    <t>ATE</t>
  </si>
  <si>
    <t>吃了</t>
  </si>
  <si>
    <t>ПОЇЛИ</t>
  </si>
  <si>
    <t>lastAtePermanent</t>
  </si>
  <si>
    <t>ATE FROM</t>
  </si>
  <si>
    <t>吃自</t>
  </si>
  <si>
    <t>吃了自</t>
  </si>
  <si>
    <t>ЇЛИ З</t>
  </si>
  <si>
    <t>breastMilk</t>
  </si>
  <si>
    <t>DRANK BREAST MILK</t>
  </si>
  <si>
    <t>喝了母乳</t>
  </si>
  <si>
    <t>ПИВ ГРУДНЕ МОЛОКО</t>
  </si>
  <si>
    <t>you</t>
  </si>
  <si>
    <t>YOU</t>
  </si>
  <si>
    <t>你</t>
  </si>
  <si>
    <t>ВИ</t>
  </si>
  <si>
    <t>eat</t>
  </si>
  <si>
    <t>EAT</t>
  </si>
  <si>
    <t>吃</t>
  </si>
  <si>
    <t>ЇЛИ</t>
  </si>
  <si>
    <t>youWith</t>
  </si>
  <si>
    <t>YOU WITH</t>
  </si>
  <si>
    <t>你和</t>
  </si>
  <si>
    <t>ВИ З</t>
  </si>
  <si>
    <t>youHolding</t>
  </si>
  <si>
    <t>YOU HOLDING</t>
  </si>
  <si>
    <t>你拿着</t>
  </si>
  <si>
    <t>youRiding</t>
  </si>
  <si>
    <t>YOU RIDING</t>
  </si>
  <si>
    <t>你骑着</t>
  </si>
  <si>
    <t>with</t>
  </si>
  <si>
    <t>WITH</t>
  </si>
  <si>
    <t>和</t>
  </si>
  <si>
    <t>З</t>
  </si>
  <si>
    <t>yum</t>
  </si>
  <si>
    <t>YUM</t>
  </si>
  <si>
    <t>好吃</t>
  </si>
  <si>
    <t>СМАЧНО</t>
  </si>
  <si>
    <t>meh</t>
  </si>
  <si>
    <t>MEH</t>
  </si>
  <si>
    <t>難吃</t>
  </si>
  <si>
    <t>难吃</t>
  </si>
  <si>
    <t>МЕХ</t>
  </si>
  <si>
    <t>craving</t>
  </si>
  <si>
    <t>CRAVING</t>
  </si>
  <si>
    <t>渴望</t>
  </si>
  <si>
    <t>СХИБНІСТЬ</t>
  </si>
  <si>
    <t>eatHint</t>
  </si>
  <si>
    <t>MOUTH</t>
  </si>
  <si>
    <t>嘴</t>
  </si>
  <si>
    <t>РОТ</t>
  </si>
  <si>
    <t>bareHandHint</t>
  </si>
  <si>
    <t>BARE HAND</t>
  </si>
  <si>
    <t>空手</t>
  </si>
  <si>
    <t>ГОЛІ РУКИ</t>
  </si>
  <si>
    <t>bareGroundHint</t>
  </si>
  <si>
    <t>BARE GROUND</t>
  </si>
  <si>
    <t>裸露地面</t>
  </si>
  <si>
    <t>ГОЛА ЗЕМЛЯ</t>
  </si>
  <si>
    <t>nothingHint</t>
  </si>
  <si>
    <t>NOTHING</t>
  </si>
  <si>
    <t>啥物攏無</t>
  </si>
  <si>
    <t>空无一物</t>
  </si>
  <si>
    <t>НІЧОГО</t>
  </si>
  <si>
    <t>eventuallyHint</t>
  </si>
  <si>
    <t>(EVENTUALLY)</t>
  </si>
  <si>
    <t>（最終）</t>
  </si>
  <si>
    <t>（最终）</t>
  </si>
  <si>
    <t>(ЗГОДОМ)</t>
  </si>
  <si>
    <t>noHint</t>
  </si>
  <si>
    <t>NO INFORMATION"</t>
  </si>
  <si>
    <t>無資訊</t>
  </si>
  <si>
    <t>无信息</t>
  </si>
  <si>
    <t>НЕМАЄ ІНФОРМАЦІЇ"</t>
  </si>
  <si>
    <t>ofHint</t>
  </si>
  <si>
    <t>OF</t>
  </si>
  <si>
    <t>/</t>
  </si>
  <si>
    <t>tabHint</t>
  </si>
  <si>
    <t>[TAB]</t>
  </si>
  <si>
    <t>enterHint</t>
  </si>
  <si>
    <t>[ENTER]</t>
  </si>
  <si>
    <t>making</t>
  </si>
  <si>
    <t>MAKING:</t>
  </si>
  <si>
    <t>製作：</t>
  </si>
  <si>
    <t>制作：</t>
  </si>
  <si>
    <t>ВИРОБНИЦТВО:</t>
  </si>
  <si>
    <t>notRelevant</t>
  </si>
  <si>
    <t>(%s NOT RELEVANT)</t>
  </si>
  <si>
    <t>（%s 不相關）</t>
  </si>
  <si>
    <t>（%s 不相关）</t>
  </si>
  <si>
    <t>noMatch</t>
  </si>
  <si>
    <t>(NO FILTER MATCH)</t>
  </si>
  <si>
    <t>（無過濾器匹配）</t>
  </si>
  <si>
    <t>（无过滤器匹配）</t>
  </si>
  <si>
    <t>(НЕМАЄ ВІДПОВІДНОСТІ ФІЛЬТРУ)</t>
  </si>
  <si>
    <t>your</t>
  </si>
  <si>
    <t>YOUR</t>
  </si>
  <si>
    <t>你的</t>
  </si>
  <si>
    <t>ВАШ</t>
  </si>
  <si>
    <t>of</t>
  </si>
  <si>
    <t>來自於</t>
  </si>
  <si>
    <t>的</t>
  </si>
  <si>
    <t>ownedBy</t>
  </si>
  <si>
    <t>OWNED BY</t>
  </si>
  <si>
    <t>擁有者：</t>
  </si>
  <si>
    <t>主人：</t>
  </si>
  <si>
    <t>НАЛЕЖИТЬ</t>
  </si>
  <si>
    <t>mother</t>
  </si>
  <si>
    <t>MOTHER</t>
  </si>
  <si>
    <t>母親</t>
  </si>
  <si>
    <t>母亲</t>
  </si>
  <si>
    <t>МАТЕРІ</t>
  </si>
  <si>
    <t>son</t>
  </si>
  <si>
    <t>SON</t>
  </si>
  <si>
    <t>兒子</t>
  </si>
  <si>
    <t>儿子</t>
  </si>
  <si>
    <t>СИН</t>
  </si>
  <si>
    <t>daughter</t>
  </si>
  <si>
    <t>DAUGHTER</t>
  </si>
  <si>
    <t>女兒</t>
  </si>
  <si>
    <t>女儿</t>
  </si>
  <si>
    <t>ДОЧКА</t>
  </si>
  <si>
    <t>grand</t>
  </si>
  <si>
    <t>GRAND</t>
  </si>
  <si>
    <t>祖</t>
  </si>
  <si>
    <t>曾</t>
  </si>
  <si>
    <t>ВЕЛИКИЙ</t>
  </si>
  <si>
    <t>great</t>
  </si>
  <si>
    <t xml:space="preserve">GREAT </t>
  </si>
  <si>
    <t>brother</t>
  </si>
  <si>
    <t>BROTHER</t>
  </si>
  <si>
    <t>兄弟</t>
  </si>
  <si>
    <t>БРАТ</t>
  </si>
  <si>
    <t>sister</t>
  </si>
  <si>
    <t>SISTER</t>
  </si>
  <si>
    <t>姐妹</t>
  </si>
  <si>
    <t>СЕСТРА</t>
  </si>
  <si>
    <t>little</t>
  </si>
  <si>
    <t>LITTLE</t>
  </si>
  <si>
    <t>小的</t>
  </si>
  <si>
    <t>МАЛЕНЬКА</t>
  </si>
  <si>
    <t>big</t>
  </si>
  <si>
    <t>BIG</t>
  </si>
  <si>
    <t>大的</t>
  </si>
  <si>
    <t>twin</t>
  </si>
  <si>
    <t>TWIN</t>
  </si>
  <si>
    <t>БЛИЗНЮК</t>
  </si>
  <si>
    <t>identical</t>
  </si>
  <si>
    <t>IDENTICAL</t>
  </si>
  <si>
    <t>完全相同的</t>
  </si>
  <si>
    <t>相同的</t>
  </si>
  <si>
    <t>ІДЕНТИЧНИЙ</t>
  </si>
  <si>
    <t>aunt</t>
  </si>
  <si>
    <t>AUNT</t>
  </si>
  <si>
    <t>阿姨</t>
  </si>
  <si>
    <t>ТІТОЧКА</t>
  </si>
  <si>
    <t>uncle</t>
  </si>
  <si>
    <t>UNCLE</t>
  </si>
  <si>
    <t>叔叔</t>
  </si>
  <si>
    <t>ДЯДЬКО</t>
  </si>
  <si>
    <t>niece</t>
  </si>
  <si>
    <t>NIECE</t>
  </si>
  <si>
    <t>侄女</t>
  </si>
  <si>
    <t>ПЛЕМІННИК</t>
  </si>
  <si>
    <t>nephew</t>
  </si>
  <si>
    <t>NEPHEW</t>
  </si>
  <si>
    <t>侄子</t>
  </si>
  <si>
    <t>cousin</t>
  </si>
  <si>
    <t>COUSIN</t>
  </si>
  <si>
    <t>表親</t>
  </si>
  <si>
    <t>表亲</t>
  </si>
  <si>
    <t>ДВОЮРІДНА СЕСТРА</t>
  </si>
  <si>
    <t>1th</t>
  </si>
  <si>
    <t>FIRST</t>
  </si>
  <si>
    <t>第一</t>
  </si>
  <si>
    <t>ПЕРШИЙ</t>
  </si>
  <si>
    <t>2th</t>
  </si>
  <si>
    <t>SECOND</t>
  </si>
  <si>
    <t>第二</t>
  </si>
  <si>
    <t>ДРУГИЙ</t>
  </si>
  <si>
    <t>3th</t>
  </si>
  <si>
    <t>THIRD</t>
  </si>
  <si>
    <t>第三</t>
  </si>
  <si>
    <t>ТРЕТІЙ</t>
  </si>
  <si>
    <t>4th</t>
  </si>
  <si>
    <t>FOURTH</t>
  </si>
  <si>
    <t>第四</t>
  </si>
  <si>
    <t>ЧЕТВЕРТА</t>
  </si>
  <si>
    <t>5th</t>
  </si>
  <si>
    <t>FIFTH</t>
  </si>
  <si>
    <t>第五</t>
  </si>
  <si>
    <t>П'ЯТИЙ</t>
  </si>
  <si>
    <t>6th</t>
  </si>
  <si>
    <t>SIXTH</t>
  </si>
  <si>
    <t>第六</t>
  </si>
  <si>
    <t>ШОСТИЙ</t>
  </si>
  <si>
    <t>7th</t>
  </si>
  <si>
    <t>SEVENTH</t>
  </si>
  <si>
    <t>第七</t>
  </si>
  <si>
    <t>СЬОМИЙ</t>
  </si>
  <si>
    <t>8th</t>
  </si>
  <si>
    <t>EIGHTH</t>
  </si>
  <si>
    <t>第八</t>
  </si>
  <si>
    <t>ВОСЬМИЙ</t>
  </si>
  <si>
    <t>9th</t>
  </si>
  <si>
    <t>NINTH</t>
  </si>
  <si>
    <t>第九</t>
  </si>
  <si>
    <t>ДЕВ'ЯТИЙ</t>
  </si>
  <si>
    <t>10th</t>
  </si>
  <si>
    <t>TENTH</t>
  </si>
  <si>
    <t>第十</t>
  </si>
  <si>
    <t>ДЕСЯТА</t>
  </si>
  <si>
    <t>11th</t>
  </si>
  <si>
    <t>ELEVENTH</t>
  </si>
  <si>
    <t>第十一</t>
  </si>
  <si>
    <t>ОДИНАДЦЯТИЙ</t>
  </si>
  <si>
    <t>12th</t>
  </si>
  <si>
    <t>TWELFTH</t>
  </si>
  <si>
    <t>第十二</t>
  </si>
  <si>
    <t>ДВАНАДЦЯТИЙ</t>
  </si>
  <si>
    <t>13th</t>
  </si>
  <si>
    <t>THIRTEENTH</t>
  </si>
  <si>
    <t>第十三</t>
  </si>
  <si>
    <t>ТРИНАДЦЯТИЙ</t>
  </si>
  <si>
    <t>14th</t>
  </si>
  <si>
    <t>FOURTEENTH</t>
  </si>
  <si>
    <t>第十四</t>
  </si>
  <si>
    <t>ЧОТИРНАДЦЯТИЙ</t>
  </si>
  <si>
    <t>15th</t>
  </si>
  <si>
    <t>FIFTEENTH</t>
  </si>
  <si>
    <t>第十五</t>
  </si>
  <si>
    <t>П'ЯТНАДЦЯТИЙ</t>
  </si>
  <si>
    <t>16th</t>
  </si>
  <si>
    <t>SIXTEENTH</t>
  </si>
  <si>
    <t>第十六</t>
  </si>
  <si>
    <t>ШІСТНАДЦЯТИЙ</t>
  </si>
  <si>
    <t>17th</t>
  </si>
  <si>
    <t>SEVENTEENTH</t>
  </si>
  <si>
    <t>第十七</t>
  </si>
  <si>
    <t>СІМНАДЦЯТИЙ</t>
  </si>
  <si>
    <t>18th</t>
  </si>
  <si>
    <t>EIGHTEENTH</t>
  </si>
  <si>
    <t>第十八</t>
  </si>
  <si>
    <t>ВІСІМНАДЦЯТИЙ</t>
  </si>
  <si>
    <t>19th</t>
  </si>
  <si>
    <t>NINETEENTH</t>
  </si>
  <si>
    <t>第十九</t>
  </si>
  <si>
    <t>ДЕВ'ЯТНАДЦЯТИЙ</t>
  </si>
  <si>
    <t>20th</t>
  </si>
  <si>
    <t>TWENTIETH</t>
  </si>
  <si>
    <t>第二十</t>
  </si>
  <si>
    <t>ДВАДЦЯТИЙ</t>
  </si>
  <si>
    <t>twentyHyphen</t>
  </si>
  <si>
    <t>TWENTY-</t>
  </si>
  <si>
    <t>二十</t>
  </si>
  <si>
    <t>二十-</t>
  </si>
  <si>
    <t>distant</t>
  </si>
  <si>
    <t>DISTANT</t>
  </si>
  <si>
    <t>遠房親戚</t>
  </si>
  <si>
    <t>远房亲戚</t>
  </si>
  <si>
    <t>ВІДДАЛЕНИЙ</t>
  </si>
  <si>
    <t>removed</t>
  </si>
  <si>
    <t>REMOVED</t>
  </si>
  <si>
    <t>輩份差</t>
  </si>
  <si>
    <t>辈分</t>
  </si>
  <si>
    <t>ВИДАЛЕНО</t>
  </si>
  <si>
    <t>1Times</t>
  </si>
  <si>
    <t>ONCE</t>
  </si>
  <si>
    <t>一次</t>
  </si>
  <si>
    <t>РАЗ</t>
  </si>
  <si>
    <t>2Times</t>
  </si>
  <si>
    <t>TWICE</t>
  </si>
  <si>
    <t>兩次</t>
  </si>
  <si>
    <t>两次</t>
  </si>
  <si>
    <t>ДВІЧІ</t>
  </si>
  <si>
    <t>3Times</t>
  </si>
  <si>
    <t>THRICE</t>
  </si>
  <si>
    <t>三次</t>
  </si>
  <si>
    <t>ТРИЧІ</t>
  </si>
  <si>
    <t>4Times</t>
  </si>
  <si>
    <t>FOUR TIMES</t>
  </si>
  <si>
    <t>四次</t>
  </si>
  <si>
    <t>ЧОТИРИ РАЗИ</t>
  </si>
  <si>
    <t>5Times</t>
  </si>
  <si>
    <t>FIVE TIMES</t>
  </si>
  <si>
    <t>五次</t>
  </si>
  <si>
    <t>П'ЯТЬ РАЗІВ</t>
  </si>
  <si>
    <t>6Times</t>
  </si>
  <si>
    <t>SIX TIMES</t>
  </si>
  <si>
    <t>六次</t>
  </si>
  <si>
    <t>ШІСТЬ РАЗІВ</t>
  </si>
  <si>
    <t>7Times</t>
  </si>
  <si>
    <t>SEVEN TIMES</t>
  </si>
  <si>
    <t>七次</t>
  </si>
  <si>
    <t>СІМ РАЗІВ</t>
  </si>
  <si>
    <t>8Times</t>
  </si>
  <si>
    <t>EIGHT TIMES</t>
  </si>
  <si>
    <t>八次</t>
  </si>
  <si>
    <t>ВІСІМ РАЗІВ</t>
  </si>
  <si>
    <t>9Times</t>
  </si>
  <si>
    <t>NINE TIMES</t>
  </si>
  <si>
    <t>九次</t>
  </si>
  <si>
    <t>ДЕВ'ЯТЬ РАЗІВ</t>
  </si>
  <si>
    <t>manyTimes</t>
  </si>
  <si>
    <t>MANY TIMES</t>
  </si>
  <si>
    <t>多次</t>
  </si>
  <si>
    <t>БАГАТО РАЗІВ</t>
  </si>
  <si>
    <t>unrelated</t>
  </si>
  <si>
    <t>NO RELATION</t>
  </si>
  <si>
    <t>沒有關係</t>
  </si>
  <si>
    <t>没有关系</t>
  </si>
  <si>
    <t>НІЯКОГО ВІДНОШЕННЯ</t>
  </si>
  <si>
    <t>distantRelative</t>
  </si>
  <si>
    <t>DISTANT RELATIVE</t>
  </si>
  <si>
    <t>遠親</t>
  </si>
  <si>
    <t>远亲</t>
  </si>
  <si>
    <t>ДАЛЕКИЙ РОДИЧ</t>
  </si>
  <si>
    <t>namelessPerson</t>
  </si>
  <si>
    <t>NAMELESS PERSON</t>
  </si>
  <si>
    <t>無名者</t>
  </si>
  <si>
    <t>无名氏</t>
  </si>
  <si>
    <t>БЕЗІМЕННА ОСОБА</t>
  </si>
  <si>
    <t>forgottenPerson</t>
  </si>
  <si>
    <t>FORGOTTEN PERSON</t>
  </si>
  <si>
    <t>被遺忘的人</t>
  </si>
  <si>
    <t>被遗忘的人</t>
  </si>
  <si>
    <t>ЗАБУТА ОСОБА</t>
  </si>
  <si>
    <t>unknownPerson</t>
  </si>
  <si>
    <t>UNKNOWN PERSON</t>
  </si>
  <si>
    <t>不明身份的人</t>
  </si>
  <si>
    <t>НЕВІДОМА ОСОБА</t>
  </si>
  <si>
    <t>yearAgo</t>
  </si>
  <si>
    <t>YEAR AGO</t>
  </si>
  <si>
    <t>年前</t>
  </si>
  <si>
    <t>РІК ТОМУ</t>
  </si>
  <si>
    <t>yearsAgo</t>
  </si>
  <si>
    <t>YEARS AGO</t>
  </si>
  <si>
    <t>РОКИ ТОМУ</t>
  </si>
  <si>
    <t>decadesAgo</t>
  </si>
  <si>
    <t>DECADES AGO</t>
  </si>
  <si>
    <t>十年前</t>
  </si>
  <si>
    <t>ДЕСЯТИЛІТТЯ ТОМУ</t>
  </si>
  <si>
    <t>centuriesAgo</t>
  </si>
  <si>
    <t>CENTURIES AGO</t>
  </si>
  <si>
    <t>世紀前</t>
  </si>
  <si>
    <t>世纪前</t>
  </si>
  <si>
    <t>СТОЛІТТЯ ТОМУ</t>
  </si>
  <si>
    <t>millenniaAgo</t>
  </si>
  <si>
    <t>MILLENNIA AGO</t>
  </si>
  <si>
    <t>千年前</t>
  </si>
  <si>
    <t>ТИСЯЧІ РОКІВ ТОМУ</t>
  </si>
  <si>
    <t>made</t>
  </si>
  <si>
    <t>MADE</t>
  </si>
  <si>
    <t>被製成：</t>
  </si>
  <si>
    <t>被制成：</t>
  </si>
  <si>
    <t>ЗРОДИВСЯ</t>
  </si>
  <si>
    <t>died</t>
  </si>
  <si>
    <t>DIED</t>
  </si>
  <si>
    <t>死於</t>
  </si>
  <si>
    <t>已死亡</t>
  </si>
  <si>
    <t>ПОМЕР</t>
  </si>
  <si>
    <t>zero</t>
  </si>
  <si>
    <t>ZERO</t>
  </si>
  <si>
    <t>零</t>
  </si>
  <si>
    <t>НУЛЬ</t>
  </si>
  <si>
    <t>one</t>
  </si>
  <si>
    <t>ONE</t>
  </si>
  <si>
    <t>一</t>
  </si>
  <si>
    <t>ОДИН</t>
  </si>
  <si>
    <t>two</t>
  </si>
  <si>
    <t>TWO</t>
  </si>
  <si>
    <t>二</t>
  </si>
  <si>
    <t>ДВА</t>
  </si>
  <si>
    <t>three</t>
  </si>
  <si>
    <t>THREE</t>
  </si>
  <si>
    <t>三</t>
  </si>
  <si>
    <t>ТРИ</t>
  </si>
  <si>
    <t>four</t>
  </si>
  <si>
    <t>FOUR</t>
  </si>
  <si>
    <t>四</t>
  </si>
  <si>
    <t>ЧОТИРИ</t>
  </si>
  <si>
    <t>five</t>
  </si>
  <si>
    <t>FIVE</t>
  </si>
  <si>
    <t>五</t>
  </si>
  <si>
    <t>П'ЯТЬ</t>
  </si>
  <si>
    <t>six</t>
  </si>
  <si>
    <t>SIX</t>
  </si>
  <si>
    <t>六</t>
  </si>
  <si>
    <t>ШІСТЬ</t>
  </si>
  <si>
    <t>seven</t>
  </si>
  <si>
    <t>SEVEN</t>
  </si>
  <si>
    <t>七</t>
  </si>
  <si>
    <t>СІМ</t>
  </si>
  <si>
    <t>eight</t>
  </si>
  <si>
    <t>EIGHT</t>
  </si>
  <si>
    <t>八</t>
  </si>
  <si>
    <t>ВІСІМ</t>
  </si>
  <si>
    <t>nine</t>
  </si>
  <si>
    <t>NINE</t>
  </si>
  <si>
    <t>九</t>
  </si>
  <si>
    <t>ДЕВ'ЯТЬ</t>
  </si>
  <si>
    <t>ten</t>
  </si>
  <si>
    <t>TEN</t>
  </si>
  <si>
    <t>十</t>
  </si>
  <si>
    <t>ДЕСЯТЬ</t>
  </si>
  <si>
    <t>eleven</t>
  </si>
  <si>
    <t>ELEVEN</t>
  </si>
  <si>
    <t>十一</t>
  </si>
  <si>
    <t>ОДИНАДЦЯТЬ</t>
  </si>
  <si>
    <t>twelve</t>
  </si>
  <si>
    <t>TWELVE</t>
  </si>
  <si>
    <t>十二</t>
  </si>
  <si>
    <t>ДВАДЦЯТЬ</t>
  </si>
  <si>
    <t>thirteen</t>
  </si>
  <si>
    <t>THIRTEEN</t>
  </si>
  <si>
    <t>十三</t>
  </si>
  <si>
    <t>ТРИНАДЦЯТЬ</t>
  </si>
  <si>
    <t>fourteen</t>
  </si>
  <si>
    <t>FOURTEEN</t>
  </si>
  <si>
    <t>十四</t>
  </si>
  <si>
    <t>ЧОТИРНАДЦЯТЬ</t>
  </si>
  <si>
    <t>fifteen</t>
  </si>
  <si>
    <t>FIFTEEN</t>
  </si>
  <si>
    <t>十五</t>
  </si>
  <si>
    <t>П'ЯТНАДЦЯТЬ</t>
  </si>
  <si>
    <t>sixteen</t>
  </si>
  <si>
    <t>SIXTEEN</t>
  </si>
  <si>
    <t>十六</t>
  </si>
  <si>
    <t>ШІСТНАДЦЯТЬ</t>
  </si>
  <si>
    <t>seventeen</t>
  </si>
  <si>
    <t>SEVENTEEN</t>
  </si>
  <si>
    <t>十七</t>
  </si>
  <si>
    <t>СІМНАДЦЯТЬ</t>
  </si>
  <si>
    <t>eighteen</t>
  </si>
  <si>
    <t>EIGHTEEN</t>
  </si>
  <si>
    <t>十八</t>
  </si>
  <si>
    <t>ВІСІМНАДЦЯТЬ</t>
  </si>
  <si>
    <t>nineteen</t>
  </si>
  <si>
    <t>NINETEEN</t>
  </si>
  <si>
    <t>十九</t>
  </si>
  <si>
    <t>ДЕВ'ЯТНАДЦЯТЬ</t>
  </si>
  <si>
    <t>twenty</t>
  </si>
  <si>
    <t>TWENTY</t>
  </si>
  <si>
    <t>thirty</t>
  </si>
  <si>
    <t>THIRTY</t>
  </si>
  <si>
    <t>三十</t>
  </si>
  <si>
    <t>ТРИДЦЯТЬ</t>
  </si>
  <si>
    <t>forty</t>
  </si>
  <si>
    <t>FORTY</t>
  </si>
  <si>
    <t>四十</t>
  </si>
  <si>
    <t>СОРОК</t>
  </si>
  <si>
    <t>fifty</t>
  </si>
  <si>
    <t>FIFTY</t>
  </si>
  <si>
    <t>五十</t>
  </si>
  <si>
    <t>П'ЯТДЕСЯТ</t>
  </si>
  <si>
    <t>sixty</t>
  </si>
  <si>
    <t>SIXTY</t>
  </si>
  <si>
    <t>六十</t>
  </si>
  <si>
    <t>ШІСТДЕСЯТ</t>
  </si>
  <si>
    <t>seventy</t>
  </si>
  <si>
    <t>SEVENTY</t>
  </si>
  <si>
    <t>七十</t>
  </si>
  <si>
    <t>СІМДЕСЯТ</t>
  </si>
  <si>
    <t>eighty</t>
  </si>
  <si>
    <t>EIGHTY</t>
  </si>
  <si>
    <t>八十</t>
  </si>
  <si>
    <t>ninety</t>
  </si>
  <si>
    <t>NINETY</t>
  </si>
  <si>
    <t>九十</t>
  </si>
  <si>
    <t>ДЕВ'ЯНОСТО</t>
  </si>
  <si>
    <t>hundred</t>
  </si>
  <si>
    <t>HUNDRED</t>
  </si>
  <si>
    <t>百</t>
  </si>
  <si>
    <t>СТО</t>
  </si>
  <si>
    <t>thousand</t>
  </si>
  <si>
    <t>THOUSAND</t>
  </si>
  <si>
    <t>千</t>
  </si>
  <si>
    <t>ТИСЯЧА</t>
  </si>
  <si>
    <t>million</t>
  </si>
  <si>
    <t>MILLION</t>
  </si>
  <si>
    <t>百萬</t>
  </si>
  <si>
    <t>百万</t>
  </si>
  <si>
    <t>МІЛЬЙОН</t>
  </si>
  <si>
    <t>billion</t>
  </si>
  <si>
    <t>BILLION</t>
  </si>
  <si>
    <t>十億</t>
  </si>
  <si>
    <t>十亿</t>
  </si>
  <si>
    <t>МІЛЬЯРДІВ</t>
  </si>
  <si>
    <t>and</t>
  </si>
  <si>
    <t xml:space="preserve"> AND</t>
  </si>
  <si>
    <t>І</t>
  </si>
  <si>
    <t>metersAway</t>
  </si>
  <si>
    <t>METERS AWAY</t>
  </si>
  <si>
    <t>公尺外</t>
  </si>
  <si>
    <t>米外</t>
  </si>
  <si>
    <t>МЕТРІВ ВІД ТЕБЕ</t>
  </si>
  <si>
    <t>map</t>
  </si>
  <si>
    <t>MAP</t>
  </si>
  <si>
    <t>地圖</t>
  </si>
  <si>
    <t>地图</t>
  </si>
  <si>
    <t>КАРТА</t>
  </si>
  <si>
    <t>dieCommand</t>
  </si>
  <si>
    <t>/DIE</t>
  </si>
  <si>
    <t>/DIE/</t>
  </si>
  <si>
    <t>fpsCommand</t>
  </si>
  <si>
    <t>/FPS</t>
  </si>
  <si>
    <t xml:space="preserve">/FPS </t>
  </si>
  <si>
    <t>netCommand</t>
  </si>
  <si>
    <t>/NETWORK</t>
  </si>
  <si>
    <t>pingCommand</t>
  </si>
  <si>
    <t>/PING</t>
  </si>
  <si>
    <t>disconnectCommand</t>
  </si>
  <si>
    <t>/DISCONNECT</t>
  </si>
  <si>
    <t>helpCommand</t>
  </si>
  <si>
    <t>/HELP</t>
  </si>
  <si>
    <t>fps</t>
  </si>
  <si>
    <t>FPS</t>
  </si>
  <si>
    <t>fpsPending</t>
  </si>
  <si>
    <t>FPS...</t>
  </si>
  <si>
    <t>spritesDrawn</t>
  </si>
  <si>
    <t>spt drw</t>
  </si>
  <si>
    <t>spt drw 图元绘制</t>
  </si>
  <si>
    <t>uniqueSprites</t>
  </si>
  <si>
    <t>unq drw</t>
  </si>
  <si>
    <t>unq drw 唯一图元</t>
  </si>
  <si>
    <t>pixelsDrawn</t>
  </si>
  <si>
    <t>pixels</t>
  </si>
  <si>
    <t>像素</t>
  </si>
  <si>
    <t>pixels (пікселі)</t>
  </si>
  <si>
    <t>netPending</t>
  </si>
  <si>
    <t>NET...</t>
  </si>
  <si>
    <t>网络带宽...</t>
  </si>
  <si>
    <t>netStringA</t>
  </si>
  <si>
    <t>MSG/SEC:   %3d UP : %4d DN"</t>
  </si>
  <si>
    <t>MSG/SEC：%3d 上：%4d 下</t>
  </si>
  <si>
    <t>MSG/SEC: %3d UP : %4d DN"</t>
  </si>
  <si>
    <t>netStringB</t>
  </si>
  <si>
    <t>BYTES/SEC: %3d UP : %4d DN"</t>
  </si>
  <si>
    <t>BYTES/SEC：%3d 上：%4d 下</t>
  </si>
  <si>
    <t>ping</t>
  </si>
  <si>
    <t>PING</t>
  </si>
  <si>
    <t>ms</t>
  </si>
  <si>
    <t>MS</t>
  </si>
  <si>
    <t>youDied</t>
  </si>
  <si>
    <t>YOU DIED</t>
  </si>
  <si>
    <t>你死了</t>
  </si>
  <si>
    <t>ВИ ПОМЕРЛИ</t>
  </si>
  <si>
    <t>deathAgeOne</t>
  </si>
  <si>
    <t>AGE:  1 YEAR</t>
  </si>
  <si>
    <t>年齡：1 歲</t>
  </si>
  <si>
    <t>年龄：1 岁</t>
  </si>
  <si>
    <t>ВІК:  1 РІК</t>
  </si>
  <si>
    <t>deathAge</t>
  </si>
  <si>
    <t>AGE:  %d YEARS</t>
  </si>
  <si>
    <t>年齡：%d歲</t>
  </si>
  <si>
    <t>年龄：%d 岁</t>
  </si>
  <si>
    <t>ВІК:  %d РОКІВ</t>
  </si>
  <si>
    <t>reasonDisconnected</t>
  </si>
  <si>
    <t>CAUSE:  CONNECTION LOST</t>
  </si>
  <si>
    <t>原因：連線失敗</t>
  </si>
  <si>
    <t>原因：连接失败</t>
  </si>
  <si>
    <t>ПРИЧИНА: ВТРАЧЕНО ЗВ'ЯЗОК</t>
  </si>
  <si>
    <t>reasonHunger</t>
  </si>
  <si>
    <t>CAUSE:  STARVATION</t>
  </si>
  <si>
    <t>原因：餓死</t>
  </si>
  <si>
    <t>原因：饿死</t>
  </si>
  <si>
    <t>ПРИЧИНА: ГОЛОДУВАННЯ</t>
  </si>
  <si>
    <t>reasonNursingHunger</t>
  </si>
  <si>
    <t>CAUSE:  NURSING STARVATION</t>
  </si>
  <si>
    <t>原因：於懷中餓死</t>
  </si>
  <si>
    <t>原因：怀中饿死</t>
  </si>
  <si>
    <t>ПРИЧИНА: ГОЛОДНЕ ВИГОДОВУВАННЯ</t>
  </si>
  <si>
    <t>reasonKilled</t>
  </si>
  <si>
    <t xml:space="preserve">CAUSE:  KILLED BY </t>
  </si>
  <si>
    <t>原因：被殺：</t>
  </si>
  <si>
    <t>原因：被杀死于：</t>
  </si>
  <si>
    <t>ПРИЧИНА: ВБИТИЙ</t>
  </si>
  <si>
    <t>reasonKilledUnknown</t>
  </si>
  <si>
    <t>CAUSE:  KILLED BY UNKNOWN WEAPON</t>
  </si>
  <si>
    <t>原因：被不明武器殺死：</t>
  </si>
  <si>
    <t>原因：被不明武器杀死</t>
  </si>
  <si>
    <t>ПРИЧИНА: ВБИТО НЕВІДОМОЮ ЗБРОЄЮ</t>
  </si>
  <si>
    <t>reasonSuccumbed</t>
  </si>
  <si>
    <t xml:space="preserve">CAUSE:  SUCCUMBED TO </t>
  </si>
  <si>
    <t>原因：死於：</t>
  </si>
  <si>
    <t>原因：死于：</t>
  </si>
  <si>
    <t>ПРИЧИНА: ПОМЕР ВІД</t>
  </si>
  <si>
    <t>reasonSuccumbedUnknown</t>
  </si>
  <si>
    <t>CAUSE:  SUCCUMBED TO UNKNOWN SICKNESS</t>
  </si>
  <si>
    <t>原因：死於不明疾病：</t>
  </si>
  <si>
    <t>原因：死于不明疾病</t>
  </si>
  <si>
    <t>ПРИЧИНА: ПОМЕР ВІД НЕВІДОМОЇ ХВОРОБИ</t>
  </si>
  <si>
    <t>reasonOldAge</t>
  </si>
  <si>
    <t>CAUSE:  OLD AGE</t>
  </si>
  <si>
    <t>原因：年老</t>
  </si>
  <si>
    <t>ПРИЧИНА:  ПОХИЛИЙ ВІК</t>
  </si>
  <si>
    <t>reasonSID</t>
  </si>
  <si>
    <t>CAUSE:  SUDDEN INFANT DEATH</t>
  </si>
  <si>
    <t>原因：嬰兒猝死</t>
  </si>
  <si>
    <t>原因：婴儿猝死</t>
  </si>
  <si>
    <t>ПРИЧИНА: РАПТОВА ДИТЯЧА СМЕРТЬ</t>
  </si>
  <si>
    <t>reasonUnknown</t>
  </si>
  <si>
    <t>CAUSE:  UNKNOWN</t>
  </si>
  <si>
    <t>原因：未知</t>
  </si>
  <si>
    <t>ПРИЧИНА: НЕВІДОМА</t>
  </si>
  <si>
    <t>reasonApocalypse</t>
  </si>
  <si>
    <t>CAUSE:  THE APOCALYPSE</t>
  </si>
  <si>
    <t>原因：末日</t>
  </si>
  <si>
    <t>ПРИЧИНА: АПОКАЛІПСИС</t>
  </si>
  <si>
    <t>connectionLost</t>
  </si>
  <si>
    <t>CONNECTION LOST</t>
  </si>
  <si>
    <t>ЗВ'ЯЗОК ВТРАЧЕНО</t>
  </si>
  <si>
    <t>willTryReconnect</t>
  </si>
  <si>
    <t>PRESS OK TO TRY RECONNECTING</t>
  </si>
  <si>
    <t>按'確定'嘗試重新連線</t>
  </si>
  <si>
    <t>按'确定'尝试重连</t>
  </si>
  <si>
    <t>НАТИСНІТЬ OK, ЩОБ СПРОБУВАТИ ПЕРЕПІДКЛЮЧИТИСЯ</t>
  </si>
  <si>
    <t>okay</t>
  </si>
  <si>
    <t>OK</t>
  </si>
  <si>
    <t>確定</t>
  </si>
  <si>
    <t>确定</t>
  </si>
  <si>
    <t>ОК</t>
  </si>
  <si>
    <t>quit</t>
  </si>
  <si>
    <t>QUIT</t>
  </si>
  <si>
    <t>離開</t>
  </si>
  <si>
    <t>离开</t>
  </si>
  <si>
    <t>ВИЙТИ</t>
  </si>
  <si>
    <t>reborn</t>
  </si>
  <si>
    <t>GET REBORN</t>
  </si>
  <si>
    <t>重生</t>
  </si>
  <si>
    <t>ВІДНОВИТИСЯ</t>
  </si>
  <si>
    <t>tutorial</t>
  </si>
  <si>
    <t>TUTORIAL</t>
  </si>
  <si>
    <t>教程</t>
  </si>
  <si>
    <t>ПІДРУЧНИК</t>
  </si>
  <si>
    <t>restartTutorial</t>
  </si>
  <si>
    <t>RESTART TUTORIAL</t>
  </si>
  <si>
    <t>重啟教程</t>
  </si>
  <si>
    <t>重玩教程</t>
  </si>
  <si>
    <t>ПЕРЕЗАПУСТИТИ ПІДРУЧНИК</t>
  </si>
  <si>
    <t>menu</t>
  </si>
  <si>
    <t>MENU</t>
  </si>
  <si>
    <t>選單</t>
  </si>
  <si>
    <t>菜单</t>
  </si>
  <si>
    <t>МЕНЮ</t>
  </si>
  <si>
    <t>bugMessage1a</t>
  </si>
  <si>
    <t>WILD BUG APPEARED!####AFTER THIS LIFE IS OVER,##PLEASE QUIT AND EMAIL LATEST RECORDED-GAME FILE TO:</t>
  </si>
  <si>
    <t>野生錯誤出現了！####此生結束後，##請退出並將最新錄製的遊戲文件通過電子郵件發送至：</t>
  </si>
  <si>
    <t>野生错误出现了！####此生结束后，##请退出并将最新录制的游戏文件通过电子邮件发送至：</t>
  </si>
  <si>
    <t>ВИНИКЛА ДИКА ПОМИЛКА! ####ПІСЛЯ ЗАВЕРШЕННЯ ЦЬОГО ЖИТТЯ, ##БУДЬ ЛАСКА, ВИЙДІТЬ З ГРИ ТА НАДІШЛІТЬ ОСТАННІЙ ФАЙЛ ГРИ НА АДРЕСУ:</t>
  </si>
  <si>
    <t>bugMessage1b</t>
  </si>
  <si>
    <t>WILD BUG APPEARED!####AFTER THIS LIFE IS OVER,##PLEASE QUIT AND EMAIL LATEST RECORDED-GAME FILE##AND STDOUT.TXT FILE TO:</t>
  </si>
  <si>
    <t>野生錯誤出現了！####此生結束後，##請退出並將最新錄製的遊戲文件##和 STDOUT.TXT 文件通過電子郵件發送至：</t>
  </si>
  <si>
    <t>野生错误出现了！####此生结束后，##请退出并将最新录制的游戏文件##和 STDOUT.TXT 文件通过电子邮件发送至：</t>
  </si>
  <si>
    <t>ВИНИКЛА ДИКА ПОМИЛКА! ####ПІСЛЯ ЗАВЕРШЕННЯ ГРИ, БУДЬ ЛАСКА, ВИЙДІТЬ З ГРИ ТА НАДІШЛІТЬ ОСТАННІЙ ЗАПИСАНИЙ ФАЙЛ ГРИ І ФАЙЛ STDOUT.TXT НА АДРЕСУ::</t>
  </si>
  <si>
    <t>bugMessage1c</t>
  </si>
  <si>
    <t>WILD BUG APPEARED!####AFTER THIS LIFE IS OVER,##PLEASE QUIT AND EMAIL STDOUT.TXT FILE TO:</t>
  </si>
  <si>
    <t>野生錯誤出現了！####此生結束後，##請退出並將 STDOUT.TXT 文件通過電子郵件發送至：</t>
  </si>
  <si>
    <t>野生错误出现了！####此生结束后，##请退出并将 STDOUT.TXT 文件通过电子邮件发送至：</t>
  </si>
  <si>
    <t>З'ЯВИЛАСЯ ДИКА ПОМИЛКА! ####ПІСЛЯ ЗАВЕРШЕННЯ ГРИ, БУДЬ ЛАСКА, ВИЙДІТЬ З ГРИ ТА НАДІШЛІТЬ ФАЙЛ STDOUT.TXT НА АДРЕСУ:</t>
  </si>
  <si>
    <t>bugMessage2</t>
  </si>
  <si>
    <t>PRESS [%] TO CONTINUE PLAYING</t>
  </si>
  <si>
    <t>按 [%] 繼續遊玩</t>
  </si>
  <si>
    <t>按 [%] 继续游玩</t>
  </si>
  <si>
    <t>НАТИСНІТЬ [%], ЩОБ ПРОДОВЖИТИ ГРУ</t>
  </si>
  <si>
    <t>tutorial_1</t>
  </si>
  <si>
    <t>YOU HAVE NOT BEEN BORN INTO THE GAME YET.##THIS IS THE TUTORIAL.  CLICK THE LEFT MOUSE BUTTON TO WALK.</t>
  </si>
  <si>
    <t>您還沒有出生在遊戲中。##這是教程。單擊游標左鍵行走。</t>
  </si>
  <si>
    <t>您还没有出生在游戏中。##这是教程。单击鼠标左键行走。</t>
  </si>
  <si>
    <t>ВИ ЩЕ НЕ НАРОДИЛИСЯ У ГРІ.##ЦЕ НАВЧАЛЬНИЙ ПОСІБНИК.  КЛАЦНІТЬ ЛІВОЮ КНОПКОЮ МИШІ, ЩОБ ХОДИТИ.</t>
  </si>
  <si>
    <t>tutorial_1001</t>
  </si>
  <si>
    <t>PLEASE READ THROUGH THE INSTRUCTIONS.##OR YOU MAY NOT BE ABLE TO COMPLETE THE CHALLENGE AT THE END.</t>
  </si>
  <si>
    <t>请通读说明书。##否则你最终可能无法完成挑战。</t>
  </si>
  <si>
    <t>tutorial_1002</t>
  </si>
  <si>
    <t>YOU WILL LEARN THE GAME CONTROL AND SOME BASICS.##BUT FAIR WARNING:  YOU CAN DIE IN HERE IF YOU'RE NOT CAREFUL!</t>
  </si>
  <si>
    <t>你将学习游戏控制和一些基础知识。##警告：如果不小心，你可能会死在这里！</t>
  </si>
  <si>
    <t>tutorial_2</t>
  </si>
  <si>
    <t>NAVIGATION IS AUTOMATIC. OPEN THE DOOR, THEN CLICK THE##BERRY BUSH ON THE RIGHT TO WALK THERE AND PICK A BERRY.</t>
  </si>
  <si>
    <t>导航是自动的。打开门，然后点击右边的##浆果丛，走到那里摘一个浆果。</t>
  </si>
  <si>
    <t>tutorial_3</t>
  </si>
  <si>
    <t>STARVATION MEANS CERTAIN DEATH.  CLICK THE BUSH TO PICK A BERRY.##CLICK YOUR FACE TO EAT.  THIS FILLS YOUR 'FOOD METER' AT THE BOTTOM.</t>
  </si>
  <si>
    <t>饥饿意味着必然的死亡。点击灌木采摘浆果##点击你的脸吃东西。这会填满你底部的“食物计量表”。</t>
  </si>
  <si>
    <t>tutorial_10</t>
  </si>
  <si>
    <t>CLICK TO PICK THAT ONION, BUT DO NOT EAT IT. A 'YUM' BUBBLE APPEARS.##YUM FOOD GIVES YOU EXTRA FOOD BOXES, EAT THE ONION.</t>
  </si>
  <si>
    <t>点击选择洋葱，但不要吃。会出现一个“好吃”的气泡##好吃的食物给你额外的饱食度，现在把洋葱吃掉。</t>
  </si>
  <si>
    <t>tutorial_1010</t>
  </si>
  <si>
    <t>NOW CHECK AGAIN WITH THIS ONION, IT SHOULD BE 'MEH'.##RIGHT-CLICK AN EMPTY GROUND TILE TO DROP THE ONION.</t>
  </si>
  <si>
    <t>现在再检查一下这个洋葱，应该是“难吃”##右键单击一个空的地砖以放下洋葱。</t>
  </si>
  <si>
    <t>tutorial_1011</t>
  </si>
  <si>
    <t>THE IDEA IS THAT YOU SHOULD EAT VARIETY. AVOID REPEATING FOOD.</t>
  </si>
  <si>
    <t>这个想法是你应该吃多样化的食物，避免重复进食。</t>
  </si>
  <si>
    <t>tutorial_4</t>
  </si>
  <si>
    <t>CLICK AND HOLD NEAR THE EDGE OF THE SCREEN TO KEEP##WALKING IN THAT DIRECTION.  USEFUL FOR LONG JOURNEYS.</t>
  </si>
  <si>
    <t>單擊並按住屏幕邊緣附近以保持##朝該方向行走。對於長途旅行很有用。</t>
  </si>
  <si>
    <t>长按屏幕边缘附近以保持朝该方向行走。##这对于长途旅行来说很有用。</t>
  </si>
  <si>
    <t>НАТИСНІТЬ І УТРИМУЙТЕ БІЛЯ КРАЮ ЕКРАНУ, ЩОБ ПРОДОВЖУВАТИ## ЙТИ В ЦЬОМУ НАПРЯМКУ.  КОРИСНО ДЛЯ ДОВГИХ ПОДОРОЖЕЙ.</t>
  </si>
  <si>
    <t>tutorial_5</t>
  </si>
  <si>
    <t xml:space="preserve">CLICK THE STONE TO PICK IT UP. </t>
  </si>
  <si>
    <t>点击石头把它捡起来。</t>
  </si>
  <si>
    <t>tutorial_5001</t>
  </si>
  <si>
    <t>USE THE CRAFTING GUIDE IN BOTTOM RIGHT TO SEE RECIPES INVOLVING##A STONE. YOU CAN TOGGLE BETWEEN 'HOW TO MAKE' AND 'HOW TO USE'.</t>
  </si>
  <si>
    <t>使用右下角的制作指南来查看涉及##一块石头的制作指南。你可以在“如何制作”和“如何使用”之间切换。</t>
  </si>
  <si>
    <t>tutorial_7</t>
  </si>
  <si>
    <t>UNDER 'USE' MODE, MOUSE OVER THE RECIPES IN THE GUIDE.##IT HINTS YOU TO MAKE A SHARP STONE. TAKE THAT WITH YOU.</t>
  </si>
  <si>
    <t>在“使用”模式下，将鼠标悬停在指南中的食谱上。##它暗示你要做一块锋利的石头。带上它。</t>
  </si>
  <si>
    <t>tutorial_8</t>
  </si>
  <si>
    <t>[TAB] SHOWS THAT A SHARP STONE WORKS ON MANY THINGS.##SHIFT-TAB PAGES BACKWARDS.  PRESS 'V' TO COLLAPSE THE GUIDE.</t>
  </si>
  <si>
    <t>[TAB]表明一块锋利的石头可以处理很多事情。##[SHIFT-TB]向后移动标签页。按“V”可折叠制作指南。</t>
  </si>
  <si>
    <t>tutorial_8_steam</t>
  </si>
  <si>
    <t>[TAB] SHOWS THAT A SHARP STONE WORKS ON MANY THINGS.##CTRL-TAB FOR BIGGER PAGE JUMPS.  Z-TAB PAGES BACKWARDS.</t>
  </si>
  <si>
    <t>[TAB]表明一块锋利的石头可以处理很多事情。##[CTRL-TAB]用于较大的页面跳转。[Z-TAB]选项卡向后翻页。</t>
  </si>
  <si>
    <t>tutorial_6</t>
  </si>
  <si>
    <t>GETTING HUNGRY? DROP THE SHARP STONE AND EAT SOMETHING.##REMEMBER TO CHECK FOR YUM IF YOU CAN AFFORD TO.</t>
  </si>
  <si>
    <t>饿了吗？扔下锋利的石头吃点什么。##如果来得及的话，记得吃“好吃”的食物。</t>
  </si>
  <si>
    <t>tutorial_9</t>
  </si>
  <si>
    <t>THESE ARE A BIT HARDER TO EAT.</t>
  </si>
  <si>
    <t>这有点难吃。</t>
  </si>
  <si>
    <t>tutorial_11</t>
  </si>
  <si>
    <t>MAKE A BASKET.  LEFT-CLICK THE BASKET TO PUT##THE SHARP STONE INSIDE.  TAKE THE BASKET WITH YOU.</t>
  </si>
  <si>
    <t>做一个篮子。用鼠标左键点击篮子##把尖锐的石头放进去，把篮子带上。</t>
  </si>
  <si>
    <t>tutorial_1101</t>
  </si>
  <si>
    <t>HARD TO SEE, BUT THERE IS A VERTICAL DOOR HERE.##CLICK THE DOOR TO OPEN IT.  WATCH FOR MORE VERTICAL DOORS UP AHEAD.</t>
  </si>
  <si>
    <t>你很難看到，但這裡有一扇垂直的門。##點擊門將其打開。注意前面有更多垂直的門。</t>
  </si>
  <si>
    <t>你可能很难看到，但这里的确有一扇垂直的门。##点击门将其打开。注意前面有更多垂直的门。</t>
  </si>
  <si>
    <t>ВАЖКО ПОМІТИТИ, АЛЕ ТУТ Є ВЕРТИКАЛЬНІ ДВЕРІ. КЛАЦНІТЬ НА НИХ, ЩОБ ВІДЧИНИТИ.  СТЕЖТЕ ЗА ІНШИМИ ВЕРТИКАЛЬНИМИ ДВЕРИМА ПОПЕРЕДУ.</t>
  </si>
  <si>
    <t>tutorial_12</t>
  </si>
  <si>
    <t>DROP THE BASKET, THEN RIGHT-CLICK TO REMOVE THE STONE.##PUT SOME FOOD IN THE BASKET TO TAKE WITH YOU.</t>
  </si>
  <si>
    <t>放下籃子，然後右鍵單擊以移除石頭。##將一些食物放入籃子中以便隨身攜帶。</t>
  </si>
  <si>
    <t>放下篮子，然后右键单击以移除石头。##将一些食物放入篮子中以便随身携带。</t>
  </si>
  <si>
    <t>КИНЬТЕ КОШИК І КЛАЦНІТЬ ПРАВОЮ КНОПКОЮ МИШІ, ЩОБ ВИЙНЯТИ КАМІНЬ.##ПОКЛАДІТЬ ТРОХИ ЇЖІ В КОШИК, ЩОБ ЗАБРАТИ ЙОГО З СОБОЮ.</t>
  </si>
  <si>
    <t>tutorial_1201</t>
  </si>
  <si>
    <t>HOLD [SPACE] TO FREEZE THE CAMERA WHILE YOU WORK IN ONE AREA.##NOW YOU CAN STOKE THE FIRE WITHOUT FIGHTING THE CAMERA.</t>
  </si>
  <si>
    <t>當您在一個區域工作時，按住 [空格鍵] 來凍結鏡頭。##現在您可以在不與鏡頭對抗的情況下添加柴火。</t>
  </si>
  <si>
    <t>当您在一个区域工作时，按住 [空格键] 来冻结镜头。##现在您可以在镜头锁定的情况下添加柴火。</t>
  </si>
  <si>
    <t>УТРИМУЙТЕ [ПРОБІЛ], ЩОБ ЗАМОРОЗИТИ КАМЕРУ, ПОКИ ВИ ПРАЦЮЄТЕ НА ОДНІЙ ДІЛЯНЦІ.##ТЕПЕР ВИ МОЖЕТЕ РОЗПАЛИТИ ВОГОНЬ, НЕ ЗАЧІПАЮЧИ КАМЕРУ.</t>
  </si>
  <si>
    <t>tutorial_1202</t>
  </si>
  <si>
    <t>RELEASE [SPACE] TO UNFREEZE THE CAMERA.##IT RESUMES MOVING AUTOMATICALLY WHILE YOU NAVIGATE.</t>
  </si>
  <si>
    <t>釋放[空格鍵]以解凍鏡頭。##當您移動時，它會繼續自動移動。</t>
  </si>
  <si>
    <t>释放 [空格键] 以解锁镜头。##当您移动时，它会自动移动。</t>
  </si>
  <si>
    <t>ВІДПУСТІТЬ [ПРОБІЛ], ЩОБ РОЗБЛОКУВАТИ КАМЕРУ.##КАМЕРА ВІДНОВИТЬ АВТОМАТИЧНИЙ РУХ ПІД ЧАС НАВІГАЦІЇ.</t>
  </si>
  <si>
    <t>tutorial_13</t>
  </si>
  <si>
    <t>YOU CONSUME FOOD MORE SLOWLY WHEN YOUR TEMP METER IS IN THE MIDDLE.##STAND BY THE FIRE TO WARM UP.  TOO COLD OR TOO HOT SPEEDS UP HUNGER.</t>
  </si>
  <si>
    <t>當溫度計處於中間時，您消耗食物的速度會更慢。##站在火邊加熱。太冷或太熱都會加速飢餓。</t>
  </si>
  <si>
    <t>当温度计处于中间时，您消耗食物的速度会更慢。##站在火边加热。太冷或太热都会加速饥饿。</t>
  </si>
  <si>
    <t>ВИ СПОЖИВАЄТЕ ЇЖУ ПОВІЛЬНІШЕ, КОЛИ ВАШ ТЕРМОМЕТР ЗНАХОДИТЬСЯ ПОСЕРЕДИНІ.## СТАНЬТЕ БІЛЯ ВОГНЮ, ЩОБ ЗІГРІТИСЯ.  ЗАНАДТО ХОЛОДНО АБО ЗАНАДТО ЖАРКО ПРИСКОРЮЄ ВІДЧУТТЯ ГОЛОДУ.</t>
  </si>
  <si>
    <t>tutorial_14</t>
  </si>
  <si>
    <t>WALLS AND FLOORS HOLD HEAT IN A LARGER AREA.##CLOSE THE DOOR TO STOP HEAT FROM LEAKING OUT.</t>
  </si>
  <si>
    <t>牆壁和地板將熱量保留在更大的區域。##關上門以阻止熱量洩漏。</t>
  </si>
  <si>
    <t>墙壁和地板可以使保温面积更大。##关上门以阻止热量泄漏。</t>
  </si>
  <si>
    <t>СТІНИ ТА ПІДЛОГА УТРИМУЮТЬ ТЕПЛО НА БІЛЬШІЙ ПЛОЩІ.##ЗАКРИЙТЕ ДВЕРІ, ЩОБ ТЕПЛО НЕ ВИТІКАЛО НАЗОВНІ.</t>
  </si>
  <si>
    <t>tutorial_15</t>
  </si>
  <si>
    <t>COLD AREAS DRAMATICALLY INCREASE YOUR HUNGER RATE.##GET DRESSED HERE BEFORE CROSSING THE SNOW.</t>
  </si>
  <si>
    <t>寒冷地区会大大增加你的饥饿度。##在穿过雪地之前在这里穿好衣服。</t>
  </si>
  <si>
    <t>tutorial_1501</t>
  </si>
  <si>
    <t>CLOTHING REDUCES YOUR RATE OF HEAT LOSS.##WHILE HOLDING CLOTHES, CLICK YOURSELF TO PUT THEM ON.</t>
  </si>
  <si>
    <t>衣服可以降低你的熱量散失率。##當你拿著衣服時，點擊自己穿上它們。</t>
  </si>
  <si>
    <t>衣服可以让你的热量散失的更慢。##当你拿着衣服时，点击自己穿上它们。</t>
  </si>
  <si>
    <t>ОДЯГ ЗМЕНШУЄ ВТРАТУ ТЕПЛА.## ТРИМАЮЧИ ОДЯГ, НАТИСНІТЬ НА СЕБЕ, ЩОБ ОДЯГНУТИ ЙОГО.</t>
  </si>
  <si>
    <t>tutorial_16</t>
  </si>
  <si>
    <t>EXCESSIVE HEAT CAN BE JUST AS DANGEROUS AS COLD.##CLOTHING CAN PROTECT YOU FROM HEAT TOO.</t>
  </si>
  <si>
    <t>過熱和寒冷一樣危險。##衣服也可以保護您免受高溫。</t>
  </si>
  <si>
    <t>炎热和寒冷一样危险。##衣服也可以防止你过热。##是的，你不应该脱掉它们在任何时候。</t>
  </si>
  <si>
    <t>НАДМІРНА СПЕКА МОЖЕ БУТИ ТАКОЮ Ж НЕБЕЗПЕЧНОЮ, ЯК І ХОЛОД.## ОДЯГ МОЖЕ ЗАХИСТИТИ ВАС І ВІД СПЕКИ.</t>
  </si>
  <si>
    <t>tutorial_1601</t>
  </si>
  <si>
    <t>IF YOU EVER NEED TO REMOVE CLOTHING,##JUST CLICK THEM TO TAKE THEM OFF.</t>
  </si>
  <si>
    <t>如果您需要脫掉衣服，##只需點擊它們即可將其脫掉。</t>
  </si>
  <si>
    <t>如果您需要脱掉衣服，##只需点击它们即可将其脱掉。</t>
  </si>
  <si>
    <t>ЯКЩО ВАМ ПОТРІБНО ЗНЯТИ ОДЯГ,##ПРОСТО КЛАЦНІТЬ НА НЬОМУ, ЩОБ ЗНЯТИ ЙОГО.</t>
  </si>
  <si>
    <t>tutorial_17</t>
  </si>
  <si>
    <t>PRESS [ENTER] AND TYPE, AND THEN PRESS [ENTER] AGAIN TO SPEAK.##YOU CAN SAY LONGER AND LONGER PHRASES AS YOU GET OLDER AND OLDER.</t>
  </si>
  <si>
    <t>按 [ENTER] 並輸入，然後再次按 [ENTER] 開始說話。##隨著年齡的增長，您可以說越來越長的話。</t>
  </si>
  <si>
    <t>按 [ENTER] 并输入，然后再次按 [ENTER] 把话说出来。##随着年龄的增长，您可以说的话可以越来越长。</t>
  </si>
  <si>
    <t>НАТИСНІТЬ [ENTER] І ВВЕДІТЬ ТЕКСТ, А ПОТІМ НАТИСНІТЬ [ENTER] ЩЕ РАЗ, ЩОБ ГОВОРИТИ.##З ВІКОМ ВИ ЗМОЖЕТЕ ГОВОРИТИ ВСЕ ДОВШІ І ДОВШІ ФРАЗИ.</t>
  </si>
  <si>
    <t>tutorial_18</t>
  </si>
  <si>
    <t>PRESS [ENTER] TO SPEAK AGAIN, OR PRESS [UP ARROW] AND##[DOWN ARROW] TO CYCLE THROUGH PREVIOUSLY SPOKEN PHRASES.</t>
  </si>
  <si>
    <t>按 [ENTER] 再次說話，或按 [向上箭頭] 和##[向下箭頭] 循環之前說過的話。</t>
  </si>
  <si>
    <t>按 [ENTER] 再次说话，或按 [向上箭头] 和## [向下箭头] 循环之前说过的话。</t>
  </si>
  <si>
    <t>НАТИСНІТЬ [ENTER], ЩОБ ПОЧАТИ ГОВОРИТИ ЗНОВУ, АБО НАТИСНІТЬ [СТРІЛКУ ВГОРУ] І##[СТРІЛКУ ВНИЗ], ЩОБ ПЕРЕБИРАТИ РАНІШЕ СКАЗАНІ ФРАЗИ.</t>
  </si>
  <si>
    <t>tutorial_19</t>
  </si>
  <si>
    <t>SAY   I AM JONES   TO SET YOUR LAST NAME.##MOUSE OVER YOURSELF TO SEE YOUR NAME.</t>
  </si>
  <si>
    <t>說'I AM JONES'來設置您的姓氏。##將游標移至您自己上方即可查看您的姓名。</t>
  </si>
  <si>
    <t>说'I AM [名字] '来设置您的名字。##将鼠标移至您自己上方即可查看您的姓名。##如果你是第一代，你将可以设置你的姓氏。</t>
  </si>
  <si>
    <t>СКАЖІТЬ Я ДЖОНС, ЩОБ ВСТАНОВИТИ ВАШЕ ПРІЗВИЩЕ.##НАВЕДІТЬ МИШКУ НА СЕБЕ, ЩОБ ПОБАЧИТИ ВАШЕ ІМ'Я.</t>
  </si>
  <si>
    <t>tutorial_1921</t>
  </si>
  <si>
    <t>SAY   YOU ARE SALLY   TO SET THE FIRST NAME OF YOUR HELD BABY.##(TRY IT LATER, WHEN YOU HAVE A BABY IN THE GAME.)</t>
  </si>
  <si>
    <t>說'YOU ARE SALLY'來設置您抱起的寶寶的名字。##（稍後當您在遊戲中擁有寶寶時再嘗試。）</t>
  </si>
  <si>
    <t>说'YOU ARE [名字] '来设置您抱起的宝宝的名字。##（稍后当您在游戏中拥有宝宝时再尝试。）</t>
  </si>
  <si>
    <t>СКАЖІТЬ, ЩО ВИ САЛЛІ, ЩОБ ВСТАНОВИТИ ІМ'Я ДИТИНИ, ЯКУ ВИ ТРИМАЄТЕ НА РУКАХ (СПРОБУЙТЕ ПІЗНІШЕ, КОЛИ У ВАС БУДЕ ДИТИНА У ГРІ).</t>
  </si>
  <si>
    <t>tutorial_1901</t>
  </si>
  <si>
    <t>SAY   /HATCHET   AND PRESS [ENTER] TO FILTER##FOR RECIPES INVOLVING A HATCHET IN THE CRAFTING GUIDE.</t>
  </si>
  <si>
    <t>说 /HATCHET，然后按[ENTER]过滤##制作指南中涉及斧头的配方。</t>
  </si>
  <si>
    <t>tutorial_1902</t>
  </si>
  <si>
    <t>SWITCH TO 'MAKE' MODE, YOU CAN CLICK ON THE RECIPE ITEMS IN##THE CRAFTING GUIDE TO NAVIGATE THE TECH TREE.</t>
  </si>
  <si>
    <t>切换到“制作”模式，你可以点击##制作指南中的食谱项目来浏览技术树。</t>
  </si>
  <si>
    <t>tutorial_1903</t>
  </si>
  <si>
    <t>YOU CAN SAY   /   BY ITSELF AND PRESS [ENTER] TO##CLEAR THE RECIPE SEARCH.</t>
  </si>
  <si>
    <t>您可以说 /，然后按[ENTER]来##清除配方搜索。</t>
  </si>
  <si>
    <t>tutorial_20</t>
  </si>
  <si>
    <t>A FINAL CHALLENGE:  MAKE A HATCHET TO CHOP KINDLING.##GET THE FIRE GOING AGAIN TO COMPLETE THE TUTORIAL.</t>
  </si>
  <si>
    <t>最后一个挑战是：用斧头制作火种。##再次点火以完成教程。</t>
  </si>
  <si>
    <t>tutorial_21</t>
  </si>
  <si>
    <t>TUTORIAL COMPLETE.  YOU CAN NOW SAY   /DIE   TO BE REBORN##IN THE REAL GAME. GOOD LUCK.</t>
  </si>
  <si>
    <t>教程完成。你现在可以在游戏中说 /DIE 重生。##祝你好运。</t>
  </si>
  <si>
    <t>tutorial_2201</t>
  </si>
  <si>
    <t>WHAT ARE YOU DOING DOWN HERE?##GO BACK UP AND LIGHT THE TORCH (IT SAYS 'TORCH' ON THE FRONT).</t>
  </si>
  <si>
    <t>你在這兒做什麼？##回去並點燃火炬（上面寫著'火炬'）。</t>
  </si>
  <si>
    <t>你在这儿做什么？##回去并点燃火炬（上面写着'TORCH'）。</t>
  </si>
  <si>
    <t>ЩО ВИ ТУТ РОБИТЕ? ПОВЕРНІТЬСЯ НАГОРУ І ЗАПАЛІТЬ ФАКЕЛ (СПЕРЕДУ НАПИСАНО "ФАКЕЛ").</t>
  </si>
  <si>
    <t>tutorial_22</t>
  </si>
  <si>
    <t>THIS HALLWAY EXPLAINS A FEW MORE THINGS.##IT IS OPTIONAL AND WON'T HELP YOU PASS THE TUTORIAL.</t>
  </si>
  <si>
    <t>此走廊解釋了更多內容。##它是可選的，不會幫助您通過教程。</t>
  </si>
  <si>
    <t>此走廊解释了更多内容。##它是可选的，不会帮助您通过教程。</t>
  </si>
  <si>
    <t>У ЦЬОМУ КОРИДОРІ ПОЯСНЮЄТЬСЯ ЩЕ КІЛЬКА РЕЧЕЙ.## ЦЕ НЕОБОВ'ЯЗКОВО І НЕ ДОПОМОЖЕ ВАМ ПРОЙТИ ПІДРУЧНИК.</t>
  </si>
  <si>
    <t>tutorial_23</t>
  </si>
  <si>
    <t>YOU CAN USE THE 'SPAWN SEED' BOX ON THE LOGIN PAGE##THIS WILL SPAWN YOU AS 'EVE' IN THE WILD</t>
  </si>
  <si>
    <t>你可以使用登录页面上的“出生种子”框##这将使你在野外成为“夏娃”</t>
  </si>
  <si>
    <t>tutorial_24</t>
  </si>
  <si>
    <t>AS LONG AS YOU CLICK 'SEED' YOU WILL BE ABLE TO RESPAWN IN##THE SAME LOCATION.  YOU CAN CHOOSE 'BE BORN' TO SPAWN NORMALLY.</t>
  </si>
  <si>
    <t>只要你点击“种子”，你就可以在##同一位置重生。你可以选择“出生”来正常诞生。</t>
  </si>
  <si>
    <t>tutorial_25</t>
  </si>
  <si>
    <t>IF YOU SAY 'NO BB' - YOU WILL BECOME INFERTILE##YOU WILL NOT HAVE BABIES THAT LIFE UNLESS YOU SAY 'YES BB'.</t>
  </si>
  <si>
    <t>如果你说“NO BB”，你就会不孕##除非你说“YES BB”，否则你一生都不会有孩子。</t>
  </si>
  <si>
    <t>tutorial_26</t>
  </si>
  <si>
    <t>IF YOU ARE HAVING TROUBLE WITH THE GAME OR HAVE QUESTIONS##MODERATORS IN THE DISCORD WILL BE HAPPY TO HELP YOU.</t>
  </si>
  <si>
    <t>如果你在游戏中遇到问题或有问题，DISCORD里的人会很乐意帮助你。</t>
  </si>
  <si>
    <t>tutorial_27</t>
  </si>
  <si>
    <t>HMM...</t>
  </si>
  <si>
    <t>嗯...</t>
  </si>
  <si>
    <t>ХММ...</t>
  </si>
  <si>
    <t>tutorial_2701</t>
  </si>
  <si>
    <t>THIS OPTIONAL AREA WILL NOT HELP YOU PASS THE TUTORIAL.##GO BACK AND LIGHT THE TORCH INSTEAD.</t>
  </si>
  <si>
    <t>此可選區域不會幫助您通過教程。##返回並點燃火炬。</t>
  </si>
  <si>
    <t>此可选区域不会帮助您通过教程。##返回并点燃火炬。</t>
  </si>
  <si>
    <t>ЦЯ НЕОБОВ'ЯЗКОВА ОБЛАСТЬ НЕ ДОПОМОЖЕ ВАМ ПРОЙТИ ПІДРУЧНИК.## ПОВЕРНІТЬСЯ НАЗАД І ЗАПАЛІТЬ ЛІХТАР.</t>
  </si>
  <si>
    <t>tutorial_28</t>
  </si>
  <si>
    <t>HEAD SOUTH FOR HINTS, BUT ONLY IF YOU'RE REALLY STUCK.  YOU CAN'T OPEN##THIS DOOR UNLESS YOU'VE BEEN TRYING FOR TWENTY MINUTES.</t>
  </si>
  <si>
    <t>向南寻找线索，但前提是你真的陷入困境。##除非你试了二十分钟，否则你打不开这扇门。</t>
  </si>
  <si>
    <t>tutorial_29</t>
  </si>
  <si>
    <t>TWO MILKWEED STALKS MAKE THREAD.##TWO THREADS MAKE ROPE.</t>
  </si>
  <si>
    <t>兩根乳草莖製成絲線。##兩根絲線製成繩子。</t>
  </si>
  <si>
    <t>两根乳草茎制成丝线。##两根丝线制成绳子。</t>
  </si>
  <si>
    <t>З ДВОХ СТЕБЕЛ МОЛОЧАЮ РОБЛЯТЬ НИТКИ.##З ДВОХ НИТОК РОБЛЯТЬ МОТУЗКУ.</t>
  </si>
  <si>
    <t>tutorial_30</t>
  </si>
  <si>
    <t>CARVE THE BRANCH TWO TIMES WITH THE SHARP STONE.##YOU GET A SHORT SHAFT.  (YOU HAVE THREE BRANCHES FOR THREE CHANCES.)</t>
  </si>
  <si>
    <t>用尖石將樹枝雕刻兩次。##您將得到一根短棍。 （您有 3 個樹枝，有 3 次機會。）</t>
  </si>
  <si>
    <t>用尖石将树枝制作两次。##您将得到一根短棍。（您有3个树枝，有3次机会。）</t>
  </si>
  <si>
    <t>ДВА РАЗИ НАДРІЖ ГІЛКУ ГОСТРИМ КАМЕНЕМ.## ОТРИМАЄШ КОРОТКИЙ ДЕРЖАК.  (У ВАС Є ТРИ ГІЛКИ ДЛЯ ТРЬОХ СПРОБ).</t>
  </si>
  <si>
    <t>tutorial_31</t>
  </si>
  <si>
    <t>TIE THE ROPE ON THE END OF THE SHAFT.##NOW PUT THE SHARP STONE ONTO THE TIED SHAFT.  YOU MADE A HATCHET.</t>
  </si>
  <si>
    <t>將繩子綁在短棍的末端。##現在將尖石放在綁好的短棍上。你做了一把石斧。</t>
  </si>
  <si>
    <t>将绳子绑在短棍的末端。##现在将尖石放在绑好的短棍上。你做了一把石斧。</t>
  </si>
  <si>
    <t>ПРИВ'ЯЖИ МОТУЗКУ ДО КІНЦЯ ДЕРЖАКА. ТЕПЕР ПОКЛАДИ ГОСТРИЙ КАМІНЬ НА ПРИВ'ЯЗАНИЙ ДЕРЖАК.  У ВАС ВИЙШЛА СОКИРА.</t>
  </si>
  <si>
    <t>tutorial_32</t>
  </si>
  <si>
    <t>A HATCHET CAN MAKE KINDLING OUT OF BRANCHES.##PUT KINDLING ON HOT COALS TO GET A FIRE GOING.</t>
  </si>
  <si>
    <t>石斧可以將樹枝製成細柴。##將細柴放在熱炭上以生火。</t>
  </si>
  <si>
    <t>石斧可以将树枝制成细柴。##将细柴放在热炭上以生火。</t>
  </si>
  <si>
    <t>З ГІЛОК МОЖНА ЗРОБИТИ ХМИЗ.##ПОКЛАДІТЬ ХМИЗ НА ГАРЯЧЕ ВУГІЛЛЯ, ЩОБ РОЗПАЛИТИ ВОГОНЬ.</t>
  </si>
  <si>
    <t>tutorial_33</t>
  </si>
  <si>
    <t>STICK A LONG STRAIGHT SHAFT INTO THE FIRE.##YOU GET A FIREBRAND.</t>
  </si>
  <si>
    <t>將長木棍插入火中。##您將得到一個引火棒。</t>
  </si>
  <si>
    <t>将长木棍插入火中。##您将得到一个引火棒。</t>
  </si>
  <si>
    <t>ВСТРОМИ У ВОГОНЬ ДОВГУ ПРЯМУ ПАЛИЦЮ - ВИЙШОВ КРЕСАЛО.</t>
  </si>
  <si>
    <t>tutorial_34</t>
  </si>
  <si>
    <t>YOU CAN USE THE FIREBRAND TO GO BACK AND LIGHT THE TORCH.##(HINT:  IT LITERALLY SAYS THE WORD  TORCH  ON IT.)</t>
  </si>
  <si>
    <t>你可以用燃烧棒回去点燃火炬。##（提示：字面上写着火炬“TORCH”这个词。）</t>
  </si>
  <si>
    <t>tutorial_99</t>
  </si>
  <si>
    <t>THIS IS THE END OF THE TUTORIAL.##AFTER YOU DIE HERE, YOU WILL BE BORN INTO THE REAL GAME.</t>
  </si>
  <si>
    <t>教程到此結束。##當你死在這里之後，你就會重生到真正的遊戲中。</t>
  </si>
  <si>
    <t>教程到此结束。##当你死之后，你就会重生到真正的游戏中。</t>
  </si>
  <si>
    <t>ЦЕ КІНЕЦЬ НАВЧАННЯ.## ПІСЛЯ ТОГО, ЯК ВИ ПОМРЕТЕ ТУТ, ВИ НАРОДИТЕСЯ У СПРАВЖНІЙ ГРІ.</t>
  </si>
  <si>
    <t>pauseMessage1</t>
  </si>
  <si>
    <t>REALLY QUIT?</t>
  </si>
  <si>
    <t>真的離開？</t>
  </si>
  <si>
    <t>真的离开？</t>
  </si>
  <si>
    <t>ДІЙСНО ЗВІЛЬНИТИСЯ?</t>
  </si>
  <si>
    <t>pauseMessage2</t>
  </si>
  <si>
    <t>PRESS [ENTER] TO RESUME</t>
  </si>
  <si>
    <t>按 [ENTER] 繼續</t>
  </si>
  <si>
    <t>按 [ENTER] 继续</t>
  </si>
  <si>
    <t>НАТИСНІТЬ [ENTER], ЩОБ ПРОДОВЖИТИ</t>
  </si>
  <si>
    <t>pauseMessage3</t>
  </si>
  <si>
    <t>PRESS [%] TO QUIT</t>
  </si>
  <si>
    <t>按 [%] 退出</t>
  </si>
  <si>
    <t>按 [%] 退出（英文）</t>
  </si>
  <si>
    <t>НАТИСНІТЬ [%] ДЛЯ ВИХОДУ</t>
  </si>
  <si>
    <t>pauseMessage3b</t>
  </si>
  <si>
    <t>YOU CAN'T QUIT NOW</t>
  </si>
  <si>
    <t>你現在不能退出</t>
  </si>
  <si>
    <t>你现在不能退出</t>
  </si>
  <si>
    <t>ВИ НЕ МОЖЕТЕ ВИЙТИ ЗАРАЗ</t>
  </si>
  <si>
    <t>pauseMessage4</t>
  </si>
  <si>
    <t>-</t>
  </si>
  <si>
    <t>pauseMessage5</t>
  </si>
  <si>
    <t>PRESS [#] TO OPEN SETTINGS</t>
  </si>
  <si>
    <t>按 [#] 打开设置</t>
  </si>
  <si>
    <t>commandHintsA</t>
  </si>
  <si>
    <t>CHAT COMMANDS:##~~##/HELP##/DIE##/DISCONNECT##/FPS##/NETWORK##/PING####/HAPPY##/MAD##/ANGRY##/SAD##/DEVIOUS##/JOY##/BLUSH##/HUBBA##/ILL##/YOOHOO##/HMPH##/LOVE##/OREALLY##/SHOCK</t>
  </si>
  <si>
    <t>聊天命令：##~~##/HELP##/DIE##/DISCONNECT##/FPS##/NETWORK##/PING####/HAPPY##/MAD##/ANGRY##/SAD##/DEVIOUS##/JOY##/BLUSH##/HUBBA##/ILL##/YOOHOO##/HMPH##/LOVE##/OREALLY##/SHOCK</t>
  </si>
  <si>
    <t>commandHintsB</t>
  </si>
  <si>
    <t>MORE COMMANDS:##~~####TO NAME YOURSELF:##I AM [NAME]####TO NAME OTHERS:##YOU ARE [NAME]####TO PLAY SOLO:##LET ME BE INFERTILE.####TO UNDO THAT:##LET ME BE FERTILE.####TO BLOCK SOMEONE##AS BB:##CURSE [NAME]####TO UNDO THAT:##I FORGIVE [NAME]</t>
  </si>
  <si>
    <t>更多命令：##~~####给自己起名字：##I AM [NAME]####给别人起名字：##YOU ARE [NAME]####独自玩游戏：##LET ME BE INFERTILE.####撤销独自玩游戏：##LET ME BE FERTILE.####诅咒某人不能##成为婴儿：##CURSE [NAME]####撤销诅咒：##I FORGIVE [NAME]</t>
  </si>
  <si>
    <t>quitMessage</t>
  </si>
  <si>
    <t>[ESC] TO QUIT</t>
  </si>
  <si>
    <t>[ESC] 退出</t>
  </si>
  <si>
    <t>[ESC] ВИЙТИ</t>
  </si>
  <si>
    <t>playbackTag</t>
  </si>
  <si>
    <t>PLAYBACK %:</t>
  </si>
  <si>
    <t>回放 ％：</t>
  </si>
  <si>
    <t>ВІДТВОРЕННЯ %:</t>
  </si>
  <si>
    <t>playbackToggleMessage</t>
  </si>
  <si>
    <t>(PRESS [%] TO HIDE)</t>
  </si>
  <si>
    <t>（按 [%] 隱藏）</t>
  </si>
  <si>
    <t>（按 [%] 隐藏）</t>
  </si>
  <si>
    <t>(НАТИСНІТЬ [%], ЩОБ ПРИХОВАТИ)</t>
  </si>
  <si>
    <t>playbackEndMessage</t>
  </si>
  <si>
    <t>(PRESS [ESC] TO END)</t>
  </si>
  <si>
    <t>（按 [ESC] 結束）</t>
  </si>
  <si>
    <t>（按 [ESC] 结束）</t>
  </si>
  <si>
    <t>(НАТИСНІТЬ [ESC], ЩОБ ЗАКІНЧИТИ)</t>
  </si>
  <si>
    <t>enterDemoCode</t>
  </si>
  <si>
    <t>Enter a demo code:</t>
  </si>
  <si>
    <t>輸入演示代碼：</t>
  </si>
  <si>
    <t>输入演示代码：</t>
  </si>
  <si>
    <t>Введіть демо-код:</t>
  </si>
  <si>
    <t>checkingCode</t>
  </si>
  <si>
    <t>Checking demo permissions with server...</t>
  </si>
  <si>
    <t>正在檢查伺服器的演示權限...</t>
  </si>
  <si>
    <t>正在检查服务器的演示权限…</t>
  </si>
  <si>
    <t>Перевірка дозволів на демонстрацію з сервером...</t>
  </si>
  <si>
    <t>responseWarning</t>
  </si>
  <si>
    <t>CANNOT REACH SERVER.##ATTEMPTING RETRY %d</t>
  </si>
  <si>
    <t>無法連線伺服器。##嘗試重試 %d</t>
  </si>
  <si>
    <t>无法联机服务器。##尝试重试%d</t>
  </si>
  <si>
    <t>НЕМОЖЛИВО ЗВ'ЯЗАТИСЯ З СЕРВЕРОМ.## СПРОБА ПОВТОРНОЇ ПОВТОРНОЇ СПРОБИ %d</t>
  </si>
  <si>
    <t>err_webRequest</t>
  </si>
  <si>
    <t>ERROR:  WEB REQUEST FAILED.</t>
  </si>
  <si>
    <t>錯誤：網路請求失敗。</t>
  </si>
  <si>
    <t>错误：网络请求失败。</t>
  </si>
  <si>
    <t>ПОМИЛКА: НЕ ВДАЛОСЯ ВИКОНАТИ ВЕБ-ЗАПИТ.</t>
  </si>
  <si>
    <t>err_codeFailed</t>
  </si>
  <si>
    <t>This demo code was denied by the server.</t>
  </si>
  <si>
    <t>該演示代碼被伺服器拒絕。</t>
  </si>
  <si>
    <t>该演示代码被服务器拒绝。</t>
  </si>
  <si>
    <t>Цей демонстраційний код було відхилено сервером.</t>
  </si>
  <si>
    <t>err_serverVerifyFailed</t>
  </si>
  <si>
    <t>Response from the server##could not be authenticated.</t>
  </si>
  <si>
    <t>來自伺服器的回應##無法進行身份驗證。</t>
  </si>
  <si>
    <t>来自服务器的响应##无法进行身份验证。</t>
  </si>
  <si>
    <t>Відповідь від сервера##не вдалося автентифікувати.</t>
  </si>
  <si>
    <t>err_badServerResponse</t>
  </si>
  <si>
    <t>ERROR:  UNEXPECTED##RESPONSE FROM SERVER</t>
  </si>
  <si>
    <t>錯誤：意外##的伺服器回應</t>
  </si>
  <si>
    <t>错误：意外##的服务器响应</t>
  </si>
  <si>
    <t>ПОМИЛКА: НЕОЧІКУВАНА## ВІДПОВІДЬ ВІД СЕРВЕРА</t>
  </si>
  <si>
    <t>fullSlip.tga</t>
  </si>
  <si>
    <t>https://github.com/jasonrohrer/OneLife/raw/master/gameSource/graphics/fullSlip.tga</t>
  </si>
  <si>
    <t>https://github.com/skps2010/OneLife/raw/translation_stuff/translation/zh_tw/fullSlip.tga</t>
  </si>
  <si>
    <t>https://github.com/is52hertz/OneLife.skps2010/raw/master-main/gameSource/graphics/fullSlip.tga</t>
  </si>
  <si>
    <t>https://github.com/skps2010/OneLife/raw/translation_stuff/translation/ukr/fullSlip.tga</t>
  </si>
  <si>
    <t>guiPanel.tga</t>
  </si>
  <si>
    <t>https://github.com/jasonrohrer/OneLife/raw/master/gameSource/graphics/guiPanel.tga</t>
  </si>
  <si>
    <t>https://github.com/skps2010/OneLife/raw/translation_stuff/translation/zh_tw/guiPanel.tga</t>
  </si>
  <si>
    <t>https://github.com/skps2010/OneLife/raw/translation_stuff/translation/zh_cn/guiPanel.tga</t>
  </si>
  <si>
    <t>https://github.com/skps2010/OneLife/raw/translation_stuff/translation/ukr/guiPanel.tga</t>
  </si>
  <si>
    <t>hungrySlip.tga</t>
  </si>
  <si>
    <t>https://github.com/jasonrohrer/OneLife/raw/master/gameSource/graphics/hungrySlip.tga</t>
  </si>
  <si>
    <t>https://github.com/skps2010/OneLife/raw/translation_stuff/translation/zh_tw/hungrySlip.tga</t>
  </si>
  <si>
    <t>https://github.com/skps2010/OneLife/raw/translation_stuff/translation/zh_cn/hungrySlip.tga</t>
  </si>
  <si>
    <t>https://github.com/skps2010/OneLife/raw/translation_stuff/translation/ukr/hungrySlip.tga</t>
  </si>
  <si>
    <t>instructions.tga</t>
  </si>
  <si>
    <t>https://github.com/jasonrohrer/OneLife/raw/master/gameSource/graphics/instructions.tga</t>
  </si>
  <si>
    <t>https://github.com/skps2010/OneLife/raw/translation_stuff/translation/zh_tw/instructions.tga</t>
  </si>
  <si>
    <t>https://github.com/skps2010/OneLife/raw/translation_stuff/translation/zh_cn/instructions.tga</t>
  </si>
  <si>
    <t>https://github.com/skps2010/OneLife/raw/translation_stuff/translation/ukr/instructions.tga</t>
  </si>
  <si>
    <t>starvingSlip.tga</t>
  </si>
  <si>
    <t>https://github.com/jasonrohrer/OneLife/raw/master/gameSource/graphics/starvingSlip.tga</t>
  </si>
  <si>
    <t>https://github.com/skps2010/OneLife/raw/translation_stuff/translation/zh_tw/starvingSlip.tga</t>
  </si>
  <si>
    <t>https://github.com/skps2010/OneLife/raw/translation_stuff/translation/zh_cn/starvingSlip.tga</t>
  </si>
  <si>
    <t>https://github.com/skps2010/OneLife/raw/translation_stuff/translation/ukr/starvingSlip.tga</t>
  </si>
  <si>
    <t>homeSlip.tga</t>
  </si>
  <si>
    <t>https://github.com/jasonrohrer/OneLife/raw/master/gameSource/graphics/homeSlip.tga</t>
  </si>
  <si>
    <t>https://github.com/fengmm521/oneone/raw/master/oneonesource/zh/graphics/homeSlip.tga</t>
  </si>
  <si>
    <t>https://github.com/skps2010/OneLife/raw/translation_stuff/translation/ukr/homeSlip.tga</t>
  </si>
  <si>
    <t>unicodeWide.ini</t>
  </si>
  <si>
    <t>unicodeScale.ini</t>
  </si>
  <si>
    <t>unicodeOffset.ini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</si>
</sst>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7">
    <font>
      <sz val="10.0"/>
      <color rgb="FF000000"/>
      <name val="Arial"/>
      <scheme val="minor"/>
    </font>
    <font>
      <color theme="1"/>
      <name val="Arial"/>
    </font>
    <font>
      <sz val="11.0"/>
      <color rgb="FF333333"/>
      <name val="Roboto"/>
    </font>
    <font>
      <sz val="11.0"/>
      <color rgb="FF4D5156"/>
      <name val="Arial"/>
    </font>
    <font>
      <color theme="1"/>
      <name val="Arial"/>
      <scheme val="minor"/>
    </font>
    <font>
      <color rgb="FF000000"/>
      <name val="Arial"/>
    </font>
    <font>
      <sz val="12.0"/>
      <color rgb="FF011627"/>
      <name val="Georgia"/>
    </font>
    <font>
      <sz val="10.0"/>
      <color rgb="FF111111"/>
      <name val="Arial"/>
    </font>
    <font>
      <sz val="10.0"/>
      <color theme="1"/>
      <name val="Arial"/>
    </font>
    <font>
      <sz val="10.0"/>
      <color rgb="FF011627"/>
      <name val="Georgia"/>
    </font>
    <font>
      <sz val="10.0"/>
      <color rgb="FF011627"/>
      <name val="Arial"/>
      <scheme val="minor"/>
    </font>
    <font>
      <u/>
      <color rgb="FF1155CC"/>
      <name val="Arial"/>
    </font>
    <font>
      <u/>
      <color rgb="FF1155CC"/>
      <name val="Arial"/>
    </font>
    <font>
      <u/>
      <sz val="9.0"/>
      <color rgb="FF0000FF"/>
      <name val="&quot;Google Sans&quot;"/>
    </font>
    <font>
      <sz val="9.0"/>
      <color rgb="FF1F1F1F"/>
      <name val="&quot;Google Sans&quot;"/>
    </font>
    <font>
      <sz val="9.0"/>
      <color theme="1"/>
      <name val="&quot;Google Sans&quot;"/>
    </font>
    <font>
      <sz val="9.0"/>
      <color theme="1"/>
      <name val="&quot;docs-Google Sans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DFFFC"/>
        <bgColor rgb="FFFDFFFC"/>
      </patternFill>
    </fill>
    <fill>
      <patternFill patternType="solid">
        <fgColor rgb="FFF7F7F7"/>
        <bgColor rgb="FFF7F7F7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2" fontId="2" numFmtId="0" xfId="0" applyAlignment="1" applyFill="1" applyFont="1">
      <alignment horizontal="left"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2" fontId="5" numFmtId="0" xfId="0" applyAlignment="1" applyFont="1">
      <alignment horizontal="left" readingOrder="0"/>
    </xf>
    <xf borderId="0" fillId="0" fontId="1" numFmtId="0" xfId="0" applyAlignment="1" applyFont="1">
      <alignment vertical="bottom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3" fontId="1" numFmtId="0" xfId="0" applyAlignment="1" applyFont="1">
      <alignment readingOrder="0" vertical="bottom"/>
    </xf>
    <xf borderId="0" fillId="4" fontId="6" numFmtId="0" xfId="0" applyAlignment="1" applyFill="1" applyFont="1">
      <alignment readingOrder="0"/>
    </xf>
    <xf borderId="0" fillId="5" fontId="7" numFmtId="0" xfId="0" applyAlignment="1" applyFill="1" applyFont="1">
      <alignment horizontal="left" readingOrder="0"/>
    </xf>
    <xf borderId="0" fillId="0" fontId="8" numFmtId="0" xfId="0" applyAlignment="1" applyFont="1">
      <alignment readingOrder="0" vertical="bottom"/>
    </xf>
    <xf borderId="0" fillId="0" fontId="4" numFmtId="164" xfId="0" applyAlignment="1" applyFont="1" applyNumberFormat="1">
      <alignment readingOrder="0"/>
    </xf>
    <xf borderId="0" fillId="4" fontId="9" numFmtId="0" xfId="0" applyAlignment="1" applyFont="1">
      <alignment readingOrder="0"/>
    </xf>
    <xf borderId="0" fillId="4" fontId="10" numFmtId="0" xfId="0" applyAlignment="1" applyFont="1">
      <alignment readingOrder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0" fontId="13" numFmtId="0" xfId="0" applyAlignment="1" applyFont="1">
      <alignment vertical="bottom"/>
    </xf>
    <xf borderId="0" fillId="2" fontId="14" numFmtId="0" xfId="0" applyAlignment="1" applyFont="1">
      <alignment horizontal="right" readingOrder="0" vertical="bottom"/>
    </xf>
    <xf borderId="0" fillId="2" fontId="14" numFmtId="0" xfId="0" applyAlignment="1" applyFont="1">
      <alignment horizontal="right" vertical="bottom"/>
    </xf>
    <xf borderId="0" fillId="2" fontId="15" numFmtId="0" xfId="0" applyAlignment="1" applyFont="1">
      <alignment horizontal="right" readingOrder="0" vertical="bottom"/>
    </xf>
    <xf borderId="0" fillId="2" fontId="16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skps2010/OneLife/raw/translation_stuff/translation/ukr/starvingSlip.tga" TargetMode="External"/><Relationship Id="rId22" Type="http://schemas.openxmlformats.org/officeDocument/2006/relationships/hyperlink" Target="https://github.com/fengmm521/oneone/raw/master/oneonesource/zh/graphics/homeSlip.tga" TargetMode="External"/><Relationship Id="rId21" Type="http://schemas.openxmlformats.org/officeDocument/2006/relationships/hyperlink" Target="https://github.com/jasonrohrer/OneLife/raw/master/gameSource/graphics/homeSlip.tga" TargetMode="External"/><Relationship Id="rId24" Type="http://schemas.openxmlformats.org/officeDocument/2006/relationships/hyperlink" Target="https://github.com/skps2010/OneLife/raw/translation_stuff/translation/ukr/homeSlip.tga" TargetMode="External"/><Relationship Id="rId23" Type="http://schemas.openxmlformats.org/officeDocument/2006/relationships/hyperlink" Target="https://github.com/fengmm521/oneone/raw/master/oneonesource/zh/graphics/homeSlip.tga" TargetMode="External"/><Relationship Id="rId1" Type="http://schemas.openxmlformats.org/officeDocument/2006/relationships/hyperlink" Target="https://github.com/jasonrohrer/OneLife/raw/master/gameSource/graphics/fullSlip.tga" TargetMode="External"/><Relationship Id="rId2" Type="http://schemas.openxmlformats.org/officeDocument/2006/relationships/hyperlink" Target="https://github.com/skps2010/OneLife/raw/translation_stuff/translation/zh_tw/fullSlip.tga" TargetMode="External"/><Relationship Id="rId3" Type="http://schemas.openxmlformats.org/officeDocument/2006/relationships/hyperlink" Target="https://github.com/is52hertz/OneLife.skps2010/raw/master-main/gameSource/graphics/fullSlip.tga" TargetMode="External"/><Relationship Id="rId4" Type="http://schemas.openxmlformats.org/officeDocument/2006/relationships/hyperlink" Target="https://github.com/skps2010/OneLife/raw/translation_stuff/translation/ukr/fullSlip.tga" TargetMode="External"/><Relationship Id="rId9" Type="http://schemas.openxmlformats.org/officeDocument/2006/relationships/hyperlink" Target="https://github.com/jasonrohrer/OneLife/raw/master/gameSource/graphics/hungrySlip.tga" TargetMode="External"/><Relationship Id="rId25" Type="http://schemas.openxmlformats.org/officeDocument/2006/relationships/drawing" Target="../drawings/drawing4.xml"/><Relationship Id="rId5" Type="http://schemas.openxmlformats.org/officeDocument/2006/relationships/hyperlink" Target="https://github.com/jasonrohrer/OneLife/raw/master/gameSource/graphics/guiPanel.tga" TargetMode="External"/><Relationship Id="rId6" Type="http://schemas.openxmlformats.org/officeDocument/2006/relationships/hyperlink" Target="https://github.com/skps2010/OneLife/raw/translation_stuff/translation/zh_tw/guiPanel.tga" TargetMode="External"/><Relationship Id="rId7" Type="http://schemas.openxmlformats.org/officeDocument/2006/relationships/hyperlink" Target="https://github.com/skps2010/OneLife/raw/translation_stuff/translation/zh_tw/guiPanel.tga" TargetMode="External"/><Relationship Id="rId8" Type="http://schemas.openxmlformats.org/officeDocument/2006/relationships/hyperlink" Target="https://github.com/skps2010/OneLife/raw/translation_stuff/translation/ukr/guiPanel.tga" TargetMode="External"/><Relationship Id="rId11" Type="http://schemas.openxmlformats.org/officeDocument/2006/relationships/hyperlink" Target="https://github.com/skps2010/OneLife/raw/translation_stuff/translation/zh_tw/hungrySlip.tga" TargetMode="External"/><Relationship Id="rId10" Type="http://schemas.openxmlformats.org/officeDocument/2006/relationships/hyperlink" Target="https://github.com/skps2010/OneLife/raw/translation_stuff/translation/zh_tw/hungrySlip.tga" TargetMode="External"/><Relationship Id="rId13" Type="http://schemas.openxmlformats.org/officeDocument/2006/relationships/hyperlink" Target="https://github.com/jasonrohrer/OneLife/raw/master/gameSource/graphics/instructions.tga" TargetMode="External"/><Relationship Id="rId12" Type="http://schemas.openxmlformats.org/officeDocument/2006/relationships/hyperlink" Target="https://github.com/skps2010/OneLife/raw/translation_stuff/translation/ukr/hungrySlip.tga" TargetMode="External"/><Relationship Id="rId15" Type="http://schemas.openxmlformats.org/officeDocument/2006/relationships/hyperlink" Target="https://github.com/skps2010/OneLife/raw/translation_stuff/translation/zh_tw/instructions.tga" TargetMode="External"/><Relationship Id="rId14" Type="http://schemas.openxmlformats.org/officeDocument/2006/relationships/hyperlink" Target="https://github.com/skps2010/OneLife/raw/translation_stuff/translation/zh_tw/instructions.tga" TargetMode="External"/><Relationship Id="rId17" Type="http://schemas.openxmlformats.org/officeDocument/2006/relationships/hyperlink" Target="https://github.com/jasonrohrer/OneLife/raw/master/gameSource/graphics/starvingSlip.tga" TargetMode="External"/><Relationship Id="rId16" Type="http://schemas.openxmlformats.org/officeDocument/2006/relationships/hyperlink" Target="https://github.com/skps2010/OneLife/raw/translation_stuff/translation/ukr/instructions.tga" TargetMode="External"/><Relationship Id="rId19" Type="http://schemas.openxmlformats.org/officeDocument/2006/relationships/hyperlink" Target="https://github.com/skps2010/OneLife/raw/translation_stuff/translation/zh_tw/starvingSlip.tga" TargetMode="External"/><Relationship Id="rId18" Type="http://schemas.openxmlformats.org/officeDocument/2006/relationships/hyperlink" Target="https://github.com/skps2010/OneLife/raw/translation_stuff/translation/zh_tw/starvingSlip.tga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2.38"/>
    <col customWidth="1" min="3" max="3" width="24.13"/>
    <col customWidth="1" min="5" max="5" width="23.63"/>
    <col customWidth="1" min="7" max="7" width="26.0"/>
  </cols>
  <sheetData>
    <row r="1">
      <c r="A1" s="1" t="s">
        <v>0</v>
      </c>
      <c r="B1" s="1"/>
      <c r="C1" s="2" t="s">
        <v>1</v>
      </c>
      <c r="D1" s="3"/>
      <c r="E1" s="2" t="s">
        <v>2</v>
      </c>
      <c r="F1" s="3"/>
      <c r="G1" s="2" t="s">
        <v>3</v>
      </c>
    </row>
    <row r="2">
      <c r="A2" s="1" t="s">
        <v>4</v>
      </c>
      <c r="B2" s="1"/>
      <c r="C2" s="4">
        <v>37.0</v>
      </c>
      <c r="D2" s="3"/>
      <c r="E2" s="5" t="s">
        <v>5</v>
      </c>
      <c r="F2" s="3"/>
      <c r="G2" s="4">
        <v>14707.0</v>
      </c>
    </row>
    <row r="3">
      <c r="A3" s="1" t="s">
        <v>6</v>
      </c>
      <c r="B3" s="1"/>
      <c r="C3" s="3">
        <v>44.0</v>
      </c>
      <c r="D3" s="3"/>
      <c r="E3" s="3" t="s">
        <v>7</v>
      </c>
      <c r="F3" s="3"/>
      <c r="G3" s="3"/>
    </row>
    <row r="4">
      <c r="A4" s="1" t="s">
        <v>8</v>
      </c>
      <c r="B4" s="1"/>
      <c r="C4" s="4">
        <v>152.0</v>
      </c>
      <c r="D4" s="3"/>
      <c r="E4" s="3" t="s">
        <v>9</v>
      </c>
      <c r="F4" s="3"/>
      <c r="G4" s="3"/>
    </row>
    <row r="5">
      <c r="A5" s="1"/>
      <c r="B5" s="1"/>
      <c r="C5" s="3">
        <v>2.0</v>
      </c>
      <c r="D5" s="3"/>
      <c r="E5" s="3" t="s">
        <v>10</v>
      </c>
      <c r="F5" s="3"/>
      <c r="G5" s="3"/>
    </row>
    <row r="6">
      <c r="A6" s="1" t="s">
        <v>11</v>
      </c>
      <c r="B6" s="1"/>
      <c r="C6" s="3">
        <v>0.0</v>
      </c>
      <c r="D6" s="3"/>
      <c r="E6" s="3" t="s">
        <v>12</v>
      </c>
      <c r="F6" s="3"/>
      <c r="G6" s="3"/>
    </row>
    <row r="7">
      <c r="A7" s="1" t="s">
        <v>13</v>
      </c>
      <c r="B7" s="1"/>
      <c r="C7" s="1"/>
      <c r="D7" s="1"/>
      <c r="E7" s="1"/>
      <c r="F7" s="1"/>
      <c r="G7" s="1"/>
    </row>
    <row r="8">
      <c r="A8" s="1" t="s">
        <v>14</v>
      </c>
      <c r="B8" s="1"/>
      <c r="C8" s="1"/>
      <c r="D8" s="1"/>
      <c r="E8" s="1"/>
      <c r="F8" s="1"/>
      <c r="G8" s="1"/>
    </row>
    <row r="9">
      <c r="A9" s="1" t="s">
        <v>15</v>
      </c>
      <c r="B9" s="1"/>
      <c r="C9" s="1"/>
      <c r="D9" s="1"/>
      <c r="E9" s="1"/>
      <c r="F9" s="1"/>
      <c r="G9" s="1"/>
    </row>
    <row r="10">
      <c r="A10" s="1"/>
      <c r="B10" s="1"/>
      <c r="C10" s="1"/>
      <c r="D10" s="1"/>
      <c r="E10" s="1"/>
      <c r="F10" s="1"/>
      <c r="G10" s="1"/>
    </row>
    <row r="11">
      <c r="A11" s="1" t="s">
        <v>16</v>
      </c>
      <c r="B11" s="1"/>
      <c r="C11" s="1"/>
      <c r="D11" s="1"/>
      <c r="E11" s="1"/>
      <c r="F11" s="1"/>
      <c r="G11" s="1"/>
    </row>
    <row r="12">
      <c r="A12" s="1" t="s">
        <v>17</v>
      </c>
      <c r="B12" s="1"/>
      <c r="C12" s="1"/>
      <c r="D12" s="1"/>
      <c r="E12" s="1"/>
      <c r="F12" s="1"/>
      <c r="G12" s="1"/>
    </row>
    <row r="13">
      <c r="A13" s="1" t="s">
        <v>18</v>
      </c>
      <c r="B13" s="1"/>
      <c r="C13" s="1"/>
      <c r="D13" s="1"/>
      <c r="E13" s="1"/>
      <c r="F13" s="1"/>
      <c r="G13" s="1"/>
    </row>
    <row r="14">
      <c r="A14" s="1" t="s">
        <v>19</v>
      </c>
      <c r="B14" s="1"/>
      <c r="C14" s="1"/>
      <c r="D14" s="1"/>
      <c r="E14" s="1"/>
      <c r="F14" s="1"/>
      <c r="G14" s="1"/>
    </row>
    <row r="15">
      <c r="A15" s="1" t="s">
        <v>20</v>
      </c>
      <c r="B15" s="1"/>
      <c r="C15" s="1"/>
      <c r="D15" s="1"/>
      <c r="E15" s="1"/>
      <c r="F15" s="1"/>
      <c r="G15" s="1"/>
    </row>
    <row r="16">
      <c r="A16" s="1" t="s">
        <v>21</v>
      </c>
      <c r="B16" s="1"/>
      <c r="C16" s="1"/>
      <c r="D16" s="1"/>
      <c r="E16" s="1"/>
      <c r="F16" s="1"/>
      <c r="G16" s="1"/>
    </row>
    <row r="17">
      <c r="A17" s="1" t="s">
        <v>22</v>
      </c>
      <c r="B17" s="1"/>
      <c r="C17" s="1"/>
      <c r="D17" s="1"/>
      <c r="E17" s="1"/>
      <c r="F17" s="1"/>
      <c r="G17" s="1"/>
    </row>
    <row r="18">
      <c r="A18" s="1" t="s">
        <v>23</v>
      </c>
      <c r="B18" s="1"/>
      <c r="C18" s="1"/>
      <c r="D18" s="1"/>
      <c r="E18" s="1"/>
      <c r="F18" s="1"/>
      <c r="G18" s="1"/>
    </row>
    <row r="19">
      <c r="A19" s="1"/>
      <c r="B19" s="1"/>
      <c r="C19" s="1"/>
      <c r="D19" s="1"/>
      <c r="E19" s="1"/>
      <c r="F19" s="1"/>
      <c r="G19" s="1"/>
    </row>
    <row r="20">
      <c r="A20" s="6" t="s">
        <v>24</v>
      </c>
      <c r="B20" s="1"/>
      <c r="C20" s="1"/>
      <c r="D20" s="1"/>
      <c r="E20" s="1"/>
      <c r="F20" s="1"/>
      <c r="G20" s="1"/>
    </row>
    <row r="21">
      <c r="A21" s="1"/>
      <c r="B21" s="1"/>
      <c r="C21" s="1"/>
      <c r="D21" s="1"/>
      <c r="E21" s="1"/>
      <c r="F21" s="1"/>
      <c r="G21" s="1"/>
    </row>
    <row r="22">
      <c r="A22" s="1" t="s">
        <v>25</v>
      </c>
      <c r="B22" s="1"/>
      <c r="C22" s="1"/>
      <c r="D22" s="1"/>
      <c r="E22" s="1"/>
      <c r="F22" s="1"/>
      <c r="G2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38"/>
  </cols>
  <sheetData>
    <row r="1">
      <c r="A1" s="6" t="s">
        <v>26</v>
      </c>
      <c r="B1" s="1" t="s">
        <v>5</v>
      </c>
      <c r="C1" s="1"/>
      <c r="D1" s="1" t="s">
        <v>27</v>
      </c>
      <c r="E1" s="1" t="s">
        <v>28</v>
      </c>
      <c r="F1" s="1"/>
      <c r="G1" s="1" t="s">
        <v>29</v>
      </c>
      <c r="H1" s="1" t="s">
        <v>28</v>
      </c>
      <c r="I1" s="1"/>
      <c r="J1" s="1" t="s">
        <v>30</v>
      </c>
      <c r="K1" s="7" t="s">
        <v>31</v>
      </c>
      <c r="L1" s="1"/>
      <c r="M1" s="8" t="s">
        <v>12</v>
      </c>
      <c r="N1" s="1" t="s">
        <v>31</v>
      </c>
      <c r="O1" s="9">
        <v>0.0</v>
      </c>
    </row>
    <row r="2">
      <c r="A2" s="9" t="s">
        <v>32</v>
      </c>
      <c r="B2" s="9" t="s">
        <v>33</v>
      </c>
      <c r="D2" s="9" t="s">
        <v>34</v>
      </c>
      <c r="G2" s="6" t="s">
        <v>35</v>
      </c>
      <c r="J2" s="9" t="s">
        <v>36</v>
      </c>
      <c r="O2" s="10">
        <f>IFERROR(__xludf.DUMMYFUNCTION("VALUE(REGEXEXTRACT(A2, ""\d+""))"),11.0)</f>
        <v>11</v>
      </c>
    </row>
    <row r="3">
      <c r="A3" s="9" t="s">
        <v>37</v>
      </c>
      <c r="B3" s="9" t="s">
        <v>38</v>
      </c>
      <c r="D3" s="9" t="s">
        <v>39</v>
      </c>
      <c r="G3" s="6" t="s">
        <v>39</v>
      </c>
      <c r="J3" s="9" t="s">
        <v>40</v>
      </c>
      <c r="O3" s="10">
        <f>IFERROR(__xludf.DUMMYFUNCTION("VALUE(REGEXEXTRACT(A3, ""\d+""))"),19.0)</f>
        <v>19</v>
      </c>
    </row>
    <row r="4">
      <c r="A4" s="9" t="s">
        <v>41</v>
      </c>
      <c r="B4" s="9" t="s">
        <v>42</v>
      </c>
      <c r="D4" s="9" t="s">
        <v>43</v>
      </c>
      <c r="G4" s="6" t="s">
        <v>44</v>
      </c>
      <c r="J4" s="9" t="s">
        <v>45</v>
      </c>
      <c r="O4" s="10">
        <f>IFERROR(__xludf.DUMMYFUNCTION("VALUE(REGEXEXTRACT(A4, ""\d+""))"),30.0)</f>
        <v>30</v>
      </c>
    </row>
    <row r="5">
      <c r="A5" s="9" t="s">
        <v>46</v>
      </c>
      <c r="B5" s="9" t="s">
        <v>47</v>
      </c>
      <c r="D5" s="9" t="s">
        <v>48</v>
      </c>
      <c r="G5" s="6" t="s">
        <v>48</v>
      </c>
      <c r="J5" s="9" t="s">
        <v>49</v>
      </c>
      <c r="O5" s="10">
        <f>IFERROR(__xludf.DUMMYFUNCTION("VALUE(REGEXEXTRACT(A5, ""\d+""))"),31.0)</f>
        <v>31</v>
      </c>
    </row>
    <row r="6">
      <c r="A6" s="9" t="s">
        <v>50</v>
      </c>
      <c r="B6" s="9" t="s">
        <v>51</v>
      </c>
      <c r="D6" s="9" t="s">
        <v>52</v>
      </c>
      <c r="G6" s="6" t="s">
        <v>53</v>
      </c>
      <c r="J6" s="9" t="s">
        <v>54</v>
      </c>
      <c r="O6" s="10">
        <f>IFERROR(__xludf.DUMMYFUNCTION("VALUE(REGEXEXTRACT(A6, ""\d+""))"),32.0)</f>
        <v>32</v>
      </c>
    </row>
    <row r="7">
      <c r="A7" s="9" t="s">
        <v>55</v>
      </c>
      <c r="B7" s="9" t="s">
        <v>56</v>
      </c>
      <c r="D7" s="9" t="s">
        <v>57</v>
      </c>
      <c r="G7" s="6" t="s">
        <v>58</v>
      </c>
      <c r="J7" s="9" t="s">
        <v>59</v>
      </c>
      <c r="O7" s="10">
        <f>IFERROR(__xludf.DUMMYFUNCTION("VALUE(REGEXEXTRACT(A7, ""\d+""))"),33.0)</f>
        <v>33</v>
      </c>
    </row>
    <row r="8">
      <c r="A8" s="9" t="s">
        <v>60</v>
      </c>
      <c r="B8" s="9" t="s">
        <v>61</v>
      </c>
      <c r="D8" s="9" t="s">
        <v>62</v>
      </c>
      <c r="G8" s="6" t="s">
        <v>62</v>
      </c>
      <c r="J8" s="9" t="s">
        <v>63</v>
      </c>
      <c r="O8" s="10">
        <f>IFERROR(__xludf.DUMMYFUNCTION("VALUE(REGEXEXTRACT(A8, ""\d+""))"),34.0)</f>
        <v>34</v>
      </c>
    </row>
    <row r="9">
      <c r="A9" s="9" t="s">
        <v>64</v>
      </c>
      <c r="B9" s="9" t="s">
        <v>65</v>
      </c>
      <c r="D9" s="9" t="s">
        <v>66</v>
      </c>
      <c r="G9" s="6" t="s">
        <v>67</v>
      </c>
      <c r="J9" s="9" t="s">
        <v>68</v>
      </c>
      <c r="O9" s="10">
        <f>IFERROR(__xludf.DUMMYFUNCTION("VALUE(REGEXEXTRACT(A9, ""\d+""))"),35.0)</f>
        <v>35</v>
      </c>
    </row>
    <row r="10">
      <c r="A10" s="9" t="s">
        <v>69</v>
      </c>
      <c r="B10" s="9" t="s">
        <v>70</v>
      </c>
      <c r="D10" s="9" t="s">
        <v>71</v>
      </c>
      <c r="G10" s="6" t="s">
        <v>72</v>
      </c>
      <c r="J10" s="9" t="s">
        <v>73</v>
      </c>
      <c r="O10" s="10">
        <f>IFERROR(__xludf.DUMMYFUNCTION("VALUE(REGEXEXTRACT(A10, ""\d+""))"),36.0)</f>
        <v>36</v>
      </c>
    </row>
    <row r="11">
      <c r="A11" s="9" t="s">
        <v>74</v>
      </c>
      <c r="B11" s="9" t="s">
        <v>75</v>
      </c>
      <c r="D11" s="9" t="s">
        <v>76</v>
      </c>
      <c r="G11" s="6" t="s">
        <v>77</v>
      </c>
      <c r="J11" s="9" t="s">
        <v>78</v>
      </c>
      <c r="O11" s="10">
        <f>IFERROR(__xludf.DUMMYFUNCTION("VALUE(REGEXEXTRACT(A11, ""\d+""))"),39.0)</f>
        <v>39</v>
      </c>
    </row>
    <row r="12">
      <c r="A12" s="9" t="s">
        <v>79</v>
      </c>
      <c r="B12" s="9" t="s">
        <v>80</v>
      </c>
      <c r="D12" s="9" t="s">
        <v>81</v>
      </c>
      <c r="G12" s="6" t="s">
        <v>82</v>
      </c>
      <c r="J12" s="9" t="s">
        <v>83</v>
      </c>
      <c r="O12" s="10">
        <f>IFERROR(__xludf.DUMMYFUNCTION("VALUE(REGEXEXTRACT(A12, ""\d+""))"),40.0)</f>
        <v>40</v>
      </c>
    </row>
    <row r="13">
      <c r="A13" s="9" t="s">
        <v>84</v>
      </c>
      <c r="B13" s="9" t="s">
        <v>85</v>
      </c>
      <c r="D13" s="9" t="s">
        <v>86</v>
      </c>
      <c r="G13" s="6" t="s">
        <v>87</v>
      </c>
      <c r="J13" s="9" t="s">
        <v>88</v>
      </c>
      <c r="O13" s="10">
        <f>IFERROR(__xludf.DUMMYFUNCTION("VALUE(REGEXEXTRACT(A13, ""\d+""))"),45.0)</f>
        <v>45</v>
      </c>
    </row>
    <row r="14">
      <c r="A14" s="9" t="s">
        <v>89</v>
      </c>
      <c r="B14" s="9" t="s">
        <v>90</v>
      </c>
      <c r="D14" s="9" t="s">
        <v>91</v>
      </c>
      <c r="G14" s="6" t="s">
        <v>92</v>
      </c>
      <c r="J14" s="9" t="s">
        <v>93</v>
      </c>
      <c r="O14" s="10">
        <f>IFERROR(__xludf.DUMMYFUNCTION("VALUE(REGEXEXTRACT(A14, ""\d+""))"),48.0)</f>
        <v>48</v>
      </c>
    </row>
    <row r="15">
      <c r="A15" s="9" t="s">
        <v>94</v>
      </c>
      <c r="B15" s="9" t="s">
        <v>95</v>
      </c>
      <c r="D15" s="9" t="s">
        <v>96</v>
      </c>
      <c r="G15" s="6" t="s">
        <v>97</v>
      </c>
      <c r="J15" s="9" t="s">
        <v>98</v>
      </c>
      <c r="O15" s="10">
        <f>IFERROR(__xludf.DUMMYFUNCTION("VALUE(REGEXEXTRACT(A15, ""\d+""))"),49.0)</f>
        <v>49</v>
      </c>
    </row>
    <row r="16">
      <c r="A16" s="9" t="s">
        <v>99</v>
      </c>
      <c r="B16" s="9" t="s">
        <v>100</v>
      </c>
      <c r="D16" s="9" t="s">
        <v>101</v>
      </c>
      <c r="G16" s="6" t="s">
        <v>101</v>
      </c>
      <c r="J16" s="9" t="s">
        <v>102</v>
      </c>
      <c r="O16" s="10">
        <f>IFERROR(__xludf.DUMMYFUNCTION("VALUE(REGEXEXTRACT(A16, ""\d+""))"),50.0)</f>
        <v>50</v>
      </c>
    </row>
    <row r="17">
      <c r="A17" s="9" t="s">
        <v>103</v>
      </c>
      <c r="B17" s="9" t="s">
        <v>104</v>
      </c>
      <c r="D17" s="9" t="s">
        <v>105</v>
      </c>
      <c r="G17" s="6" t="s">
        <v>106</v>
      </c>
      <c r="J17" s="9" t="s">
        <v>107</v>
      </c>
      <c r="O17" s="10">
        <f>IFERROR(__xludf.DUMMYFUNCTION("VALUE(REGEXEXTRACT(A17, ""\d+""))"),51.0)</f>
        <v>51</v>
      </c>
    </row>
    <row r="18">
      <c r="A18" s="9" t="s">
        <v>108</v>
      </c>
      <c r="B18" s="9" t="s">
        <v>109</v>
      </c>
      <c r="D18" s="9" t="s">
        <v>110</v>
      </c>
      <c r="G18" s="6" t="s">
        <v>111</v>
      </c>
      <c r="J18" s="9" t="s">
        <v>112</v>
      </c>
      <c r="O18" s="10">
        <f>IFERROR(__xludf.DUMMYFUNCTION("VALUE(REGEXEXTRACT(A18, ""\d+""))"),52.0)</f>
        <v>52</v>
      </c>
    </row>
    <row r="19">
      <c r="A19" s="9" t="s">
        <v>113</v>
      </c>
      <c r="B19" s="9" t="s">
        <v>114</v>
      </c>
      <c r="D19" s="9" t="s">
        <v>115</v>
      </c>
      <c r="G19" s="6" t="s">
        <v>116</v>
      </c>
      <c r="J19" s="9" t="s">
        <v>117</v>
      </c>
      <c r="O19" s="10">
        <f>IFERROR(__xludf.DUMMYFUNCTION("VALUE(REGEXEXTRACT(A19, ""\d+""))"),53.0)</f>
        <v>53</v>
      </c>
    </row>
    <row r="20">
      <c r="A20" s="9" t="s">
        <v>118</v>
      </c>
      <c r="B20" s="9" t="s">
        <v>119</v>
      </c>
      <c r="D20" s="9" t="s">
        <v>120</v>
      </c>
      <c r="G20" s="6" t="s">
        <v>121</v>
      </c>
      <c r="J20" s="9" t="s">
        <v>122</v>
      </c>
      <c r="O20" s="10">
        <f>IFERROR(__xludf.DUMMYFUNCTION("VALUE(REGEXEXTRACT(A20, ""\d+""))"),54.0)</f>
        <v>54</v>
      </c>
    </row>
    <row r="21">
      <c r="A21" s="9" t="s">
        <v>123</v>
      </c>
      <c r="B21" s="9" t="s">
        <v>124</v>
      </c>
      <c r="D21" s="9" t="s">
        <v>125</v>
      </c>
      <c r="G21" s="6" t="s">
        <v>126</v>
      </c>
      <c r="J21" s="9" t="s">
        <v>127</v>
      </c>
      <c r="O21" s="10">
        <f>IFERROR(__xludf.DUMMYFUNCTION("VALUE(REGEXEXTRACT(A21, ""\d+""))"),55.0)</f>
        <v>55</v>
      </c>
    </row>
    <row r="22">
      <c r="A22" s="9" t="s">
        <v>128</v>
      </c>
      <c r="B22" s="9" t="s">
        <v>129</v>
      </c>
      <c r="D22" s="9" t="s">
        <v>130</v>
      </c>
      <c r="G22" s="6" t="s">
        <v>130</v>
      </c>
      <c r="J22" s="9" t="s">
        <v>131</v>
      </c>
      <c r="O22" s="10">
        <f>IFERROR(__xludf.DUMMYFUNCTION("VALUE(REGEXEXTRACT(A22, ""\d+""))"),56.0)</f>
        <v>56</v>
      </c>
    </row>
    <row r="23">
      <c r="A23" s="9" t="s">
        <v>132</v>
      </c>
      <c r="B23" s="9" t="s">
        <v>133</v>
      </c>
      <c r="D23" s="9" t="s">
        <v>134</v>
      </c>
      <c r="G23" s="6" t="s">
        <v>135</v>
      </c>
      <c r="J23" s="9" t="s">
        <v>136</v>
      </c>
      <c r="O23" s="10">
        <f>IFERROR(__xludf.DUMMYFUNCTION("VALUE(REGEXEXTRACT(A23, ""\d+""))"),57.0)</f>
        <v>57</v>
      </c>
    </row>
    <row r="24">
      <c r="A24" s="9" t="s">
        <v>137</v>
      </c>
      <c r="B24" s="9" t="s">
        <v>138</v>
      </c>
      <c r="D24" s="9" t="s">
        <v>139</v>
      </c>
      <c r="G24" s="6" t="s">
        <v>140</v>
      </c>
      <c r="J24" s="9" t="s">
        <v>141</v>
      </c>
      <c r="O24" s="10">
        <f>IFERROR(__xludf.DUMMYFUNCTION("VALUE(REGEXEXTRACT(A24, ""\d+""))"),58.0)</f>
        <v>58</v>
      </c>
    </row>
    <row r="25">
      <c r="A25" s="9" t="s">
        <v>142</v>
      </c>
      <c r="B25" s="9" t="s">
        <v>143</v>
      </c>
      <c r="D25" s="9" t="s">
        <v>144</v>
      </c>
      <c r="G25" s="6" t="s">
        <v>145</v>
      </c>
      <c r="J25" s="9" t="s">
        <v>146</v>
      </c>
      <c r="O25" s="10">
        <f>IFERROR(__xludf.DUMMYFUNCTION("VALUE(REGEXEXTRACT(A25, ""\d+""))"),59.0)</f>
        <v>59</v>
      </c>
    </row>
    <row r="26">
      <c r="A26" s="9" t="s">
        <v>147</v>
      </c>
      <c r="B26" s="9" t="s">
        <v>148</v>
      </c>
      <c r="D26" s="9" t="s">
        <v>149</v>
      </c>
      <c r="G26" s="6" t="s">
        <v>149</v>
      </c>
      <c r="J26" s="9" t="s">
        <v>150</v>
      </c>
      <c r="O26" s="10">
        <f>IFERROR(__xludf.DUMMYFUNCTION("VALUE(REGEXEXTRACT(A26, ""\d+""))"),60.0)</f>
        <v>60</v>
      </c>
    </row>
    <row r="27">
      <c r="A27" s="9" t="s">
        <v>151</v>
      </c>
      <c r="B27" s="9" t="s">
        <v>152</v>
      </c>
      <c r="D27" s="9" t="s">
        <v>153</v>
      </c>
      <c r="G27" s="6" t="s">
        <v>154</v>
      </c>
      <c r="J27" s="9" t="s">
        <v>155</v>
      </c>
      <c r="O27" s="10">
        <f>IFERROR(__xludf.DUMMYFUNCTION("VALUE(REGEXEXTRACT(A27, ""\d+""))"),61.0)</f>
        <v>61</v>
      </c>
    </row>
    <row r="28">
      <c r="A28" s="9" t="s">
        <v>156</v>
      </c>
      <c r="B28" s="9" t="s">
        <v>157</v>
      </c>
      <c r="D28" s="9" t="s">
        <v>158</v>
      </c>
      <c r="G28" s="6" t="s">
        <v>159</v>
      </c>
      <c r="J28" s="9" t="s">
        <v>160</v>
      </c>
      <c r="O28" s="10">
        <f>IFERROR(__xludf.DUMMYFUNCTION("VALUE(REGEXEXTRACT(A28, ""\d+""))"),62.0)</f>
        <v>62</v>
      </c>
    </row>
    <row r="29">
      <c r="A29" s="9" t="s">
        <v>161</v>
      </c>
      <c r="B29" s="9" t="s">
        <v>162</v>
      </c>
      <c r="D29" s="9" t="s">
        <v>163</v>
      </c>
      <c r="G29" s="6" t="s">
        <v>164</v>
      </c>
      <c r="J29" s="9" t="s">
        <v>165</v>
      </c>
      <c r="O29" s="10">
        <f>IFERROR(__xludf.DUMMYFUNCTION("VALUE(REGEXEXTRACT(A29, ""\d+""))"),63.0)</f>
        <v>63</v>
      </c>
    </row>
    <row r="30">
      <c r="A30" s="9" t="s">
        <v>166</v>
      </c>
      <c r="B30" s="9" t="s">
        <v>167</v>
      </c>
      <c r="D30" s="9" t="s">
        <v>168</v>
      </c>
      <c r="G30" s="6" t="s">
        <v>169</v>
      </c>
      <c r="J30" s="9" t="s">
        <v>170</v>
      </c>
      <c r="O30" s="10">
        <f>IFERROR(__xludf.DUMMYFUNCTION("VALUE(REGEXEXTRACT(A30, ""\d+""))"),64.0)</f>
        <v>64</v>
      </c>
    </row>
    <row r="31">
      <c r="A31" s="9" t="s">
        <v>171</v>
      </c>
      <c r="B31" s="9" t="s">
        <v>172</v>
      </c>
      <c r="D31" s="9" t="s">
        <v>173</v>
      </c>
      <c r="G31" s="6" t="s">
        <v>174</v>
      </c>
      <c r="J31" s="9" t="s">
        <v>175</v>
      </c>
      <c r="O31" s="10">
        <f>IFERROR(__xludf.DUMMYFUNCTION("VALUE(REGEXEXTRACT(A31, ""\d+""))"),65.0)</f>
        <v>65</v>
      </c>
    </row>
    <row r="32">
      <c r="A32" s="9" t="s">
        <v>176</v>
      </c>
      <c r="B32" s="9" t="s">
        <v>177</v>
      </c>
      <c r="D32" s="9" t="s">
        <v>178</v>
      </c>
      <c r="G32" s="6" t="s">
        <v>179</v>
      </c>
      <c r="J32" s="9" t="s">
        <v>180</v>
      </c>
      <c r="O32" s="10">
        <f>IFERROR(__xludf.DUMMYFUNCTION("VALUE(REGEXEXTRACT(A32, ""\d+""))"),66.0)</f>
        <v>66</v>
      </c>
    </row>
    <row r="33">
      <c r="A33" s="9" t="s">
        <v>181</v>
      </c>
      <c r="B33" s="9" t="s">
        <v>182</v>
      </c>
      <c r="D33" s="9" t="s">
        <v>183</v>
      </c>
      <c r="G33" s="6" t="s">
        <v>184</v>
      </c>
      <c r="J33" s="9" t="s">
        <v>185</v>
      </c>
      <c r="O33" s="10">
        <f>IFERROR(__xludf.DUMMYFUNCTION("VALUE(REGEXEXTRACT(A33, ""\d+""))"),67.0)</f>
        <v>67</v>
      </c>
    </row>
    <row r="34">
      <c r="A34" s="9" t="s">
        <v>186</v>
      </c>
      <c r="B34" s="9" t="s">
        <v>187</v>
      </c>
      <c r="D34" s="9" t="s">
        <v>188</v>
      </c>
      <c r="G34" s="6" t="s">
        <v>189</v>
      </c>
      <c r="J34" s="9" t="s">
        <v>190</v>
      </c>
      <c r="O34" s="10">
        <f>IFERROR(__xludf.DUMMYFUNCTION("VALUE(REGEXEXTRACT(A34, ""\d+""))"),68.0)</f>
        <v>68</v>
      </c>
    </row>
    <row r="35">
      <c r="A35" s="9" t="s">
        <v>191</v>
      </c>
      <c r="B35" s="9" t="s">
        <v>192</v>
      </c>
      <c r="D35" s="9" t="s">
        <v>193</v>
      </c>
      <c r="G35" s="6" t="s">
        <v>194</v>
      </c>
      <c r="J35" s="9" t="s">
        <v>195</v>
      </c>
      <c r="O35" s="10">
        <f>IFERROR(__xludf.DUMMYFUNCTION("VALUE(REGEXEXTRACT(A35, ""\d+""))"),69.0)</f>
        <v>69</v>
      </c>
    </row>
    <row r="36">
      <c r="A36" s="9" t="s">
        <v>196</v>
      </c>
      <c r="B36" s="9" t="s">
        <v>197</v>
      </c>
      <c r="D36" s="9" t="s">
        <v>198</v>
      </c>
      <c r="G36" s="6" t="s">
        <v>199</v>
      </c>
      <c r="J36" s="9" t="s">
        <v>200</v>
      </c>
      <c r="O36" s="10">
        <f>IFERROR(__xludf.DUMMYFUNCTION("VALUE(REGEXEXTRACT(A36, ""\d+""))"),70.0)</f>
        <v>70</v>
      </c>
    </row>
    <row r="37">
      <c r="A37" s="9" t="s">
        <v>201</v>
      </c>
      <c r="B37" s="9" t="s">
        <v>202</v>
      </c>
      <c r="D37" s="9" t="s">
        <v>203</v>
      </c>
      <c r="G37" s="9" t="s">
        <v>203</v>
      </c>
      <c r="J37" s="9" t="s">
        <v>204</v>
      </c>
      <c r="O37" s="10">
        <f>IFERROR(__xludf.DUMMYFUNCTION("VALUE(REGEXEXTRACT(A37, ""\d+""))"),71.0)</f>
        <v>71</v>
      </c>
    </row>
    <row r="38">
      <c r="A38" s="9" t="s">
        <v>205</v>
      </c>
      <c r="B38" s="9" t="s">
        <v>206</v>
      </c>
      <c r="D38" s="9" t="s">
        <v>207</v>
      </c>
      <c r="G38" s="6" t="s">
        <v>208</v>
      </c>
      <c r="J38" s="9" t="s">
        <v>209</v>
      </c>
      <c r="O38" s="10">
        <f>IFERROR(__xludf.DUMMYFUNCTION("VALUE(REGEXEXTRACT(A38, ""\d+""))"),72.0)</f>
        <v>72</v>
      </c>
    </row>
    <row r="39">
      <c r="A39" s="9" t="s">
        <v>210</v>
      </c>
      <c r="B39" s="9" t="s">
        <v>211</v>
      </c>
      <c r="D39" s="9" t="s">
        <v>212</v>
      </c>
      <c r="G39" s="6" t="s">
        <v>213</v>
      </c>
      <c r="J39" s="9" t="s">
        <v>214</v>
      </c>
      <c r="O39" s="10">
        <f>IFERROR(__xludf.DUMMYFUNCTION("VALUE(REGEXEXTRACT(A39, ""\d+""))"),73.0)</f>
        <v>73</v>
      </c>
    </row>
    <row r="40">
      <c r="A40" s="9" t="s">
        <v>215</v>
      </c>
      <c r="B40" s="9" t="s">
        <v>216</v>
      </c>
      <c r="D40" s="9" t="s">
        <v>217</v>
      </c>
      <c r="G40" s="6" t="s">
        <v>217</v>
      </c>
      <c r="J40" s="9" t="s">
        <v>218</v>
      </c>
      <c r="O40" s="10">
        <f>IFERROR(__xludf.DUMMYFUNCTION("VALUE(REGEXEXTRACT(A40, ""\d+""))"),74.0)</f>
        <v>74</v>
      </c>
    </row>
    <row r="41">
      <c r="A41" s="9" t="s">
        <v>219</v>
      </c>
      <c r="B41" s="9" t="s">
        <v>220</v>
      </c>
      <c r="D41" s="9" t="s">
        <v>221</v>
      </c>
      <c r="G41" s="6" t="s">
        <v>222</v>
      </c>
      <c r="J41" s="9" t="s">
        <v>223</v>
      </c>
      <c r="O41" s="10">
        <f>IFERROR(__xludf.DUMMYFUNCTION("VALUE(REGEXEXTRACT(A41, ""\d+""))"),75.0)</f>
        <v>75</v>
      </c>
    </row>
    <row r="42">
      <c r="A42" s="9" t="s">
        <v>224</v>
      </c>
      <c r="B42" s="9" t="s">
        <v>225</v>
      </c>
      <c r="D42" s="9" t="s">
        <v>226</v>
      </c>
      <c r="G42" s="6" t="s">
        <v>227</v>
      </c>
      <c r="J42" s="9" t="s">
        <v>228</v>
      </c>
      <c r="O42" s="10">
        <f>IFERROR(__xludf.DUMMYFUNCTION("VALUE(REGEXEXTRACT(A42, ""\d+""))"),77.0)</f>
        <v>77</v>
      </c>
    </row>
    <row r="43">
      <c r="A43" s="9" t="s">
        <v>229</v>
      </c>
      <c r="B43" s="9" t="s">
        <v>230</v>
      </c>
      <c r="D43" s="9" t="s">
        <v>231</v>
      </c>
      <c r="G43" s="6" t="s">
        <v>232</v>
      </c>
      <c r="J43" s="9" t="s">
        <v>233</v>
      </c>
      <c r="O43" s="10">
        <f>IFERROR(__xludf.DUMMYFUNCTION("VALUE(REGEXEXTRACT(A43, ""\d+""))"),78.0)</f>
        <v>78</v>
      </c>
    </row>
    <row r="44">
      <c r="A44" s="9" t="s">
        <v>234</v>
      </c>
      <c r="B44" s="9" t="s">
        <v>235</v>
      </c>
      <c r="D44" s="9" t="s">
        <v>236</v>
      </c>
      <c r="G44" s="6" t="s">
        <v>237</v>
      </c>
      <c r="J44" s="9" t="s">
        <v>238</v>
      </c>
      <c r="O44" s="10">
        <f>IFERROR(__xludf.DUMMYFUNCTION("VALUE(REGEXEXTRACT(A44, ""\d+""))"),79.0)</f>
        <v>79</v>
      </c>
    </row>
    <row r="45">
      <c r="A45" s="9" t="s">
        <v>239</v>
      </c>
      <c r="B45" s="9" t="s">
        <v>240</v>
      </c>
      <c r="D45" s="9" t="s">
        <v>241</v>
      </c>
      <c r="G45" s="6" t="s">
        <v>242</v>
      </c>
      <c r="J45" s="9" t="s">
        <v>243</v>
      </c>
      <c r="O45" s="10">
        <f>IFERROR(__xludf.DUMMYFUNCTION("VALUE(REGEXEXTRACT(A45, ""\d+""))"),80.0)</f>
        <v>80</v>
      </c>
    </row>
    <row r="46">
      <c r="A46" s="9" t="s">
        <v>244</v>
      </c>
      <c r="B46" s="9" t="s">
        <v>245</v>
      </c>
      <c r="D46" s="9" t="s">
        <v>246</v>
      </c>
      <c r="G46" s="6" t="s">
        <v>246</v>
      </c>
      <c r="J46" s="9" t="s">
        <v>247</v>
      </c>
      <c r="O46" s="10">
        <f>IFERROR(__xludf.DUMMYFUNCTION("VALUE(REGEXEXTRACT(A46, ""\d+""))"),82.0)</f>
        <v>82</v>
      </c>
    </row>
    <row r="47">
      <c r="A47" s="9" t="s">
        <v>248</v>
      </c>
      <c r="B47" s="9" t="s">
        <v>249</v>
      </c>
      <c r="D47" s="9" t="s">
        <v>250</v>
      </c>
      <c r="G47" s="6" t="s">
        <v>251</v>
      </c>
      <c r="J47" s="9" t="s">
        <v>252</v>
      </c>
      <c r="O47" s="10">
        <f>IFERROR(__xludf.DUMMYFUNCTION("VALUE(REGEXEXTRACT(A47, ""\d+""))"),83.0)</f>
        <v>83</v>
      </c>
    </row>
    <row r="48">
      <c r="A48" s="9" t="s">
        <v>253</v>
      </c>
      <c r="B48" s="9" t="s">
        <v>254</v>
      </c>
      <c r="D48" s="9" t="s">
        <v>255</v>
      </c>
      <c r="G48" s="6" t="s">
        <v>255</v>
      </c>
      <c r="J48" s="9" t="s">
        <v>256</v>
      </c>
      <c r="O48" s="10">
        <f>IFERROR(__xludf.DUMMYFUNCTION("VALUE(REGEXEXTRACT(A48, ""\d+""))"),85.0)</f>
        <v>85</v>
      </c>
    </row>
    <row r="49">
      <c r="A49" s="9" t="s">
        <v>257</v>
      </c>
      <c r="B49" s="9" t="s">
        <v>258</v>
      </c>
      <c r="D49" s="9" t="s">
        <v>259</v>
      </c>
      <c r="G49" s="6" t="s">
        <v>260</v>
      </c>
      <c r="J49" s="9" t="s">
        <v>261</v>
      </c>
      <c r="O49" s="10">
        <f>IFERROR(__xludf.DUMMYFUNCTION("VALUE(REGEXEXTRACT(A49, ""\d+""))"),86.0)</f>
        <v>86</v>
      </c>
    </row>
    <row r="50">
      <c r="A50" s="9" t="s">
        <v>262</v>
      </c>
      <c r="B50" s="9" t="s">
        <v>263</v>
      </c>
      <c r="D50" s="9" t="s">
        <v>264</v>
      </c>
      <c r="G50" s="6" t="s">
        <v>265</v>
      </c>
      <c r="J50" s="9" t="s">
        <v>266</v>
      </c>
      <c r="O50" s="10">
        <f>IFERROR(__xludf.DUMMYFUNCTION("VALUE(REGEXEXTRACT(A50, ""\d+""))"),87.0)</f>
        <v>87</v>
      </c>
    </row>
    <row r="51">
      <c r="A51" s="9" t="s">
        <v>267</v>
      </c>
      <c r="B51" s="9" t="s">
        <v>268</v>
      </c>
      <c r="D51" s="9" t="s">
        <v>269</v>
      </c>
      <c r="G51" s="6" t="s">
        <v>270</v>
      </c>
      <c r="J51" s="9" t="s">
        <v>271</v>
      </c>
      <c r="O51" s="10">
        <f>IFERROR(__xludf.DUMMYFUNCTION("VALUE(REGEXEXTRACT(A51, ""\d+""))"),88.0)</f>
        <v>88</v>
      </c>
    </row>
    <row r="52">
      <c r="A52" s="9" t="s">
        <v>272</v>
      </c>
      <c r="B52" s="9" t="s">
        <v>273</v>
      </c>
      <c r="D52" s="9" t="s">
        <v>274</v>
      </c>
      <c r="G52" s="6" t="s">
        <v>275</v>
      </c>
      <c r="J52" s="9" t="s">
        <v>276</v>
      </c>
      <c r="O52" s="10">
        <f>IFERROR(__xludf.DUMMYFUNCTION("VALUE(REGEXEXTRACT(A52, ""\d+""))"),89.0)</f>
        <v>89</v>
      </c>
    </row>
    <row r="53">
      <c r="A53" s="9" t="s">
        <v>277</v>
      </c>
      <c r="B53" s="9" t="s">
        <v>278</v>
      </c>
      <c r="D53" s="9" t="s">
        <v>279</v>
      </c>
      <c r="G53" s="6" t="s">
        <v>280</v>
      </c>
      <c r="J53" s="9" t="s">
        <v>281</v>
      </c>
      <c r="O53" s="10">
        <f>IFERROR(__xludf.DUMMYFUNCTION("VALUE(REGEXEXTRACT(A53, ""\d+""))"),92.0)</f>
        <v>92</v>
      </c>
    </row>
    <row r="54">
      <c r="A54" s="9" t="s">
        <v>282</v>
      </c>
      <c r="B54" s="9" t="s">
        <v>283</v>
      </c>
      <c r="D54" s="9" t="s">
        <v>284</v>
      </c>
      <c r="G54" s="6" t="s">
        <v>285</v>
      </c>
      <c r="J54" s="9" t="s">
        <v>286</v>
      </c>
      <c r="O54" s="10">
        <f>IFERROR(__xludf.DUMMYFUNCTION("VALUE(REGEXEXTRACT(A54, ""\d+""))"),96.0)</f>
        <v>96</v>
      </c>
    </row>
    <row r="55">
      <c r="A55" s="9" t="s">
        <v>287</v>
      </c>
      <c r="B55" s="9" t="s">
        <v>288</v>
      </c>
      <c r="D55" s="9" t="s">
        <v>289</v>
      </c>
      <c r="G55" s="6" t="s">
        <v>290</v>
      </c>
      <c r="J55" s="9" t="s">
        <v>291</v>
      </c>
      <c r="O55" s="10">
        <f>IFERROR(__xludf.DUMMYFUNCTION("VALUE(REGEXEXTRACT(A55, ""\d+""))"),99.0)</f>
        <v>99</v>
      </c>
    </row>
    <row r="56">
      <c r="A56" s="9" t="s">
        <v>292</v>
      </c>
      <c r="B56" s="9" t="s">
        <v>293</v>
      </c>
      <c r="D56" s="9" t="s">
        <v>294</v>
      </c>
      <c r="G56" s="6" t="s">
        <v>295</v>
      </c>
      <c r="J56" s="9" t="s">
        <v>296</v>
      </c>
      <c r="O56" s="10">
        <f>IFERROR(__xludf.DUMMYFUNCTION("VALUE(REGEXEXTRACT(A56, ""\d+""))"),100.0)</f>
        <v>100</v>
      </c>
    </row>
    <row r="57">
      <c r="A57" s="9" t="s">
        <v>297</v>
      </c>
      <c r="B57" s="9" t="s">
        <v>298</v>
      </c>
      <c r="G57" s="9" t="s">
        <v>299</v>
      </c>
      <c r="O57" s="10">
        <f>IFERROR(__xludf.DUMMYFUNCTION("VALUE(REGEXEXTRACT(A57, ""\d+""))"),101.0)</f>
        <v>101</v>
      </c>
    </row>
    <row r="58">
      <c r="A58" s="9" t="s">
        <v>300</v>
      </c>
      <c r="B58" s="9" t="s">
        <v>301</v>
      </c>
      <c r="G58" s="9" t="s">
        <v>302</v>
      </c>
      <c r="O58" s="10">
        <f>IFERROR(__xludf.DUMMYFUNCTION("VALUE(REGEXEXTRACT(A58, ""\d+""))"),103.0)</f>
        <v>103</v>
      </c>
    </row>
    <row r="59">
      <c r="A59" s="9" t="s">
        <v>303</v>
      </c>
      <c r="B59" s="9" t="s">
        <v>304</v>
      </c>
      <c r="G59" s="9" t="s">
        <v>305</v>
      </c>
      <c r="O59" s="10">
        <f>IFERROR(__xludf.DUMMYFUNCTION("VALUE(REGEXEXTRACT(A59, ""\d+""))"),104.0)</f>
        <v>104</v>
      </c>
    </row>
    <row r="60">
      <c r="A60" s="9" t="s">
        <v>306</v>
      </c>
      <c r="B60" s="9" t="s">
        <v>307</v>
      </c>
      <c r="G60" s="9" t="s">
        <v>308</v>
      </c>
      <c r="O60" s="10">
        <f>IFERROR(__xludf.DUMMYFUNCTION("VALUE(REGEXEXTRACT(A60, ""\d+""))"),105.0)</f>
        <v>105</v>
      </c>
    </row>
    <row r="61">
      <c r="A61" s="9" t="s">
        <v>309</v>
      </c>
      <c r="B61" s="9" t="s">
        <v>310</v>
      </c>
      <c r="D61" s="9" t="s">
        <v>311</v>
      </c>
      <c r="G61" s="6" t="s">
        <v>311</v>
      </c>
      <c r="J61" s="9" t="s">
        <v>312</v>
      </c>
      <c r="O61" s="10">
        <f>IFERROR(__xludf.DUMMYFUNCTION("VALUE(REGEXEXTRACT(A61, ""\d+""))"),106.0)</f>
        <v>106</v>
      </c>
    </row>
    <row r="62">
      <c r="A62" s="9" t="s">
        <v>313</v>
      </c>
      <c r="B62" s="9" t="s">
        <v>314</v>
      </c>
      <c r="D62" s="9" t="s">
        <v>315</v>
      </c>
      <c r="G62" s="6" t="s">
        <v>316</v>
      </c>
      <c r="J62" s="9" t="s">
        <v>317</v>
      </c>
      <c r="O62" s="10">
        <f>IFERROR(__xludf.DUMMYFUNCTION("VALUE(REGEXEXTRACT(A62, ""\d+""))"),107.0)</f>
        <v>107</v>
      </c>
    </row>
    <row r="63">
      <c r="A63" s="9" t="s">
        <v>318</v>
      </c>
      <c r="B63" s="9" t="s">
        <v>319</v>
      </c>
      <c r="D63" s="9" t="s">
        <v>320</v>
      </c>
      <c r="G63" s="6" t="s">
        <v>321</v>
      </c>
      <c r="J63" s="9" t="s">
        <v>322</v>
      </c>
      <c r="O63" s="10">
        <f>IFERROR(__xludf.DUMMYFUNCTION("VALUE(REGEXEXTRACT(A63, ""\d+""))"),108.0)</f>
        <v>108</v>
      </c>
    </row>
    <row r="64">
      <c r="A64" s="9" t="s">
        <v>323</v>
      </c>
      <c r="B64" s="9" t="s">
        <v>324</v>
      </c>
      <c r="D64" s="9" t="s">
        <v>325</v>
      </c>
      <c r="G64" s="6" t="s">
        <v>326</v>
      </c>
      <c r="J64" s="9" t="s">
        <v>327</v>
      </c>
      <c r="O64" s="10">
        <f>IFERROR(__xludf.DUMMYFUNCTION("VALUE(REGEXEXTRACT(A64, ""\d+""))"),109.0)</f>
        <v>109</v>
      </c>
    </row>
    <row r="65">
      <c r="A65" s="9" t="s">
        <v>328</v>
      </c>
      <c r="B65" s="9" t="s">
        <v>329</v>
      </c>
      <c r="D65" s="9" t="s">
        <v>330</v>
      </c>
      <c r="G65" s="6" t="s">
        <v>331</v>
      </c>
      <c r="J65" s="9" t="s">
        <v>332</v>
      </c>
      <c r="O65" s="10">
        <f>IFERROR(__xludf.DUMMYFUNCTION("VALUE(REGEXEXTRACT(A65, ""\d+""))"),110.0)</f>
        <v>110</v>
      </c>
    </row>
    <row r="66">
      <c r="A66" s="9" t="s">
        <v>333</v>
      </c>
      <c r="B66" s="9" t="s">
        <v>334</v>
      </c>
      <c r="D66" s="9" t="s">
        <v>335</v>
      </c>
      <c r="G66" s="6" t="s">
        <v>336</v>
      </c>
      <c r="J66" s="9" t="s">
        <v>337</v>
      </c>
      <c r="O66" s="10">
        <f>IFERROR(__xludf.DUMMYFUNCTION("VALUE(REGEXEXTRACT(A66, ""\d+""))"),111.0)</f>
        <v>111</v>
      </c>
    </row>
    <row r="67">
      <c r="A67" s="9" t="s">
        <v>338</v>
      </c>
      <c r="B67" s="9" t="s">
        <v>339</v>
      </c>
      <c r="D67" s="9" t="s">
        <v>340</v>
      </c>
      <c r="G67" s="6" t="s">
        <v>341</v>
      </c>
      <c r="J67" s="9" t="s">
        <v>342</v>
      </c>
      <c r="O67" s="10">
        <f>IFERROR(__xludf.DUMMYFUNCTION("VALUE(REGEXEXTRACT(A67, ""\d+""))"),112.0)</f>
        <v>112</v>
      </c>
    </row>
    <row r="68">
      <c r="A68" s="9" t="s">
        <v>343</v>
      </c>
      <c r="B68" s="9" t="s">
        <v>334</v>
      </c>
      <c r="D68" s="9" t="s">
        <v>344</v>
      </c>
      <c r="G68" s="6" t="s">
        <v>336</v>
      </c>
      <c r="J68" s="9" t="s">
        <v>345</v>
      </c>
      <c r="O68" s="10">
        <f>IFERROR(__xludf.DUMMYFUNCTION("VALUE(REGEXEXTRACT(A68, ""\d+""))"),113.0)</f>
        <v>113</v>
      </c>
    </row>
    <row r="69">
      <c r="A69" s="9" t="s">
        <v>346</v>
      </c>
      <c r="B69" s="9" t="s">
        <v>347</v>
      </c>
      <c r="D69" s="9" t="s">
        <v>348</v>
      </c>
      <c r="G69" s="6" t="s">
        <v>349</v>
      </c>
      <c r="J69" s="9" t="s">
        <v>350</v>
      </c>
      <c r="O69" s="10">
        <f>IFERROR(__xludf.DUMMYFUNCTION("VALUE(REGEXEXTRACT(A69, ""\d+""))"),114.0)</f>
        <v>114</v>
      </c>
    </row>
    <row r="70">
      <c r="A70" s="9" t="s">
        <v>351</v>
      </c>
      <c r="B70" s="9" t="s">
        <v>352</v>
      </c>
      <c r="D70" s="9" t="s">
        <v>348</v>
      </c>
      <c r="G70" s="6" t="s">
        <v>349</v>
      </c>
      <c r="J70" s="9" t="s">
        <v>353</v>
      </c>
      <c r="O70" s="10">
        <f>IFERROR(__xludf.DUMMYFUNCTION("VALUE(REGEXEXTRACT(A70, ""\d+""))"),115.0)</f>
        <v>115</v>
      </c>
    </row>
    <row r="71">
      <c r="A71" s="9" t="s">
        <v>354</v>
      </c>
      <c r="B71" s="9" t="s">
        <v>355</v>
      </c>
      <c r="D71" s="9" t="s">
        <v>356</v>
      </c>
      <c r="G71" s="6" t="s">
        <v>357</v>
      </c>
      <c r="J71" s="9" t="s">
        <v>358</v>
      </c>
      <c r="O71" s="10">
        <f>IFERROR(__xludf.DUMMYFUNCTION("VALUE(REGEXEXTRACT(A71, ""\d+""))"),116.0)</f>
        <v>116</v>
      </c>
    </row>
    <row r="72">
      <c r="A72" s="9" t="s">
        <v>359</v>
      </c>
      <c r="B72" s="9" t="s">
        <v>360</v>
      </c>
      <c r="D72" s="9" t="s">
        <v>361</v>
      </c>
      <c r="G72" s="6" t="s">
        <v>362</v>
      </c>
      <c r="J72" s="9" t="s">
        <v>363</v>
      </c>
      <c r="O72" s="10">
        <f>IFERROR(__xludf.DUMMYFUNCTION("VALUE(REGEXEXTRACT(A72, ""\d+""))"),117.0)</f>
        <v>117</v>
      </c>
    </row>
    <row r="73">
      <c r="A73" s="9" t="s">
        <v>364</v>
      </c>
      <c r="B73" s="9" t="s">
        <v>365</v>
      </c>
      <c r="D73" s="9" t="s">
        <v>366</v>
      </c>
      <c r="G73" s="6" t="s">
        <v>367</v>
      </c>
      <c r="J73" s="9" t="s">
        <v>368</v>
      </c>
      <c r="O73" s="10">
        <f>IFERROR(__xludf.DUMMYFUNCTION("VALUE(REGEXEXTRACT(A73, ""\d+""))"),119.0)</f>
        <v>119</v>
      </c>
    </row>
    <row r="74">
      <c r="A74" s="9" t="s">
        <v>369</v>
      </c>
      <c r="B74" s="9" t="s">
        <v>370</v>
      </c>
      <c r="D74" s="9" t="s">
        <v>371</v>
      </c>
      <c r="G74" s="6" t="s">
        <v>372</v>
      </c>
      <c r="J74" s="9" t="s">
        <v>373</v>
      </c>
      <c r="O74" s="10">
        <f>IFERROR(__xludf.DUMMYFUNCTION("VALUE(REGEXEXTRACT(A74, ""\d+""))"),121.0)</f>
        <v>121</v>
      </c>
    </row>
    <row r="75">
      <c r="A75" s="9" t="s">
        <v>374</v>
      </c>
      <c r="B75" s="9" t="s">
        <v>375</v>
      </c>
      <c r="D75" s="9" t="s">
        <v>376</v>
      </c>
      <c r="G75" s="6" t="s">
        <v>377</v>
      </c>
      <c r="J75" s="9" t="s">
        <v>378</v>
      </c>
      <c r="O75" s="10">
        <f>IFERROR(__xludf.DUMMYFUNCTION("VALUE(REGEXEXTRACT(A75, ""\d+""))"),122.0)</f>
        <v>122</v>
      </c>
    </row>
    <row r="76">
      <c r="A76" s="9" t="s">
        <v>379</v>
      </c>
      <c r="B76" s="9" t="s">
        <v>380</v>
      </c>
      <c r="D76" s="9" t="s">
        <v>381</v>
      </c>
      <c r="G76" s="6" t="s">
        <v>382</v>
      </c>
      <c r="J76" s="9" t="s">
        <v>383</v>
      </c>
      <c r="O76" s="10">
        <f>IFERROR(__xludf.DUMMYFUNCTION("VALUE(REGEXEXTRACT(A76, ""\d+""))"),123.0)</f>
        <v>123</v>
      </c>
    </row>
    <row r="77">
      <c r="A77" s="9" t="s">
        <v>384</v>
      </c>
      <c r="B77" s="9" t="s">
        <v>385</v>
      </c>
      <c r="D77" s="9" t="s">
        <v>386</v>
      </c>
      <c r="G77" s="6" t="s">
        <v>387</v>
      </c>
      <c r="J77" s="9" t="s">
        <v>388</v>
      </c>
      <c r="O77" s="10">
        <f>IFERROR(__xludf.DUMMYFUNCTION("VALUE(REGEXEXTRACT(A77, ""\d+""))"),124.0)</f>
        <v>124</v>
      </c>
    </row>
    <row r="78">
      <c r="A78" s="9" t="s">
        <v>389</v>
      </c>
      <c r="B78" s="9" t="s">
        <v>390</v>
      </c>
      <c r="D78" s="9" t="s">
        <v>391</v>
      </c>
      <c r="G78" s="6" t="s">
        <v>391</v>
      </c>
      <c r="J78" s="9" t="s">
        <v>392</v>
      </c>
      <c r="O78" s="10">
        <f>IFERROR(__xludf.DUMMYFUNCTION("VALUE(REGEXEXTRACT(A78, ""\d+""))"),125.0)</f>
        <v>125</v>
      </c>
    </row>
    <row r="79">
      <c r="A79" s="9" t="s">
        <v>393</v>
      </c>
      <c r="B79" s="9" t="s">
        <v>394</v>
      </c>
      <c r="D79" s="9" t="s">
        <v>395</v>
      </c>
      <c r="G79" s="6" t="s">
        <v>395</v>
      </c>
      <c r="J79" s="9" t="s">
        <v>396</v>
      </c>
      <c r="O79" s="10">
        <f>IFERROR(__xludf.DUMMYFUNCTION("VALUE(REGEXEXTRACT(A79, ""\d+""))"),126.0)</f>
        <v>126</v>
      </c>
    </row>
    <row r="80">
      <c r="A80" s="9" t="s">
        <v>397</v>
      </c>
      <c r="B80" s="9" t="s">
        <v>398</v>
      </c>
      <c r="D80" s="9" t="s">
        <v>399</v>
      </c>
      <c r="G80" s="6" t="s">
        <v>399</v>
      </c>
      <c r="J80" s="9" t="s">
        <v>400</v>
      </c>
      <c r="O80" s="10">
        <f>IFERROR(__xludf.DUMMYFUNCTION("VALUE(REGEXEXTRACT(A80, ""\d+""))"),127.0)</f>
        <v>127</v>
      </c>
    </row>
    <row r="81">
      <c r="A81" s="9" t="s">
        <v>401</v>
      </c>
      <c r="B81" s="9" t="s">
        <v>402</v>
      </c>
      <c r="D81" s="9" t="s">
        <v>403</v>
      </c>
      <c r="G81" s="6" t="s">
        <v>404</v>
      </c>
      <c r="J81" s="9" t="s">
        <v>405</v>
      </c>
      <c r="O81" s="10">
        <f>IFERROR(__xludf.DUMMYFUNCTION("VALUE(REGEXEXTRACT(A81, ""\d+""))"),128.0)</f>
        <v>128</v>
      </c>
    </row>
    <row r="82">
      <c r="A82" s="9" t="s">
        <v>406</v>
      </c>
      <c r="B82" s="9" t="s">
        <v>407</v>
      </c>
      <c r="D82" s="9" t="s">
        <v>408</v>
      </c>
      <c r="G82" s="6" t="s">
        <v>409</v>
      </c>
      <c r="J82" s="9" t="s">
        <v>410</v>
      </c>
      <c r="O82" s="10">
        <f>IFERROR(__xludf.DUMMYFUNCTION("VALUE(REGEXEXTRACT(A82, ""\d+""))"),131.0)</f>
        <v>131</v>
      </c>
    </row>
    <row r="83">
      <c r="A83" s="9" t="s">
        <v>411</v>
      </c>
      <c r="B83" s="9" t="s">
        <v>412</v>
      </c>
      <c r="D83" s="9" t="s">
        <v>413</v>
      </c>
      <c r="G83" s="6" t="s">
        <v>414</v>
      </c>
      <c r="J83" s="9" t="s">
        <v>415</v>
      </c>
      <c r="O83" s="10">
        <f>IFERROR(__xludf.DUMMYFUNCTION("VALUE(REGEXEXTRACT(A83, ""\d+""))"),132.0)</f>
        <v>132</v>
      </c>
    </row>
    <row r="84">
      <c r="A84" s="9" t="s">
        <v>416</v>
      </c>
      <c r="B84" s="9" t="s">
        <v>417</v>
      </c>
      <c r="D84" s="9" t="s">
        <v>418</v>
      </c>
      <c r="G84" s="6" t="s">
        <v>418</v>
      </c>
      <c r="J84" s="9" t="s">
        <v>419</v>
      </c>
      <c r="O84" s="10">
        <f>IFERROR(__xludf.DUMMYFUNCTION("VALUE(REGEXEXTRACT(A84, ""\d+""))"),133.0)</f>
        <v>133</v>
      </c>
    </row>
    <row r="85">
      <c r="A85" s="9" t="s">
        <v>420</v>
      </c>
      <c r="B85" s="9" t="s">
        <v>421</v>
      </c>
      <c r="D85" s="9" t="s">
        <v>422</v>
      </c>
      <c r="G85" s="6" t="s">
        <v>423</v>
      </c>
      <c r="J85" s="9" t="s">
        <v>424</v>
      </c>
      <c r="O85" s="10">
        <f>IFERROR(__xludf.DUMMYFUNCTION("VALUE(REGEXEXTRACT(A85, ""\d+""))"),134.0)</f>
        <v>134</v>
      </c>
    </row>
    <row r="86">
      <c r="A86" s="9" t="s">
        <v>425</v>
      </c>
      <c r="B86" s="9" t="s">
        <v>426</v>
      </c>
      <c r="D86" s="9" t="s">
        <v>427</v>
      </c>
      <c r="G86" s="6" t="s">
        <v>427</v>
      </c>
      <c r="J86" s="9" t="s">
        <v>428</v>
      </c>
      <c r="O86" s="10">
        <f>IFERROR(__xludf.DUMMYFUNCTION("VALUE(REGEXEXTRACT(A86, ""\d+""))"),135.0)</f>
        <v>135</v>
      </c>
    </row>
    <row r="87">
      <c r="A87" s="9" t="s">
        <v>429</v>
      </c>
      <c r="B87" s="9" t="s">
        <v>430</v>
      </c>
      <c r="D87" s="9" t="s">
        <v>431</v>
      </c>
      <c r="G87" s="6" t="s">
        <v>432</v>
      </c>
      <c r="J87" s="9" t="s">
        <v>433</v>
      </c>
      <c r="O87" s="10">
        <f>IFERROR(__xludf.DUMMYFUNCTION("VALUE(REGEXEXTRACT(A87, ""\d+""))"),136.0)</f>
        <v>136</v>
      </c>
    </row>
    <row r="88">
      <c r="A88" s="9" t="s">
        <v>434</v>
      </c>
      <c r="B88" s="9" t="s">
        <v>435</v>
      </c>
      <c r="D88" s="9" t="s">
        <v>436</v>
      </c>
      <c r="G88" s="6" t="s">
        <v>437</v>
      </c>
      <c r="J88" s="9" t="s">
        <v>438</v>
      </c>
      <c r="O88" s="10">
        <f>IFERROR(__xludf.DUMMYFUNCTION("VALUE(REGEXEXTRACT(A88, ""\d+""))"),137.0)</f>
        <v>137</v>
      </c>
    </row>
    <row r="89">
      <c r="A89" s="9" t="s">
        <v>439</v>
      </c>
      <c r="B89" s="9" t="s">
        <v>440</v>
      </c>
      <c r="D89" s="9" t="s">
        <v>441</v>
      </c>
      <c r="G89" s="6" t="s">
        <v>441</v>
      </c>
      <c r="J89" s="9" t="s">
        <v>442</v>
      </c>
      <c r="O89" s="10">
        <f>IFERROR(__xludf.DUMMYFUNCTION("VALUE(REGEXEXTRACT(A89, ""\d+""))"),138.0)</f>
        <v>138</v>
      </c>
    </row>
    <row r="90">
      <c r="A90" s="9" t="s">
        <v>443</v>
      </c>
      <c r="B90" s="9" t="s">
        <v>444</v>
      </c>
      <c r="D90" s="9" t="s">
        <v>445</v>
      </c>
      <c r="G90" s="6" t="s">
        <v>445</v>
      </c>
      <c r="J90" s="9" t="s">
        <v>446</v>
      </c>
      <c r="O90" s="10">
        <f>IFERROR(__xludf.DUMMYFUNCTION("VALUE(REGEXEXTRACT(A90, ""\d+""))"),139.0)</f>
        <v>139</v>
      </c>
    </row>
    <row r="91">
      <c r="A91" s="9" t="s">
        <v>447</v>
      </c>
      <c r="B91" s="9" t="s">
        <v>448</v>
      </c>
      <c r="D91" s="9" t="s">
        <v>449</v>
      </c>
      <c r="G91" s="6" t="s">
        <v>449</v>
      </c>
      <c r="J91" s="9" t="s">
        <v>450</v>
      </c>
      <c r="O91" s="10">
        <f>IFERROR(__xludf.DUMMYFUNCTION("VALUE(REGEXEXTRACT(A91, ""\d+""))"),140.0)</f>
        <v>140</v>
      </c>
    </row>
    <row r="92">
      <c r="A92" s="9" t="s">
        <v>451</v>
      </c>
      <c r="B92" s="9" t="s">
        <v>452</v>
      </c>
      <c r="D92" s="9" t="s">
        <v>453</v>
      </c>
      <c r="G92" s="6" t="s">
        <v>454</v>
      </c>
      <c r="J92" s="9" t="s">
        <v>455</v>
      </c>
      <c r="O92" s="10">
        <f>IFERROR(__xludf.DUMMYFUNCTION("VALUE(REGEXEXTRACT(A92, ""\d+""))"),141.0)</f>
        <v>141</v>
      </c>
    </row>
    <row r="93">
      <c r="A93" s="9" t="s">
        <v>456</v>
      </c>
      <c r="B93" s="9" t="s">
        <v>457</v>
      </c>
      <c r="D93" s="9" t="s">
        <v>458</v>
      </c>
      <c r="G93" s="6" t="s">
        <v>459</v>
      </c>
      <c r="J93" s="9" t="s">
        <v>460</v>
      </c>
      <c r="O93" s="10">
        <f>IFERROR(__xludf.DUMMYFUNCTION("VALUE(REGEXEXTRACT(A93, ""\d+""))"),142.0)</f>
        <v>142</v>
      </c>
    </row>
    <row r="94">
      <c r="A94" s="9" t="s">
        <v>461</v>
      </c>
      <c r="B94" s="9" t="s">
        <v>462</v>
      </c>
      <c r="D94" s="9" t="s">
        <v>463</v>
      </c>
      <c r="G94" s="6" t="s">
        <v>464</v>
      </c>
      <c r="J94" s="9" t="s">
        <v>465</v>
      </c>
      <c r="O94" s="10">
        <f>IFERROR(__xludf.DUMMYFUNCTION("VALUE(REGEXEXTRACT(A94, ""\d+""))"),143.0)</f>
        <v>143</v>
      </c>
    </row>
    <row r="95">
      <c r="A95" s="9" t="s">
        <v>466</v>
      </c>
      <c r="B95" s="9" t="s">
        <v>467</v>
      </c>
      <c r="D95" s="9" t="s">
        <v>468</v>
      </c>
      <c r="G95" s="6" t="s">
        <v>469</v>
      </c>
      <c r="J95" s="9" t="s">
        <v>470</v>
      </c>
      <c r="O95" s="10">
        <f>IFERROR(__xludf.DUMMYFUNCTION("VALUE(REGEXEXTRACT(A95, ""\d+""))"),144.0)</f>
        <v>144</v>
      </c>
    </row>
    <row r="96">
      <c r="A96" s="9" t="s">
        <v>471</v>
      </c>
      <c r="B96" s="9" t="s">
        <v>472</v>
      </c>
      <c r="D96" s="9" t="s">
        <v>473</v>
      </c>
      <c r="G96" s="6" t="s">
        <v>473</v>
      </c>
      <c r="J96" s="9" t="s">
        <v>474</v>
      </c>
      <c r="O96" s="10">
        <f>IFERROR(__xludf.DUMMYFUNCTION("VALUE(REGEXEXTRACT(A96, ""\d+""))"),146.0)</f>
        <v>146</v>
      </c>
    </row>
    <row r="97">
      <c r="A97" s="9" t="s">
        <v>475</v>
      </c>
      <c r="B97" s="9" t="s">
        <v>476</v>
      </c>
      <c r="D97" s="9" t="s">
        <v>477</v>
      </c>
      <c r="G97" s="6" t="s">
        <v>478</v>
      </c>
      <c r="J97" s="9" t="s">
        <v>479</v>
      </c>
      <c r="O97" s="10">
        <f>IFERROR(__xludf.DUMMYFUNCTION("VALUE(REGEXEXTRACT(A97, ""\d+""))"),147.0)</f>
        <v>147</v>
      </c>
    </row>
    <row r="98">
      <c r="A98" s="9" t="s">
        <v>480</v>
      </c>
      <c r="B98" s="9" t="s">
        <v>481</v>
      </c>
      <c r="D98" s="9" t="s">
        <v>482</v>
      </c>
      <c r="G98" s="6" t="s">
        <v>482</v>
      </c>
      <c r="J98" s="9" t="s">
        <v>483</v>
      </c>
      <c r="O98" s="10">
        <f>IFERROR(__xludf.DUMMYFUNCTION("VALUE(REGEXEXTRACT(A98, ""\d+""))"),148.0)</f>
        <v>148</v>
      </c>
    </row>
    <row r="99">
      <c r="A99" s="9" t="s">
        <v>484</v>
      </c>
      <c r="B99" s="9" t="s">
        <v>485</v>
      </c>
      <c r="D99" s="9" t="s">
        <v>486</v>
      </c>
      <c r="G99" s="6" t="s">
        <v>487</v>
      </c>
      <c r="J99" s="9" t="s">
        <v>488</v>
      </c>
      <c r="O99" s="10">
        <f>IFERROR(__xludf.DUMMYFUNCTION("VALUE(REGEXEXTRACT(A99, ""\d+""))"),149.0)</f>
        <v>149</v>
      </c>
    </row>
    <row r="100">
      <c r="A100" s="9" t="s">
        <v>489</v>
      </c>
      <c r="B100" s="9" t="s">
        <v>490</v>
      </c>
      <c r="D100" s="9" t="s">
        <v>427</v>
      </c>
      <c r="G100" s="6" t="s">
        <v>427</v>
      </c>
      <c r="J100" s="9" t="s">
        <v>428</v>
      </c>
      <c r="O100" s="10">
        <f>IFERROR(__xludf.DUMMYFUNCTION("VALUE(REGEXEXTRACT(A100, ""\d+""))"),150.0)</f>
        <v>150</v>
      </c>
    </row>
    <row r="101">
      <c r="A101" s="9" t="s">
        <v>491</v>
      </c>
      <c r="B101" s="9" t="s">
        <v>492</v>
      </c>
      <c r="D101" s="9" t="s">
        <v>493</v>
      </c>
      <c r="G101" s="6" t="s">
        <v>494</v>
      </c>
      <c r="J101" s="9" t="s">
        <v>495</v>
      </c>
      <c r="O101" s="10">
        <f>IFERROR(__xludf.DUMMYFUNCTION("VALUE(REGEXEXTRACT(A101, ""\d+""))"),151.0)</f>
        <v>151</v>
      </c>
    </row>
    <row r="102">
      <c r="A102" s="9" t="s">
        <v>496</v>
      </c>
      <c r="B102" s="9" t="s">
        <v>497</v>
      </c>
      <c r="D102" s="9" t="s">
        <v>498</v>
      </c>
      <c r="G102" s="6" t="s">
        <v>499</v>
      </c>
      <c r="J102" s="9" t="s">
        <v>500</v>
      </c>
      <c r="O102" s="10">
        <f>IFERROR(__xludf.DUMMYFUNCTION("VALUE(REGEXEXTRACT(A102, ""\d+""))"),152.0)</f>
        <v>152</v>
      </c>
    </row>
    <row r="103">
      <c r="A103" s="9" t="s">
        <v>501</v>
      </c>
      <c r="B103" s="9" t="s">
        <v>502</v>
      </c>
      <c r="D103" s="9" t="s">
        <v>503</v>
      </c>
      <c r="G103" s="6" t="s">
        <v>504</v>
      </c>
      <c r="J103" s="9" t="s">
        <v>505</v>
      </c>
      <c r="O103" s="10">
        <f>IFERROR(__xludf.DUMMYFUNCTION("VALUE(REGEXEXTRACT(A103, ""\d+""))"),153.0)</f>
        <v>153</v>
      </c>
    </row>
    <row r="104">
      <c r="A104" s="9" t="s">
        <v>506</v>
      </c>
      <c r="B104" s="9" t="s">
        <v>507</v>
      </c>
      <c r="G104" s="6" t="s">
        <v>508</v>
      </c>
      <c r="O104" s="10">
        <f>IFERROR(__xludf.DUMMYFUNCTION("VALUE(REGEXEXTRACT(A104, ""\d+""))"),154.0)</f>
        <v>154</v>
      </c>
    </row>
    <row r="105">
      <c r="A105" s="9" t="s">
        <v>509</v>
      </c>
      <c r="B105" s="9" t="s">
        <v>507</v>
      </c>
      <c r="G105" s="6" t="s">
        <v>508</v>
      </c>
      <c r="O105" s="10">
        <f>IFERROR(__xludf.DUMMYFUNCTION("VALUE(REGEXEXTRACT(A105, ""\d+""))"),155.0)</f>
        <v>155</v>
      </c>
    </row>
    <row r="106">
      <c r="A106" s="9" t="s">
        <v>510</v>
      </c>
      <c r="B106" s="9" t="s">
        <v>507</v>
      </c>
      <c r="G106" s="6" t="s">
        <v>508</v>
      </c>
      <c r="O106" s="10">
        <f>IFERROR(__xludf.DUMMYFUNCTION("VALUE(REGEXEXTRACT(A106, ""\d+""))"),156.0)</f>
        <v>156</v>
      </c>
    </row>
    <row r="107">
      <c r="A107" s="9" t="s">
        <v>511</v>
      </c>
      <c r="B107" s="9" t="s">
        <v>512</v>
      </c>
      <c r="D107" s="11"/>
      <c r="G107" s="11" t="s">
        <v>513</v>
      </c>
      <c r="O107" s="10">
        <f>IFERROR(__xludf.DUMMYFUNCTION("VALUE(REGEXEXTRACT(A107, ""\d+""))"),157.0)</f>
        <v>157</v>
      </c>
    </row>
    <row r="108">
      <c r="A108" s="9" t="s">
        <v>514</v>
      </c>
      <c r="B108" s="9" t="s">
        <v>512</v>
      </c>
      <c r="D108" s="11"/>
      <c r="G108" s="11" t="s">
        <v>513</v>
      </c>
      <c r="O108" s="10">
        <f>IFERROR(__xludf.DUMMYFUNCTION("VALUE(REGEXEXTRACT(A108, ""\d+""))"),158.0)</f>
        <v>158</v>
      </c>
    </row>
    <row r="109">
      <c r="A109" s="9" t="s">
        <v>515</v>
      </c>
      <c r="B109" s="9" t="s">
        <v>512</v>
      </c>
      <c r="D109" s="11"/>
      <c r="G109" s="11" t="s">
        <v>513</v>
      </c>
      <c r="O109" s="10">
        <f>IFERROR(__xludf.DUMMYFUNCTION("VALUE(REGEXEXTRACT(A109, ""\d+""))"),159.0)</f>
        <v>159</v>
      </c>
    </row>
    <row r="110">
      <c r="A110" s="9" t="s">
        <v>516</v>
      </c>
      <c r="B110" s="9" t="s">
        <v>517</v>
      </c>
      <c r="D110" s="9" t="s">
        <v>518</v>
      </c>
      <c r="G110" s="6" t="s">
        <v>519</v>
      </c>
      <c r="J110" s="9" t="s">
        <v>520</v>
      </c>
      <c r="O110" s="10">
        <f>IFERROR(__xludf.DUMMYFUNCTION("VALUE(REGEXEXTRACT(A110, ""\d+""))"),160.0)</f>
        <v>160</v>
      </c>
    </row>
    <row r="111">
      <c r="A111" s="9" t="s">
        <v>521</v>
      </c>
      <c r="B111" s="9" t="s">
        <v>522</v>
      </c>
      <c r="D111" s="9" t="s">
        <v>523</v>
      </c>
      <c r="G111" s="6" t="s">
        <v>523</v>
      </c>
      <c r="J111" s="9" t="s">
        <v>524</v>
      </c>
      <c r="O111" s="10">
        <f>IFERROR(__xludf.DUMMYFUNCTION("VALUE(REGEXEXTRACT(A111, ""\d+""))"),161.0)</f>
        <v>161</v>
      </c>
    </row>
    <row r="112">
      <c r="A112" s="9" t="s">
        <v>525</v>
      </c>
      <c r="B112" s="9" t="s">
        <v>526</v>
      </c>
      <c r="D112" s="9" t="s">
        <v>527</v>
      </c>
      <c r="G112" s="6" t="s">
        <v>527</v>
      </c>
      <c r="J112" s="9" t="s">
        <v>528</v>
      </c>
      <c r="O112" s="10">
        <f>IFERROR(__xludf.DUMMYFUNCTION("VALUE(REGEXEXTRACT(A112, ""\d+""))"),162.0)</f>
        <v>162</v>
      </c>
    </row>
    <row r="113">
      <c r="A113" s="9" t="s">
        <v>529</v>
      </c>
      <c r="B113" s="9" t="s">
        <v>530</v>
      </c>
      <c r="D113" s="9" t="s">
        <v>527</v>
      </c>
      <c r="G113" s="6" t="s">
        <v>527</v>
      </c>
      <c r="J113" s="9" t="s">
        <v>531</v>
      </c>
      <c r="O113" s="10">
        <f>IFERROR(__xludf.DUMMYFUNCTION("VALUE(REGEXEXTRACT(A113, ""\d+""))"),163.0)</f>
        <v>163</v>
      </c>
    </row>
    <row r="114">
      <c r="A114" s="9" t="s">
        <v>532</v>
      </c>
      <c r="B114" s="9" t="s">
        <v>533</v>
      </c>
      <c r="D114" s="9" t="s">
        <v>534</v>
      </c>
      <c r="G114" s="6" t="s">
        <v>534</v>
      </c>
      <c r="J114" s="9" t="s">
        <v>535</v>
      </c>
      <c r="O114" s="10">
        <f>IFERROR(__xludf.DUMMYFUNCTION("VALUE(REGEXEXTRACT(A114, ""\d+""))"),164.0)</f>
        <v>164</v>
      </c>
    </row>
    <row r="115">
      <c r="A115" s="9" t="s">
        <v>536</v>
      </c>
      <c r="B115" s="9" t="s">
        <v>537</v>
      </c>
      <c r="D115" s="9" t="s">
        <v>538</v>
      </c>
      <c r="G115" s="6" t="s">
        <v>538</v>
      </c>
      <c r="J115" s="9" t="s">
        <v>539</v>
      </c>
      <c r="O115" s="10">
        <f>IFERROR(__xludf.DUMMYFUNCTION("VALUE(REGEXEXTRACT(A115, ""\d+""))"),165.0)</f>
        <v>165</v>
      </c>
    </row>
    <row r="116">
      <c r="A116" s="9" t="s">
        <v>540</v>
      </c>
      <c r="B116" s="9" t="s">
        <v>541</v>
      </c>
      <c r="D116" s="9" t="s">
        <v>542</v>
      </c>
      <c r="G116" s="6" t="s">
        <v>542</v>
      </c>
      <c r="J116" s="9" t="s">
        <v>543</v>
      </c>
      <c r="O116" s="10">
        <f>IFERROR(__xludf.DUMMYFUNCTION("VALUE(REGEXEXTRACT(A116, ""\d+""))"),166.0)</f>
        <v>166</v>
      </c>
    </row>
    <row r="117">
      <c r="A117" s="9" t="s">
        <v>544</v>
      </c>
      <c r="B117" s="9" t="s">
        <v>545</v>
      </c>
      <c r="D117" s="9" t="s">
        <v>546</v>
      </c>
      <c r="G117" s="6" t="s">
        <v>546</v>
      </c>
      <c r="J117" s="9" t="s">
        <v>547</v>
      </c>
      <c r="O117" s="10">
        <f>IFERROR(__xludf.DUMMYFUNCTION("VALUE(REGEXEXTRACT(A117, ""\d+""))"),167.0)</f>
        <v>167</v>
      </c>
    </row>
    <row r="118">
      <c r="A118" s="9" t="s">
        <v>548</v>
      </c>
      <c r="B118" s="9" t="s">
        <v>549</v>
      </c>
      <c r="D118" s="9" t="s">
        <v>550</v>
      </c>
      <c r="G118" s="6" t="s">
        <v>550</v>
      </c>
      <c r="J118" s="9" t="s">
        <v>551</v>
      </c>
      <c r="O118" s="10">
        <f>IFERROR(__xludf.DUMMYFUNCTION("VALUE(REGEXEXTRACT(A118, ""\d+""))"),168.0)</f>
        <v>168</v>
      </c>
    </row>
    <row r="119">
      <c r="A119" s="9" t="s">
        <v>552</v>
      </c>
      <c r="B119" s="9" t="s">
        <v>553</v>
      </c>
      <c r="D119" s="9" t="s">
        <v>554</v>
      </c>
      <c r="G119" s="6" t="s">
        <v>555</v>
      </c>
      <c r="J119" s="9" t="s">
        <v>556</v>
      </c>
      <c r="O119" s="10">
        <f>IFERROR(__xludf.DUMMYFUNCTION("VALUE(REGEXEXTRACT(A119, ""\d+""))"),169.0)</f>
        <v>169</v>
      </c>
    </row>
    <row r="120">
      <c r="A120" s="9" t="s">
        <v>557</v>
      </c>
      <c r="B120" s="9" t="s">
        <v>558</v>
      </c>
      <c r="D120" s="9" t="s">
        <v>559</v>
      </c>
      <c r="G120" s="6" t="s">
        <v>560</v>
      </c>
      <c r="J120" s="9" t="s">
        <v>561</v>
      </c>
      <c r="O120" s="10">
        <f>IFERROR(__xludf.DUMMYFUNCTION("VALUE(REGEXEXTRACT(A120, ""\d+""))"),171.0)</f>
        <v>171</v>
      </c>
    </row>
    <row r="121">
      <c r="A121" s="9" t="s">
        <v>562</v>
      </c>
      <c r="B121" s="9" t="s">
        <v>563</v>
      </c>
      <c r="D121" s="9" t="s">
        <v>564</v>
      </c>
      <c r="G121" s="6" t="s">
        <v>565</v>
      </c>
      <c r="J121" s="9" t="s">
        <v>566</v>
      </c>
      <c r="O121" s="10">
        <f>IFERROR(__xludf.DUMMYFUNCTION("VALUE(REGEXEXTRACT(A121, ""\d+""))"),172.0)</f>
        <v>172</v>
      </c>
    </row>
    <row r="122">
      <c r="A122" s="9" t="s">
        <v>567</v>
      </c>
      <c r="B122" s="9" t="s">
        <v>568</v>
      </c>
      <c r="D122" s="9" t="s">
        <v>569</v>
      </c>
      <c r="G122" s="6" t="s">
        <v>570</v>
      </c>
      <c r="J122" s="9" t="s">
        <v>571</v>
      </c>
      <c r="O122" s="10">
        <f>IFERROR(__xludf.DUMMYFUNCTION("VALUE(REGEXEXTRACT(A122, ""\d+""))"),173.0)</f>
        <v>173</v>
      </c>
    </row>
    <row r="123">
      <c r="A123" s="9" t="s">
        <v>572</v>
      </c>
      <c r="B123" s="9" t="s">
        <v>573</v>
      </c>
      <c r="D123" s="9" t="s">
        <v>574</v>
      </c>
      <c r="G123" s="6" t="s">
        <v>574</v>
      </c>
      <c r="J123" s="9" t="s">
        <v>575</v>
      </c>
      <c r="O123" s="10">
        <f>IFERROR(__xludf.DUMMYFUNCTION("VALUE(REGEXEXTRACT(A123, ""\d+""))"),174.0)</f>
        <v>174</v>
      </c>
    </row>
    <row r="124">
      <c r="A124" s="9" t="s">
        <v>576</v>
      </c>
      <c r="B124" s="9" t="s">
        <v>577</v>
      </c>
      <c r="D124" s="9" t="s">
        <v>574</v>
      </c>
      <c r="G124" s="6" t="s">
        <v>574</v>
      </c>
      <c r="J124" s="9" t="s">
        <v>578</v>
      </c>
      <c r="O124" s="10">
        <f>IFERROR(__xludf.DUMMYFUNCTION("VALUE(REGEXEXTRACT(A124, ""\d+""))"),175.0)</f>
        <v>175</v>
      </c>
    </row>
    <row r="125">
      <c r="A125" s="9" t="s">
        <v>579</v>
      </c>
      <c r="B125" s="9" t="s">
        <v>580</v>
      </c>
      <c r="D125" s="9" t="s">
        <v>581</v>
      </c>
      <c r="G125" s="6" t="s">
        <v>581</v>
      </c>
      <c r="J125" s="9" t="s">
        <v>582</v>
      </c>
      <c r="O125" s="10">
        <f>IFERROR(__xludf.DUMMYFUNCTION("VALUE(REGEXEXTRACT(A125, ""\d+""))"),176.0)</f>
        <v>176</v>
      </c>
    </row>
    <row r="126">
      <c r="A126" s="9" t="s">
        <v>583</v>
      </c>
      <c r="B126" s="9" t="s">
        <v>584</v>
      </c>
      <c r="D126" s="9" t="s">
        <v>585</v>
      </c>
      <c r="G126" s="6" t="s">
        <v>585</v>
      </c>
      <c r="J126" s="9" t="s">
        <v>586</v>
      </c>
      <c r="O126" s="10">
        <f>IFERROR(__xludf.DUMMYFUNCTION("VALUE(REGEXEXTRACT(A126, ""\d+""))"),177.0)</f>
        <v>177</v>
      </c>
    </row>
    <row r="127">
      <c r="A127" s="9" t="s">
        <v>587</v>
      </c>
      <c r="B127" s="9" t="s">
        <v>588</v>
      </c>
      <c r="D127" s="9" t="s">
        <v>589</v>
      </c>
      <c r="G127" s="6" t="s">
        <v>590</v>
      </c>
      <c r="J127" s="9" t="s">
        <v>591</v>
      </c>
      <c r="O127" s="10">
        <f>IFERROR(__xludf.DUMMYFUNCTION("VALUE(REGEXEXTRACT(A127, ""\d+""))"),178.0)</f>
        <v>178</v>
      </c>
    </row>
    <row r="128">
      <c r="A128" s="9" t="s">
        <v>592</v>
      </c>
      <c r="B128" s="9" t="s">
        <v>593</v>
      </c>
      <c r="D128" s="9" t="s">
        <v>594</v>
      </c>
      <c r="G128" s="6" t="s">
        <v>595</v>
      </c>
      <c r="J128" s="9" t="s">
        <v>596</v>
      </c>
      <c r="O128" s="10">
        <f>IFERROR(__xludf.DUMMYFUNCTION("VALUE(REGEXEXTRACT(A128, ""\d+""))"),179.0)</f>
        <v>179</v>
      </c>
    </row>
    <row r="129">
      <c r="A129" s="9" t="s">
        <v>597</v>
      </c>
      <c r="B129" s="9" t="s">
        <v>598</v>
      </c>
      <c r="D129" s="9" t="s">
        <v>599</v>
      </c>
      <c r="G129" s="6" t="s">
        <v>600</v>
      </c>
      <c r="J129" s="9" t="s">
        <v>601</v>
      </c>
      <c r="O129" s="10">
        <f>IFERROR(__xludf.DUMMYFUNCTION("VALUE(REGEXEXTRACT(A129, ""\d+""))"),180.0)</f>
        <v>180</v>
      </c>
    </row>
    <row r="130">
      <c r="A130" s="9" t="s">
        <v>602</v>
      </c>
      <c r="B130" s="9" t="s">
        <v>603</v>
      </c>
      <c r="D130" s="9" t="s">
        <v>604</v>
      </c>
      <c r="G130" s="6" t="s">
        <v>605</v>
      </c>
      <c r="J130" s="9" t="s">
        <v>606</v>
      </c>
      <c r="O130" s="10">
        <f>IFERROR(__xludf.DUMMYFUNCTION("VALUE(REGEXEXTRACT(A130, ""\d+""))"),181.0)</f>
        <v>181</v>
      </c>
    </row>
    <row r="131">
      <c r="A131" s="9" t="s">
        <v>607</v>
      </c>
      <c r="B131" s="9" t="s">
        <v>603</v>
      </c>
      <c r="D131" s="9" t="s">
        <v>604</v>
      </c>
      <c r="G131" s="6" t="s">
        <v>608</v>
      </c>
      <c r="J131" s="9" t="s">
        <v>609</v>
      </c>
      <c r="O131" s="10">
        <f>IFERROR(__xludf.DUMMYFUNCTION("VALUE(REGEXEXTRACT(A131, ""\d+""))"),182.0)</f>
        <v>182</v>
      </c>
    </row>
    <row r="132">
      <c r="A132" s="9" t="s">
        <v>610</v>
      </c>
      <c r="B132" s="9" t="s">
        <v>611</v>
      </c>
      <c r="D132" s="9" t="s">
        <v>612</v>
      </c>
      <c r="G132" s="6" t="s">
        <v>612</v>
      </c>
      <c r="J132" s="9" t="s">
        <v>613</v>
      </c>
      <c r="O132" s="10">
        <f>IFERROR(__xludf.DUMMYFUNCTION("VALUE(REGEXEXTRACT(A132, ""\d+""))"),183.0)</f>
        <v>183</v>
      </c>
    </row>
    <row r="133">
      <c r="A133" s="9" t="s">
        <v>614</v>
      </c>
      <c r="B133" s="9" t="s">
        <v>615</v>
      </c>
      <c r="D133" s="9" t="s">
        <v>616</v>
      </c>
      <c r="G133" s="6" t="s">
        <v>617</v>
      </c>
      <c r="J133" s="9" t="s">
        <v>618</v>
      </c>
      <c r="O133" s="10">
        <f>IFERROR(__xludf.DUMMYFUNCTION("VALUE(REGEXEXTRACT(A133, ""\d+""))"),184.0)</f>
        <v>184</v>
      </c>
    </row>
    <row r="134">
      <c r="A134" s="9" t="s">
        <v>619</v>
      </c>
      <c r="B134" s="9" t="s">
        <v>620</v>
      </c>
      <c r="D134" s="9" t="s">
        <v>621</v>
      </c>
      <c r="G134" s="6" t="s">
        <v>622</v>
      </c>
      <c r="J134" s="9" t="s">
        <v>623</v>
      </c>
      <c r="O134" s="10">
        <f>IFERROR(__xludf.DUMMYFUNCTION("VALUE(REGEXEXTRACT(A134, ""\d+""))"),185.0)</f>
        <v>185</v>
      </c>
    </row>
    <row r="135">
      <c r="A135" s="9" t="s">
        <v>624</v>
      </c>
      <c r="B135" s="9" t="s">
        <v>625</v>
      </c>
      <c r="D135" s="9" t="s">
        <v>626</v>
      </c>
      <c r="G135" s="6" t="s">
        <v>626</v>
      </c>
      <c r="J135" s="9" t="s">
        <v>627</v>
      </c>
      <c r="O135" s="10">
        <f>IFERROR(__xludf.DUMMYFUNCTION("VALUE(REGEXEXTRACT(A135, ""\d+""))"),186.0)</f>
        <v>186</v>
      </c>
    </row>
    <row r="136">
      <c r="A136" s="9" t="s">
        <v>628</v>
      </c>
      <c r="B136" s="9" t="s">
        <v>629</v>
      </c>
      <c r="D136" s="9" t="s">
        <v>630</v>
      </c>
      <c r="G136" s="6" t="s">
        <v>631</v>
      </c>
      <c r="J136" s="9" t="s">
        <v>632</v>
      </c>
      <c r="O136" s="10">
        <f>IFERROR(__xludf.DUMMYFUNCTION("VALUE(REGEXEXTRACT(A136, ""\d+""))"),187.0)</f>
        <v>187</v>
      </c>
    </row>
    <row r="137">
      <c r="A137" s="9" t="s">
        <v>633</v>
      </c>
      <c r="B137" s="9" t="s">
        <v>634</v>
      </c>
      <c r="D137" s="9" t="s">
        <v>635</v>
      </c>
      <c r="G137" s="6" t="s">
        <v>635</v>
      </c>
      <c r="J137" s="9" t="s">
        <v>636</v>
      </c>
      <c r="O137" s="10">
        <f>IFERROR(__xludf.DUMMYFUNCTION("VALUE(REGEXEXTRACT(A137, ""\d+""))"),189.0)</f>
        <v>189</v>
      </c>
    </row>
    <row r="138">
      <c r="A138" s="9" t="s">
        <v>637</v>
      </c>
      <c r="B138" s="9" t="s">
        <v>638</v>
      </c>
      <c r="D138" s="9" t="s">
        <v>639</v>
      </c>
      <c r="G138" s="6" t="s">
        <v>639</v>
      </c>
      <c r="J138" s="9" t="s">
        <v>640</v>
      </c>
      <c r="O138" s="10">
        <f>IFERROR(__xludf.DUMMYFUNCTION("VALUE(REGEXEXTRACT(A138, ""\d+""))"),190.0)</f>
        <v>190</v>
      </c>
    </row>
    <row r="139">
      <c r="A139" s="9" t="s">
        <v>641</v>
      </c>
      <c r="B139" s="9" t="s">
        <v>642</v>
      </c>
      <c r="D139" s="9" t="s">
        <v>643</v>
      </c>
      <c r="G139" s="6" t="s">
        <v>644</v>
      </c>
      <c r="J139" s="9" t="s">
        <v>645</v>
      </c>
      <c r="O139" s="10">
        <f>IFERROR(__xludf.DUMMYFUNCTION("VALUE(REGEXEXTRACT(A139, ""\d+""))"),191.0)</f>
        <v>191</v>
      </c>
    </row>
    <row r="140">
      <c r="A140" s="9" t="s">
        <v>646</v>
      </c>
      <c r="B140" s="9" t="s">
        <v>647</v>
      </c>
      <c r="D140" s="9" t="s">
        <v>648</v>
      </c>
      <c r="G140" s="12" t="s">
        <v>649</v>
      </c>
      <c r="J140" s="9" t="s">
        <v>650</v>
      </c>
      <c r="O140" s="10">
        <f>IFERROR(__xludf.DUMMYFUNCTION("VALUE(REGEXEXTRACT(A140, ""\d+""))"),192.0)</f>
        <v>192</v>
      </c>
    </row>
    <row r="141">
      <c r="A141" s="9" t="s">
        <v>651</v>
      </c>
      <c r="B141" s="9" t="s">
        <v>652</v>
      </c>
      <c r="D141" s="9" t="s">
        <v>653</v>
      </c>
      <c r="G141" s="6" t="s">
        <v>654</v>
      </c>
      <c r="J141" s="9" t="s">
        <v>655</v>
      </c>
      <c r="O141" s="10">
        <f>IFERROR(__xludf.DUMMYFUNCTION("VALUE(REGEXEXTRACT(A141, ""\d+""))"),193.0)</f>
        <v>193</v>
      </c>
    </row>
    <row r="142">
      <c r="A142" s="9" t="s">
        <v>656</v>
      </c>
      <c r="B142" s="9" t="s">
        <v>657</v>
      </c>
      <c r="D142" s="9" t="s">
        <v>658</v>
      </c>
      <c r="G142" s="6" t="s">
        <v>659</v>
      </c>
      <c r="J142" s="9" t="s">
        <v>660</v>
      </c>
      <c r="O142" s="10">
        <f>IFERROR(__xludf.DUMMYFUNCTION("VALUE(REGEXEXTRACT(A142, ""\d+""))"),194.0)</f>
        <v>194</v>
      </c>
    </row>
    <row r="143">
      <c r="A143" s="9" t="s">
        <v>661</v>
      </c>
      <c r="B143" s="9" t="s">
        <v>662</v>
      </c>
      <c r="D143" s="9" t="s">
        <v>663</v>
      </c>
      <c r="G143" s="6" t="s">
        <v>664</v>
      </c>
      <c r="J143" s="9" t="s">
        <v>665</v>
      </c>
      <c r="O143" s="10">
        <f>IFERROR(__xludf.DUMMYFUNCTION("VALUE(REGEXEXTRACT(A143, ""\d+""))"),195.0)</f>
        <v>195</v>
      </c>
    </row>
    <row r="144">
      <c r="A144" s="9" t="s">
        <v>666</v>
      </c>
      <c r="B144" s="9" t="s">
        <v>667</v>
      </c>
      <c r="D144" s="9" t="s">
        <v>668</v>
      </c>
      <c r="G144" s="6" t="s">
        <v>668</v>
      </c>
      <c r="J144" s="9" t="s">
        <v>669</v>
      </c>
      <c r="O144" s="10">
        <f>IFERROR(__xludf.DUMMYFUNCTION("VALUE(REGEXEXTRACT(A144, ""\d+""))"),196.0)</f>
        <v>196</v>
      </c>
    </row>
    <row r="145">
      <c r="A145" s="9" t="s">
        <v>670</v>
      </c>
      <c r="B145" s="9" t="s">
        <v>625</v>
      </c>
      <c r="D145" s="9" t="s">
        <v>626</v>
      </c>
      <c r="G145" s="6" t="s">
        <v>626</v>
      </c>
      <c r="J145" s="9" t="s">
        <v>671</v>
      </c>
      <c r="O145" s="10">
        <f>IFERROR(__xludf.DUMMYFUNCTION("VALUE(REGEXEXTRACT(A145, ""\d+""))"),197.0)</f>
        <v>197</v>
      </c>
    </row>
    <row r="146">
      <c r="A146" s="9" t="s">
        <v>672</v>
      </c>
      <c r="B146" s="9" t="s">
        <v>673</v>
      </c>
      <c r="D146" s="9" t="s">
        <v>674</v>
      </c>
      <c r="G146" s="6" t="s">
        <v>675</v>
      </c>
      <c r="J146" s="9" t="s">
        <v>676</v>
      </c>
      <c r="O146" s="10">
        <f>IFERROR(__xludf.DUMMYFUNCTION("VALUE(REGEXEXTRACT(A146, ""\d+""))"),198.0)</f>
        <v>198</v>
      </c>
    </row>
    <row r="147">
      <c r="A147" s="9" t="s">
        <v>677</v>
      </c>
      <c r="B147" s="9" t="s">
        <v>678</v>
      </c>
      <c r="D147" s="9" t="s">
        <v>679</v>
      </c>
      <c r="G147" s="6" t="s">
        <v>679</v>
      </c>
      <c r="J147" s="9" t="s">
        <v>680</v>
      </c>
      <c r="O147" s="10">
        <f>IFERROR(__xludf.DUMMYFUNCTION("VALUE(REGEXEXTRACT(A147, ""\d+""))"),199.0)</f>
        <v>199</v>
      </c>
    </row>
    <row r="148">
      <c r="A148" s="9" t="s">
        <v>681</v>
      </c>
      <c r="B148" s="9" t="s">
        <v>682</v>
      </c>
      <c r="D148" s="9" t="s">
        <v>683</v>
      </c>
      <c r="G148" s="6" t="s">
        <v>684</v>
      </c>
      <c r="J148" s="9" t="s">
        <v>685</v>
      </c>
      <c r="O148" s="10">
        <f>IFERROR(__xludf.DUMMYFUNCTION("VALUE(REGEXEXTRACT(A148, ""\d+""))"),200.0)</f>
        <v>200</v>
      </c>
    </row>
    <row r="149">
      <c r="A149" s="9" t="s">
        <v>686</v>
      </c>
      <c r="B149" s="9" t="s">
        <v>687</v>
      </c>
      <c r="D149" s="9" t="s">
        <v>688</v>
      </c>
      <c r="G149" s="6" t="s">
        <v>688</v>
      </c>
      <c r="J149" s="9" t="s">
        <v>689</v>
      </c>
      <c r="O149" s="10">
        <f>IFERROR(__xludf.DUMMYFUNCTION("VALUE(REGEXEXTRACT(A149, ""\d+""))"),201.0)</f>
        <v>201</v>
      </c>
    </row>
    <row r="150">
      <c r="A150" s="9" t="s">
        <v>690</v>
      </c>
      <c r="B150" s="9" t="s">
        <v>691</v>
      </c>
      <c r="D150" s="9" t="s">
        <v>692</v>
      </c>
      <c r="G150" s="6" t="s">
        <v>693</v>
      </c>
      <c r="J150" s="9" t="s">
        <v>694</v>
      </c>
      <c r="O150" s="10">
        <f>IFERROR(__xludf.DUMMYFUNCTION("VALUE(REGEXEXTRACT(A150, ""\d+""))"),202.0)</f>
        <v>202</v>
      </c>
    </row>
    <row r="151">
      <c r="A151" s="9" t="s">
        <v>695</v>
      </c>
      <c r="B151" s="9" t="s">
        <v>696</v>
      </c>
      <c r="D151" s="9" t="s">
        <v>697</v>
      </c>
      <c r="G151" s="6" t="s">
        <v>698</v>
      </c>
      <c r="J151" s="9" t="s">
        <v>699</v>
      </c>
      <c r="O151" s="10">
        <f>IFERROR(__xludf.DUMMYFUNCTION("VALUE(REGEXEXTRACT(A151, ""\d+""))"),203.0)</f>
        <v>203</v>
      </c>
    </row>
    <row r="152">
      <c r="A152" s="9" t="s">
        <v>700</v>
      </c>
      <c r="B152" s="9" t="s">
        <v>701</v>
      </c>
      <c r="D152" s="9" t="s">
        <v>702</v>
      </c>
      <c r="G152" s="6" t="s">
        <v>703</v>
      </c>
      <c r="J152" s="9" t="s">
        <v>704</v>
      </c>
      <c r="O152" s="10">
        <f>IFERROR(__xludf.DUMMYFUNCTION("VALUE(REGEXEXTRACT(A152, ""\d+""))"),204.0)</f>
        <v>204</v>
      </c>
    </row>
    <row r="153">
      <c r="A153" s="9" t="s">
        <v>705</v>
      </c>
      <c r="B153" s="9" t="s">
        <v>706</v>
      </c>
      <c r="D153" s="9" t="s">
        <v>707</v>
      </c>
      <c r="G153" s="6" t="s">
        <v>708</v>
      </c>
      <c r="J153" s="9" t="s">
        <v>709</v>
      </c>
      <c r="O153" s="10">
        <f>IFERROR(__xludf.DUMMYFUNCTION("VALUE(REGEXEXTRACT(A153, ""\d+""))"),205.0)</f>
        <v>205</v>
      </c>
    </row>
    <row r="154">
      <c r="A154" s="9" t="s">
        <v>710</v>
      </c>
      <c r="B154" s="9" t="s">
        <v>711</v>
      </c>
      <c r="D154" s="9" t="s">
        <v>712</v>
      </c>
      <c r="G154" s="6" t="s">
        <v>713</v>
      </c>
      <c r="J154" s="9" t="s">
        <v>714</v>
      </c>
      <c r="O154" s="10">
        <f>IFERROR(__xludf.DUMMYFUNCTION("VALUE(REGEXEXTRACT(A154, ""\d+""))"),206.0)</f>
        <v>206</v>
      </c>
    </row>
    <row r="155">
      <c r="A155" s="9" t="s">
        <v>715</v>
      </c>
      <c r="B155" s="9" t="s">
        <v>716</v>
      </c>
      <c r="D155" s="9" t="s">
        <v>717</v>
      </c>
      <c r="G155" s="6" t="s">
        <v>718</v>
      </c>
      <c r="J155" s="9" t="s">
        <v>719</v>
      </c>
      <c r="O155" s="10">
        <f>IFERROR(__xludf.DUMMYFUNCTION("VALUE(REGEXEXTRACT(A155, ""\d+""))"),207.0)</f>
        <v>207</v>
      </c>
    </row>
    <row r="156">
      <c r="A156" s="9" t="s">
        <v>720</v>
      </c>
      <c r="B156" s="9" t="s">
        <v>721</v>
      </c>
      <c r="D156" s="9" t="s">
        <v>722</v>
      </c>
      <c r="G156" s="6" t="s">
        <v>723</v>
      </c>
      <c r="J156" s="9" t="s">
        <v>724</v>
      </c>
      <c r="O156" s="10">
        <f>IFERROR(__xludf.DUMMYFUNCTION("VALUE(REGEXEXTRACT(A156, ""\d+""))"),208.0)</f>
        <v>208</v>
      </c>
    </row>
    <row r="157">
      <c r="A157" s="9" t="s">
        <v>725</v>
      </c>
      <c r="B157" s="9" t="s">
        <v>726</v>
      </c>
      <c r="D157" s="9" t="s">
        <v>727</v>
      </c>
      <c r="G157" s="6" t="s">
        <v>727</v>
      </c>
      <c r="J157" s="9" t="s">
        <v>728</v>
      </c>
      <c r="O157" s="10">
        <f>IFERROR(__xludf.DUMMYFUNCTION("VALUE(REGEXEXTRACT(A157, ""\d+""))"),209.0)</f>
        <v>209</v>
      </c>
    </row>
    <row r="158">
      <c r="A158" s="9" t="s">
        <v>729</v>
      </c>
      <c r="B158" s="9" t="s">
        <v>730</v>
      </c>
      <c r="D158" s="9" t="s">
        <v>731</v>
      </c>
      <c r="G158" s="6" t="s">
        <v>732</v>
      </c>
      <c r="J158" s="9" t="s">
        <v>733</v>
      </c>
      <c r="O158" s="10">
        <f>IFERROR(__xludf.DUMMYFUNCTION("VALUE(REGEXEXTRACT(A158, ""\d+""))"),210.0)</f>
        <v>210</v>
      </c>
    </row>
    <row r="159">
      <c r="A159" s="9" t="s">
        <v>734</v>
      </c>
      <c r="B159" s="9" t="s">
        <v>735</v>
      </c>
      <c r="D159" s="9" t="s">
        <v>736</v>
      </c>
      <c r="G159" s="6" t="s">
        <v>737</v>
      </c>
      <c r="J159" s="9" t="s">
        <v>738</v>
      </c>
      <c r="O159" s="10">
        <f>IFERROR(__xludf.DUMMYFUNCTION("VALUE(REGEXEXTRACT(A159, ""\d+""))"),211.0)</f>
        <v>211</v>
      </c>
    </row>
    <row r="160">
      <c r="A160" s="9" t="s">
        <v>739</v>
      </c>
      <c r="B160" s="9" t="s">
        <v>740</v>
      </c>
      <c r="D160" s="9" t="s">
        <v>741</v>
      </c>
      <c r="G160" s="6" t="s">
        <v>742</v>
      </c>
      <c r="J160" s="9" t="s">
        <v>743</v>
      </c>
      <c r="O160" s="10">
        <f>IFERROR(__xludf.DUMMYFUNCTION("VALUE(REGEXEXTRACT(A160, ""\d+""))"),212.0)</f>
        <v>212</v>
      </c>
    </row>
    <row r="161">
      <c r="A161" s="9" t="s">
        <v>744</v>
      </c>
      <c r="B161" s="9" t="s">
        <v>745</v>
      </c>
      <c r="D161" s="9" t="s">
        <v>746</v>
      </c>
      <c r="G161" s="6" t="s">
        <v>746</v>
      </c>
      <c r="J161" s="9" t="s">
        <v>747</v>
      </c>
      <c r="O161" s="10">
        <f>IFERROR(__xludf.DUMMYFUNCTION("VALUE(REGEXEXTRACT(A161, ""\d+""))"),213.0)</f>
        <v>213</v>
      </c>
    </row>
    <row r="162">
      <c r="A162" s="9" t="s">
        <v>748</v>
      </c>
      <c r="B162" s="9" t="s">
        <v>749</v>
      </c>
      <c r="D162" s="9" t="s">
        <v>750</v>
      </c>
      <c r="G162" s="6" t="s">
        <v>751</v>
      </c>
      <c r="J162" s="9" t="s">
        <v>752</v>
      </c>
      <c r="O162" s="10">
        <f>IFERROR(__xludf.DUMMYFUNCTION("VALUE(REGEXEXTRACT(A162, ""\d+""))"),214.0)</f>
        <v>214</v>
      </c>
    </row>
    <row r="163">
      <c r="A163" s="9" t="s">
        <v>753</v>
      </c>
      <c r="B163" s="9" t="s">
        <v>754</v>
      </c>
      <c r="D163" s="9" t="s">
        <v>755</v>
      </c>
      <c r="G163" s="6" t="s">
        <v>756</v>
      </c>
      <c r="J163" s="9" t="s">
        <v>757</v>
      </c>
      <c r="O163" s="10">
        <f>IFERROR(__xludf.DUMMYFUNCTION("VALUE(REGEXEXTRACT(A163, ""\d+""))"),215.0)</f>
        <v>215</v>
      </c>
    </row>
    <row r="164">
      <c r="A164" s="9" t="s">
        <v>758</v>
      </c>
      <c r="B164" s="9" t="s">
        <v>759</v>
      </c>
      <c r="D164" s="9" t="s">
        <v>760</v>
      </c>
      <c r="G164" s="6" t="s">
        <v>761</v>
      </c>
      <c r="J164" s="9" t="s">
        <v>762</v>
      </c>
      <c r="O164" s="10">
        <f>IFERROR(__xludf.DUMMYFUNCTION("VALUE(REGEXEXTRACT(A164, ""\d+""))"),216.0)</f>
        <v>216</v>
      </c>
    </row>
    <row r="165">
      <c r="A165" s="9" t="s">
        <v>763</v>
      </c>
      <c r="B165" s="9" t="s">
        <v>764</v>
      </c>
      <c r="D165" s="9" t="s">
        <v>765</v>
      </c>
      <c r="G165" s="6" t="s">
        <v>766</v>
      </c>
      <c r="J165" s="9" t="s">
        <v>767</v>
      </c>
      <c r="O165" s="10">
        <f>IFERROR(__xludf.DUMMYFUNCTION("VALUE(REGEXEXTRACT(A165, ""\d+""))"),217.0)</f>
        <v>217</v>
      </c>
    </row>
    <row r="166">
      <c r="A166" s="9" t="s">
        <v>768</v>
      </c>
      <c r="B166" s="9" t="s">
        <v>769</v>
      </c>
      <c r="D166" s="9" t="s">
        <v>770</v>
      </c>
      <c r="G166" s="6" t="s">
        <v>770</v>
      </c>
      <c r="J166" s="9" t="s">
        <v>771</v>
      </c>
      <c r="O166" s="10">
        <f>IFERROR(__xludf.DUMMYFUNCTION("VALUE(REGEXEXTRACT(A166, ""\d+""))"),218.0)</f>
        <v>218</v>
      </c>
    </row>
    <row r="167">
      <c r="A167" s="9" t="s">
        <v>772</v>
      </c>
      <c r="B167" s="9" t="s">
        <v>773</v>
      </c>
      <c r="D167" s="9" t="s">
        <v>774</v>
      </c>
      <c r="G167" s="6" t="s">
        <v>774</v>
      </c>
      <c r="J167" s="9" t="s">
        <v>775</v>
      </c>
      <c r="O167" s="10">
        <f>IFERROR(__xludf.DUMMYFUNCTION("VALUE(REGEXEXTRACT(A167, ""\d+""))"),219.0)</f>
        <v>219</v>
      </c>
    </row>
    <row r="168">
      <c r="A168" s="9" t="s">
        <v>776</v>
      </c>
      <c r="B168" s="9" t="s">
        <v>777</v>
      </c>
      <c r="D168" s="9" t="s">
        <v>778</v>
      </c>
      <c r="G168" s="6" t="s">
        <v>779</v>
      </c>
      <c r="J168" s="9" t="s">
        <v>780</v>
      </c>
      <c r="O168" s="10">
        <f>IFERROR(__xludf.DUMMYFUNCTION("VALUE(REGEXEXTRACT(A168, ""\d+""))"),220.0)</f>
        <v>220</v>
      </c>
    </row>
    <row r="169">
      <c r="A169" s="9" t="s">
        <v>781</v>
      </c>
      <c r="B169" s="9" t="s">
        <v>782</v>
      </c>
      <c r="D169" s="9" t="s">
        <v>783</v>
      </c>
      <c r="G169" s="6" t="s">
        <v>784</v>
      </c>
      <c r="J169" s="9" t="s">
        <v>785</v>
      </c>
      <c r="O169" s="10">
        <f>IFERROR(__xludf.DUMMYFUNCTION("VALUE(REGEXEXTRACT(A169, ""\d+""))"),223.0)</f>
        <v>223</v>
      </c>
    </row>
    <row r="170">
      <c r="A170" s="9" t="s">
        <v>786</v>
      </c>
      <c r="B170" s="9" t="s">
        <v>787</v>
      </c>
      <c r="D170" s="9" t="s">
        <v>788</v>
      </c>
      <c r="G170" s="6" t="s">
        <v>789</v>
      </c>
      <c r="J170" s="9" t="s">
        <v>790</v>
      </c>
      <c r="O170" s="10">
        <f>IFERROR(__xludf.DUMMYFUNCTION("VALUE(REGEXEXTRACT(A170, ""\d+""))"),224.0)</f>
        <v>224</v>
      </c>
    </row>
    <row r="171">
      <c r="A171" s="9" t="s">
        <v>791</v>
      </c>
      <c r="B171" s="9" t="s">
        <v>792</v>
      </c>
      <c r="D171" s="9" t="s">
        <v>793</v>
      </c>
      <c r="G171" s="6" t="s">
        <v>794</v>
      </c>
      <c r="J171" s="9" t="s">
        <v>795</v>
      </c>
      <c r="O171" s="10">
        <f>IFERROR(__xludf.DUMMYFUNCTION("VALUE(REGEXEXTRACT(A171, ""\d+""))"),225.0)</f>
        <v>225</v>
      </c>
    </row>
    <row r="172">
      <c r="A172" s="9" t="s">
        <v>796</v>
      </c>
      <c r="B172" s="9" t="s">
        <v>797</v>
      </c>
      <c r="D172" s="9" t="s">
        <v>798</v>
      </c>
      <c r="G172" s="6" t="s">
        <v>799</v>
      </c>
      <c r="J172" s="9" t="s">
        <v>800</v>
      </c>
      <c r="O172" s="10">
        <f>IFERROR(__xludf.DUMMYFUNCTION("VALUE(REGEXEXTRACT(A172, ""\d+""))"),226.0)</f>
        <v>226</v>
      </c>
    </row>
    <row r="173">
      <c r="A173" s="9" t="s">
        <v>801</v>
      </c>
      <c r="B173" s="9" t="s">
        <v>802</v>
      </c>
      <c r="D173" s="9" t="s">
        <v>803</v>
      </c>
      <c r="G173" s="6" t="s">
        <v>804</v>
      </c>
      <c r="J173" s="9" t="s">
        <v>805</v>
      </c>
      <c r="O173" s="10">
        <f>IFERROR(__xludf.DUMMYFUNCTION("VALUE(REGEXEXTRACT(A173, ""\d+""))"),227.0)</f>
        <v>227</v>
      </c>
    </row>
    <row r="174">
      <c r="A174" s="9" t="s">
        <v>806</v>
      </c>
      <c r="B174" s="9" t="s">
        <v>807</v>
      </c>
      <c r="D174" s="9" t="s">
        <v>808</v>
      </c>
      <c r="G174" s="6" t="s">
        <v>809</v>
      </c>
      <c r="J174" s="9" t="s">
        <v>810</v>
      </c>
      <c r="O174" s="10">
        <f>IFERROR(__xludf.DUMMYFUNCTION("VALUE(REGEXEXTRACT(A174, ""\d+""))"),228.0)</f>
        <v>228</v>
      </c>
    </row>
    <row r="175">
      <c r="A175" s="9" t="s">
        <v>811</v>
      </c>
      <c r="B175" s="9" t="s">
        <v>812</v>
      </c>
      <c r="D175" s="9" t="s">
        <v>813</v>
      </c>
      <c r="G175" s="6" t="s">
        <v>814</v>
      </c>
      <c r="J175" s="9" t="s">
        <v>815</v>
      </c>
      <c r="O175" s="10">
        <f>IFERROR(__xludf.DUMMYFUNCTION("VALUE(REGEXEXTRACT(A175, ""\d+""))"),229.0)</f>
        <v>229</v>
      </c>
    </row>
    <row r="176">
      <c r="A176" s="9" t="s">
        <v>816</v>
      </c>
      <c r="B176" s="9" t="s">
        <v>817</v>
      </c>
      <c r="D176" s="9" t="s">
        <v>818</v>
      </c>
      <c r="G176" s="6" t="s">
        <v>819</v>
      </c>
      <c r="J176" s="9" t="s">
        <v>820</v>
      </c>
      <c r="O176" s="10">
        <f>IFERROR(__xludf.DUMMYFUNCTION("VALUE(REGEXEXTRACT(A176, ""\d+""))"),230.0)</f>
        <v>230</v>
      </c>
    </row>
    <row r="177">
      <c r="A177" s="9" t="s">
        <v>821</v>
      </c>
      <c r="B177" s="9" t="s">
        <v>822</v>
      </c>
      <c r="D177" s="9" t="s">
        <v>823</v>
      </c>
      <c r="G177" s="6" t="s">
        <v>824</v>
      </c>
      <c r="J177" s="9" t="s">
        <v>825</v>
      </c>
      <c r="O177" s="10">
        <f>IFERROR(__xludf.DUMMYFUNCTION("VALUE(REGEXEXTRACT(A177, ""\d+""))"),231.0)</f>
        <v>231</v>
      </c>
    </row>
    <row r="178">
      <c r="A178" s="9" t="s">
        <v>826</v>
      </c>
      <c r="B178" s="9" t="s">
        <v>827</v>
      </c>
      <c r="D178" s="9" t="s">
        <v>828</v>
      </c>
      <c r="G178" s="6" t="s">
        <v>829</v>
      </c>
      <c r="J178" s="9" t="s">
        <v>830</v>
      </c>
      <c r="O178" s="10">
        <f>IFERROR(__xludf.DUMMYFUNCTION("VALUE(REGEXEXTRACT(A178, ""\d+""))"),233.0)</f>
        <v>233</v>
      </c>
    </row>
    <row r="179">
      <c r="A179" s="9" t="s">
        <v>831</v>
      </c>
      <c r="B179" s="9" t="s">
        <v>832</v>
      </c>
      <c r="D179" s="9" t="s">
        <v>833</v>
      </c>
      <c r="G179" s="6" t="s">
        <v>834</v>
      </c>
      <c r="J179" s="9" t="s">
        <v>835</v>
      </c>
      <c r="O179" s="10">
        <f>IFERROR(__xludf.DUMMYFUNCTION("VALUE(REGEXEXTRACT(A179, ""\d+""))"),234.0)</f>
        <v>234</v>
      </c>
    </row>
    <row r="180">
      <c r="A180" s="9" t="s">
        <v>836</v>
      </c>
      <c r="B180" s="9" t="s">
        <v>837</v>
      </c>
      <c r="D180" s="9" t="s">
        <v>838</v>
      </c>
      <c r="G180" s="6" t="s">
        <v>838</v>
      </c>
      <c r="J180" s="9" t="s">
        <v>839</v>
      </c>
      <c r="O180" s="10">
        <f>IFERROR(__xludf.DUMMYFUNCTION("VALUE(REGEXEXTRACT(A180, ""\d+""))"),235.0)</f>
        <v>235</v>
      </c>
    </row>
    <row r="181">
      <c r="A181" s="9" t="s">
        <v>840</v>
      </c>
      <c r="B181" s="9" t="s">
        <v>841</v>
      </c>
      <c r="D181" s="9" t="s">
        <v>842</v>
      </c>
      <c r="G181" s="6" t="s">
        <v>843</v>
      </c>
      <c r="J181" s="9" t="s">
        <v>835</v>
      </c>
      <c r="O181" s="10">
        <f>IFERROR(__xludf.DUMMYFUNCTION("VALUE(REGEXEXTRACT(A181, ""\d+""))"),236.0)</f>
        <v>236</v>
      </c>
    </row>
    <row r="182">
      <c r="A182" s="9" t="s">
        <v>844</v>
      </c>
      <c r="B182" s="9" t="s">
        <v>845</v>
      </c>
      <c r="D182" s="9" t="s">
        <v>846</v>
      </c>
      <c r="G182" s="6" t="s">
        <v>847</v>
      </c>
      <c r="J182" s="9" t="s">
        <v>848</v>
      </c>
      <c r="O182" s="10">
        <f>IFERROR(__xludf.DUMMYFUNCTION("VALUE(REGEXEXTRACT(A182, ""\d+""))"),237.0)</f>
        <v>237</v>
      </c>
    </row>
    <row r="183">
      <c r="A183" s="9" t="s">
        <v>849</v>
      </c>
      <c r="B183" s="9" t="s">
        <v>850</v>
      </c>
      <c r="D183" s="9" t="s">
        <v>851</v>
      </c>
      <c r="G183" s="6" t="s">
        <v>852</v>
      </c>
      <c r="J183" s="9" t="s">
        <v>853</v>
      </c>
      <c r="O183" s="10">
        <f>IFERROR(__xludf.DUMMYFUNCTION("VALUE(REGEXEXTRACT(A183, ""\d+""))"),238.0)</f>
        <v>238</v>
      </c>
    </row>
    <row r="184">
      <c r="A184" s="9" t="s">
        <v>854</v>
      </c>
      <c r="B184" s="9" t="s">
        <v>855</v>
      </c>
      <c r="D184" s="9" t="s">
        <v>856</v>
      </c>
      <c r="G184" s="6" t="s">
        <v>857</v>
      </c>
      <c r="J184" s="9" t="s">
        <v>858</v>
      </c>
      <c r="O184" s="10">
        <f>IFERROR(__xludf.DUMMYFUNCTION("VALUE(REGEXEXTRACT(A184, ""\d+""))"),239.0)</f>
        <v>239</v>
      </c>
    </row>
    <row r="185">
      <c r="A185" s="9" t="s">
        <v>859</v>
      </c>
      <c r="B185" s="9" t="s">
        <v>860</v>
      </c>
      <c r="D185" s="9" t="s">
        <v>861</v>
      </c>
      <c r="G185" s="6" t="s">
        <v>862</v>
      </c>
      <c r="J185" s="9" t="s">
        <v>863</v>
      </c>
      <c r="O185" s="10">
        <f>IFERROR(__xludf.DUMMYFUNCTION("VALUE(REGEXEXTRACT(A185, ""\d+""))"),240.0)</f>
        <v>240</v>
      </c>
    </row>
    <row r="186">
      <c r="A186" s="9" t="s">
        <v>864</v>
      </c>
      <c r="B186" s="9" t="s">
        <v>865</v>
      </c>
      <c r="D186" s="9" t="s">
        <v>866</v>
      </c>
      <c r="G186" s="6" t="s">
        <v>867</v>
      </c>
      <c r="J186" s="9" t="s">
        <v>868</v>
      </c>
      <c r="O186" s="10">
        <f>IFERROR(__xludf.DUMMYFUNCTION("VALUE(REGEXEXTRACT(A186, ""\d+""))"),241.0)</f>
        <v>241</v>
      </c>
    </row>
    <row r="187">
      <c r="A187" s="9" t="s">
        <v>869</v>
      </c>
      <c r="B187" s="9" t="s">
        <v>870</v>
      </c>
      <c r="D187" s="9" t="s">
        <v>871</v>
      </c>
      <c r="G187" s="6" t="s">
        <v>872</v>
      </c>
      <c r="J187" s="9" t="s">
        <v>873</v>
      </c>
      <c r="O187" s="10">
        <f>IFERROR(__xludf.DUMMYFUNCTION("VALUE(REGEXEXTRACT(A187, ""\d+""))"),242.0)</f>
        <v>242</v>
      </c>
    </row>
    <row r="188">
      <c r="A188" s="9" t="s">
        <v>874</v>
      </c>
      <c r="B188" s="9" t="s">
        <v>875</v>
      </c>
      <c r="D188" s="9" t="s">
        <v>876</v>
      </c>
      <c r="G188" s="6" t="s">
        <v>877</v>
      </c>
      <c r="J188" s="9" t="s">
        <v>878</v>
      </c>
      <c r="O188" s="10">
        <f>IFERROR(__xludf.DUMMYFUNCTION("VALUE(REGEXEXTRACT(A188, ""\d+""))"),243.0)</f>
        <v>243</v>
      </c>
    </row>
    <row r="189">
      <c r="A189" s="9" t="s">
        <v>879</v>
      </c>
      <c r="B189" s="9" t="s">
        <v>880</v>
      </c>
      <c r="D189" s="9" t="s">
        <v>881</v>
      </c>
      <c r="G189" s="6" t="s">
        <v>882</v>
      </c>
      <c r="J189" s="9" t="s">
        <v>883</v>
      </c>
      <c r="O189" s="10">
        <f>IFERROR(__xludf.DUMMYFUNCTION("VALUE(REGEXEXTRACT(A189, ""\d+""))"),244.0)</f>
        <v>244</v>
      </c>
    </row>
    <row r="190">
      <c r="A190" s="9" t="s">
        <v>884</v>
      </c>
      <c r="B190" s="9" t="s">
        <v>885</v>
      </c>
      <c r="D190" s="9" t="s">
        <v>886</v>
      </c>
      <c r="G190" s="6" t="s">
        <v>887</v>
      </c>
      <c r="J190" s="9" t="s">
        <v>888</v>
      </c>
      <c r="O190" s="10">
        <f>IFERROR(__xludf.DUMMYFUNCTION("VALUE(REGEXEXTRACT(A190, ""\d+""))"),245.0)</f>
        <v>245</v>
      </c>
    </row>
    <row r="191">
      <c r="A191" s="9" t="s">
        <v>889</v>
      </c>
      <c r="B191" s="9" t="s">
        <v>890</v>
      </c>
      <c r="D191" s="9" t="s">
        <v>891</v>
      </c>
      <c r="G191" s="6" t="s">
        <v>892</v>
      </c>
      <c r="J191" s="9" t="s">
        <v>893</v>
      </c>
      <c r="O191" s="10">
        <f>IFERROR(__xludf.DUMMYFUNCTION("VALUE(REGEXEXTRACT(A191, ""\d+""))"),247.0)</f>
        <v>247</v>
      </c>
    </row>
    <row r="192">
      <c r="A192" s="9" t="s">
        <v>894</v>
      </c>
      <c r="B192" s="9" t="s">
        <v>895</v>
      </c>
      <c r="D192" s="9" t="s">
        <v>896</v>
      </c>
      <c r="G192" s="6" t="s">
        <v>897</v>
      </c>
      <c r="J192" s="9" t="s">
        <v>898</v>
      </c>
      <c r="O192" s="10">
        <f>IFERROR(__xludf.DUMMYFUNCTION("VALUE(REGEXEXTRACT(A192, ""\d+""))"),248.0)</f>
        <v>248</v>
      </c>
    </row>
    <row r="193">
      <c r="A193" s="9" t="s">
        <v>899</v>
      </c>
      <c r="B193" s="9" t="s">
        <v>900</v>
      </c>
      <c r="D193" s="9" t="s">
        <v>901</v>
      </c>
      <c r="G193" s="6" t="s">
        <v>902</v>
      </c>
      <c r="J193" s="9" t="s">
        <v>903</v>
      </c>
      <c r="O193" s="10">
        <f>IFERROR(__xludf.DUMMYFUNCTION("VALUE(REGEXEXTRACT(A193, ""\d+""))"),249.0)</f>
        <v>249</v>
      </c>
    </row>
    <row r="194">
      <c r="A194" s="9" t="s">
        <v>904</v>
      </c>
      <c r="B194" s="9" t="s">
        <v>905</v>
      </c>
      <c r="D194" s="9" t="s">
        <v>906</v>
      </c>
      <c r="G194" s="6" t="s">
        <v>907</v>
      </c>
      <c r="J194" s="9" t="s">
        <v>908</v>
      </c>
      <c r="O194" s="10">
        <f>IFERROR(__xludf.DUMMYFUNCTION("VALUE(REGEXEXTRACT(A194, ""\d+""))"),250.0)</f>
        <v>250</v>
      </c>
    </row>
    <row r="195">
      <c r="A195" s="9" t="s">
        <v>909</v>
      </c>
      <c r="B195" s="9" t="s">
        <v>910</v>
      </c>
      <c r="D195" s="9" t="s">
        <v>911</v>
      </c>
      <c r="G195" s="6" t="s">
        <v>912</v>
      </c>
      <c r="J195" s="9" t="s">
        <v>913</v>
      </c>
      <c r="O195" s="10">
        <f>IFERROR(__xludf.DUMMYFUNCTION("VALUE(REGEXEXTRACT(A195, ""\d+""))"),251.0)</f>
        <v>251</v>
      </c>
    </row>
    <row r="196">
      <c r="A196" s="9" t="s">
        <v>914</v>
      </c>
      <c r="B196" s="9" t="s">
        <v>915</v>
      </c>
      <c r="D196" s="9" t="s">
        <v>916</v>
      </c>
      <c r="G196" s="6" t="s">
        <v>917</v>
      </c>
      <c r="J196" s="9" t="s">
        <v>918</v>
      </c>
      <c r="O196" s="10">
        <f>IFERROR(__xludf.DUMMYFUNCTION("VALUE(REGEXEXTRACT(A196, ""\d+""))"),252.0)</f>
        <v>252</v>
      </c>
    </row>
    <row r="197">
      <c r="A197" s="9" t="s">
        <v>919</v>
      </c>
      <c r="B197" s="9" t="s">
        <v>920</v>
      </c>
      <c r="D197" s="9" t="s">
        <v>921</v>
      </c>
      <c r="G197" s="6" t="s">
        <v>922</v>
      </c>
      <c r="J197" s="9" t="s">
        <v>923</v>
      </c>
      <c r="O197" s="10">
        <f>IFERROR(__xludf.DUMMYFUNCTION("VALUE(REGEXEXTRACT(A197, ""\d+""))"),253.0)</f>
        <v>253</v>
      </c>
    </row>
    <row r="198">
      <c r="A198" s="9" t="s">
        <v>924</v>
      </c>
      <c r="B198" s="9" t="s">
        <v>925</v>
      </c>
      <c r="D198" s="9" t="s">
        <v>926</v>
      </c>
      <c r="G198" s="6" t="s">
        <v>926</v>
      </c>
      <c r="J198" s="9" t="s">
        <v>927</v>
      </c>
      <c r="O198" s="10">
        <f>IFERROR(__xludf.DUMMYFUNCTION("VALUE(REGEXEXTRACT(A198, ""\d+""))"),254.0)</f>
        <v>254</v>
      </c>
    </row>
    <row r="199">
      <c r="A199" s="9" t="s">
        <v>928</v>
      </c>
      <c r="B199" s="9" t="s">
        <v>929</v>
      </c>
      <c r="D199" s="9" t="s">
        <v>930</v>
      </c>
      <c r="G199" s="6" t="s">
        <v>930</v>
      </c>
      <c r="J199" s="9" t="s">
        <v>931</v>
      </c>
      <c r="O199" s="10">
        <f>IFERROR(__xludf.DUMMYFUNCTION("VALUE(REGEXEXTRACT(A199, ""\d+""))"),255.0)</f>
        <v>255</v>
      </c>
    </row>
    <row r="200">
      <c r="A200" s="9" t="s">
        <v>932</v>
      </c>
      <c r="B200" s="9" t="s">
        <v>933</v>
      </c>
      <c r="D200" s="9" t="s">
        <v>934</v>
      </c>
      <c r="G200" s="6" t="s">
        <v>935</v>
      </c>
      <c r="J200" s="9" t="s">
        <v>936</v>
      </c>
      <c r="O200" s="10">
        <f>IFERROR(__xludf.DUMMYFUNCTION("VALUE(REGEXEXTRACT(A200, ""\d+""))"),256.0)</f>
        <v>256</v>
      </c>
    </row>
    <row r="201">
      <c r="A201" s="9" t="s">
        <v>937</v>
      </c>
      <c r="B201" s="9" t="s">
        <v>938</v>
      </c>
      <c r="D201" s="9" t="s">
        <v>939</v>
      </c>
      <c r="G201" s="6" t="s">
        <v>940</v>
      </c>
      <c r="J201" s="9" t="s">
        <v>941</v>
      </c>
      <c r="O201" s="10">
        <f>IFERROR(__xludf.DUMMYFUNCTION("VALUE(REGEXEXTRACT(A201, ""\d+""))"),257.0)</f>
        <v>257</v>
      </c>
    </row>
    <row r="202">
      <c r="A202" s="9" t="s">
        <v>942</v>
      </c>
      <c r="B202" s="9" t="s">
        <v>943</v>
      </c>
      <c r="D202" s="9" t="s">
        <v>944</v>
      </c>
      <c r="G202" s="6" t="s">
        <v>945</v>
      </c>
      <c r="J202" s="9" t="s">
        <v>946</v>
      </c>
      <c r="O202" s="10">
        <f>IFERROR(__xludf.DUMMYFUNCTION("VALUE(REGEXEXTRACT(A202, ""\d+""))"),258.0)</f>
        <v>258</v>
      </c>
    </row>
    <row r="203">
      <c r="A203" s="9" t="s">
        <v>947</v>
      </c>
      <c r="B203" s="9" t="s">
        <v>948</v>
      </c>
      <c r="D203" s="9" t="s">
        <v>949</v>
      </c>
      <c r="G203" s="6" t="s">
        <v>950</v>
      </c>
      <c r="J203" s="9" t="s">
        <v>951</v>
      </c>
      <c r="O203" s="10">
        <f>IFERROR(__xludf.DUMMYFUNCTION("VALUE(REGEXEXTRACT(A203, ""\d+""))"),259.0)</f>
        <v>259</v>
      </c>
    </row>
    <row r="204">
      <c r="A204" s="9" t="s">
        <v>952</v>
      </c>
      <c r="B204" s="9" t="s">
        <v>953</v>
      </c>
      <c r="D204" s="9" t="s">
        <v>954</v>
      </c>
      <c r="G204" s="6" t="s">
        <v>955</v>
      </c>
      <c r="J204" s="9" t="s">
        <v>956</v>
      </c>
      <c r="O204" s="10">
        <f>IFERROR(__xludf.DUMMYFUNCTION("VALUE(REGEXEXTRACT(A204, ""\d+""))"),260.0)</f>
        <v>260</v>
      </c>
    </row>
    <row r="205">
      <c r="A205" s="9" t="s">
        <v>957</v>
      </c>
      <c r="B205" s="9" t="s">
        <v>958</v>
      </c>
      <c r="D205" s="9" t="s">
        <v>959</v>
      </c>
      <c r="G205" s="6" t="s">
        <v>960</v>
      </c>
      <c r="J205" s="9" t="s">
        <v>961</v>
      </c>
      <c r="O205" s="10">
        <f>IFERROR(__xludf.DUMMYFUNCTION("VALUE(REGEXEXTRACT(A205, ""\d+""))"),261.0)</f>
        <v>261</v>
      </c>
    </row>
    <row r="206">
      <c r="A206" s="9" t="s">
        <v>962</v>
      </c>
      <c r="B206" s="9" t="s">
        <v>963</v>
      </c>
      <c r="D206" s="9" t="s">
        <v>964</v>
      </c>
      <c r="G206" s="6" t="s">
        <v>965</v>
      </c>
      <c r="J206" s="9" t="s">
        <v>966</v>
      </c>
      <c r="O206" s="10">
        <f>IFERROR(__xludf.DUMMYFUNCTION("VALUE(REGEXEXTRACT(A206, ""\d+""))"),262.0)</f>
        <v>262</v>
      </c>
    </row>
    <row r="207">
      <c r="A207" s="9" t="s">
        <v>967</v>
      </c>
      <c r="B207" s="9" t="s">
        <v>968</v>
      </c>
      <c r="D207" s="9" t="s">
        <v>969</v>
      </c>
      <c r="G207" s="6" t="s">
        <v>970</v>
      </c>
      <c r="J207" s="9" t="s">
        <v>971</v>
      </c>
      <c r="O207" s="10">
        <f>IFERROR(__xludf.DUMMYFUNCTION("VALUE(REGEXEXTRACT(A207, ""\d+""))"),263.0)</f>
        <v>263</v>
      </c>
    </row>
    <row r="208">
      <c r="A208" s="9" t="s">
        <v>972</v>
      </c>
      <c r="B208" s="9" t="s">
        <v>973</v>
      </c>
      <c r="D208" s="9" t="s">
        <v>974</v>
      </c>
      <c r="G208" s="6" t="s">
        <v>975</v>
      </c>
      <c r="J208" s="9" t="s">
        <v>976</v>
      </c>
      <c r="O208" s="10">
        <f>IFERROR(__xludf.DUMMYFUNCTION("VALUE(REGEXEXTRACT(A208, ""\d+""))"),264.0)</f>
        <v>264</v>
      </c>
    </row>
    <row r="209">
      <c r="A209" s="9" t="s">
        <v>977</v>
      </c>
      <c r="B209" s="9" t="s">
        <v>978</v>
      </c>
      <c r="D209" s="9" t="s">
        <v>979</v>
      </c>
      <c r="G209" s="6" t="s">
        <v>980</v>
      </c>
      <c r="J209" s="9" t="s">
        <v>981</v>
      </c>
      <c r="O209" s="10">
        <f>IFERROR(__xludf.DUMMYFUNCTION("VALUE(REGEXEXTRACT(A209, ""\d+""))"),265.0)</f>
        <v>265</v>
      </c>
    </row>
    <row r="210">
      <c r="A210" s="9" t="s">
        <v>982</v>
      </c>
      <c r="B210" s="9" t="s">
        <v>983</v>
      </c>
      <c r="D210" s="9" t="s">
        <v>984</v>
      </c>
      <c r="G210" s="6" t="s">
        <v>985</v>
      </c>
      <c r="J210" s="9" t="s">
        <v>986</v>
      </c>
      <c r="O210" s="10">
        <f>IFERROR(__xludf.DUMMYFUNCTION("VALUE(REGEXEXTRACT(A210, ""\d+""))"),266.0)</f>
        <v>266</v>
      </c>
    </row>
    <row r="211">
      <c r="A211" s="9" t="s">
        <v>987</v>
      </c>
      <c r="B211" s="9" t="s">
        <v>988</v>
      </c>
      <c r="D211" s="9" t="s">
        <v>989</v>
      </c>
      <c r="G211" s="6" t="s">
        <v>990</v>
      </c>
      <c r="J211" s="9" t="s">
        <v>991</v>
      </c>
      <c r="O211" s="10">
        <f>IFERROR(__xludf.DUMMYFUNCTION("VALUE(REGEXEXTRACT(A211, ""\d+""))"),267.0)</f>
        <v>267</v>
      </c>
    </row>
    <row r="212">
      <c r="A212" s="9" t="s">
        <v>992</v>
      </c>
      <c r="B212" s="9" t="s">
        <v>993</v>
      </c>
      <c r="D212" s="9" t="s">
        <v>994</v>
      </c>
      <c r="G212" s="6" t="s">
        <v>995</v>
      </c>
      <c r="J212" s="9" t="s">
        <v>996</v>
      </c>
      <c r="O212" s="10">
        <f>IFERROR(__xludf.DUMMYFUNCTION("VALUE(REGEXEXTRACT(A212, ""\d+""))"),268.0)</f>
        <v>268</v>
      </c>
    </row>
    <row r="213">
      <c r="A213" s="9" t="s">
        <v>997</v>
      </c>
      <c r="B213" s="9" t="s">
        <v>998</v>
      </c>
      <c r="D213" s="9" t="s">
        <v>999</v>
      </c>
      <c r="G213" s="6" t="s">
        <v>1000</v>
      </c>
      <c r="J213" s="9" t="s">
        <v>1001</v>
      </c>
      <c r="O213" s="10">
        <f>IFERROR(__xludf.DUMMYFUNCTION("VALUE(REGEXEXTRACT(A213, ""\d+""))"),269.0)</f>
        <v>269</v>
      </c>
    </row>
    <row r="214">
      <c r="A214" s="9" t="s">
        <v>1002</v>
      </c>
      <c r="B214" s="9" t="s">
        <v>1003</v>
      </c>
      <c r="D214" s="9" t="s">
        <v>1004</v>
      </c>
      <c r="G214" s="6" t="s">
        <v>1004</v>
      </c>
      <c r="J214" s="9" t="s">
        <v>1005</v>
      </c>
      <c r="O214" s="10">
        <f>IFERROR(__xludf.DUMMYFUNCTION("VALUE(REGEXEXTRACT(A214, ""\d+""))"),270.0)</f>
        <v>270</v>
      </c>
    </row>
    <row r="215">
      <c r="A215" s="9" t="s">
        <v>1006</v>
      </c>
      <c r="B215" s="9" t="s">
        <v>1007</v>
      </c>
      <c r="D215" s="9" t="s">
        <v>1008</v>
      </c>
      <c r="G215" s="6" t="s">
        <v>1009</v>
      </c>
      <c r="J215" s="9" t="s">
        <v>1010</v>
      </c>
      <c r="O215" s="10">
        <f>IFERROR(__xludf.DUMMYFUNCTION("VALUE(REGEXEXTRACT(A215, ""\d+""))"),271.0)</f>
        <v>271</v>
      </c>
    </row>
    <row r="216">
      <c r="A216" s="9" t="s">
        <v>1011</v>
      </c>
      <c r="B216" s="9" t="s">
        <v>1012</v>
      </c>
      <c r="D216" s="9" t="s">
        <v>1013</v>
      </c>
      <c r="G216" s="6" t="s">
        <v>1014</v>
      </c>
      <c r="J216" s="9" t="s">
        <v>1015</v>
      </c>
      <c r="O216" s="10">
        <f>IFERROR(__xludf.DUMMYFUNCTION("VALUE(REGEXEXTRACT(A216, ""\d+""))"),272.0)</f>
        <v>272</v>
      </c>
    </row>
    <row r="217">
      <c r="A217" s="9" t="s">
        <v>1016</v>
      </c>
      <c r="B217" s="9" t="s">
        <v>1017</v>
      </c>
      <c r="D217" s="9" t="s">
        <v>1018</v>
      </c>
      <c r="G217" s="6" t="s">
        <v>1019</v>
      </c>
      <c r="J217" s="9" t="s">
        <v>1020</v>
      </c>
      <c r="O217" s="10">
        <f>IFERROR(__xludf.DUMMYFUNCTION("VALUE(REGEXEXTRACT(A217, ""\d+""))"),273.0)</f>
        <v>273</v>
      </c>
    </row>
    <row r="218">
      <c r="A218" s="9" t="s">
        <v>1021</v>
      </c>
      <c r="B218" s="9" t="s">
        <v>1022</v>
      </c>
      <c r="D218" s="9" t="s">
        <v>1023</v>
      </c>
      <c r="G218" s="6" t="s">
        <v>1023</v>
      </c>
      <c r="J218" s="9" t="s">
        <v>1024</v>
      </c>
      <c r="O218" s="10">
        <f>IFERROR(__xludf.DUMMYFUNCTION("VALUE(REGEXEXTRACT(A218, ""\d+""))"),274.0)</f>
        <v>274</v>
      </c>
    </row>
    <row r="219">
      <c r="A219" s="9" t="s">
        <v>1025</v>
      </c>
      <c r="B219" s="9" t="s">
        <v>1026</v>
      </c>
      <c r="D219" s="9" t="s">
        <v>1027</v>
      </c>
      <c r="G219" s="6" t="s">
        <v>1028</v>
      </c>
      <c r="J219" s="9" t="s">
        <v>1029</v>
      </c>
      <c r="O219" s="10">
        <f>IFERROR(__xludf.DUMMYFUNCTION("VALUE(REGEXEXTRACT(A219, ""\d+""))"),275.0)</f>
        <v>275</v>
      </c>
    </row>
    <row r="220">
      <c r="A220" s="9" t="s">
        <v>1030</v>
      </c>
      <c r="B220" s="9" t="s">
        <v>1031</v>
      </c>
      <c r="D220" s="9" t="s">
        <v>1032</v>
      </c>
      <c r="G220" s="6" t="s">
        <v>1033</v>
      </c>
      <c r="J220" s="9" t="s">
        <v>1034</v>
      </c>
      <c r="O220" s="10">
        <f>IFERROR(__xludf.DUMMYFUNCTION("VALUE(REGEXEXTRACT(A220, ""\d+""))"),276.0)</f>
        <v>276</v>
      </c>
    </row>
    <row r="221">
      <c r="A221" s="9" t="s">
        <v>1035</v>
      </c>
      <c r="B221" s="9" t="s">
        <v>1036</v>
      </c>
      <c r="D221" s="9" t="s">
        <v>1037</v>
      </c>
      <c r="G221" s="6" t="s">
        <v>1038</v>
      </c>
      <c r="J221" s="9" t="s">
        <v>1039</v>
      </c>
      <c r="O221" s="10">
        <f>IFERROR(__xludf.DUMMYFUNCTION("VALUE(REGEXEXTRACT(A221, ""\d+""))"),277.0)</f>
        <v>277</v>
      </c>
    </row>
    <row r="222">
      <c r="A222" s="9" t="s">
        <v>1040</v>
      </c>
      <c r="B222" s="9" t="s">
        <v>1041</v>
      </c>
      <c r="D222" s="9" t="s">
        <v>1042</v>
      </c>
      <c r="G222" s="6" t="s">
        <v>1043</v>
      </c>
      <c r="J222" s="9" t="s">
        <v>1044</v>
      </c>
      <c r="O222" s="10">
        <f>IFERROR(__xludf.DUMMYFUNCTION("VALUE(REGEXEXTRACT(A222, ""\d+""))"),278.0)</f>
        <v>278</v>
      </c>
    </row>
    <row r="223">
      <c r="A223" s="9" t="s">
        <v>1045</v>
      </c>
      <c r="B223" s="9" t="s">
        <v>1046</v>
      </c>
      <c r="D223" s="9" t="s">
        <v>1047</v>
      </c>
      <c r="G223" s="6" t="s">
        <v>1048</v>
      </c>
      <c r="J223" s="9" t="s">
        <v>1049</v>
      </c>
      <c r="O223" s="10">
        <f>IFERROR(__xludf.DUMMYFUNCTION("VALUE(REGEXEXTRACT(A223, ""\d+""))"),279.0)</f>
        <v>279</v>
      </c>
    </row>
    <row r="224">
      <c r="A224" s="9" t="s">
        <v>1050</v>
      </c>
      <c r="B224" s="9" t="s">
        <v>1051</v>
      </c>
      <c r="D224" s="9" t="s">
        <v>1052</v>
      </c>
      <c r="G224" s="6" t="s">
        <v>1053</v>
      </c>
      <c r="J224" s="9" t="s">
        <v>1054</v>
      </c>
      <c r="O224" s="10">
        <f>IFERROR(__xludf.DUMMYFUNCTION("VALUE(REGEXEXTRACT(A224, ""\d+""))"),281.0)</f>
        <v>281</v>
      </c>
    </row>
    <row r="225">
      <c r="A225" s="9" t="s">
        <v>1055</v>
      </c>
      <c r="B225" s="9" t="s">
        <v>1056</v>
      </c>
      <c r="D225" s="9" t="s">
        <v>1057</v>
      </c>
      <c r="G225" s="6" t="s">
        <v>1058</v>
      </c>
      <c r="J225" s="9" t="s">
        <v>1059</v>
      </c>
      <c r="O225" s="10">
        <f>IFERROR(__xludf.DUMMYFUNCTION("VALUE(REGEXEXTRACT(A225, ""\d+""))"),282.0)</f>
        <v>282</v>
      </c>
    </row>
    <row r="226">
      <c r="A226" s="9" t="s">
        <v>1060</v>
      </c>
      <c r="B226" s="9" t="s">
        <v>1061</v>
      </c>
      <c r="D226" s="9" t="s">
        <v>1062</v>
      </c>
      <c r="G226" s="6" t="s">
        <v>1063</v>
      </c>
      <c r="J226" s="9" t="s">
        <v>1064</v>
      </c>
      <c r="O226" s="10">
        <f>IFERROR(__xludf.DUMMYFUNCTION("VALUE(REGEXEXTRACT(A226, ""\d+""))"),283.0)</f>
        <v>283</v>
      </c>
    </row>
    <row r="227">
      <c r="A227" s="9" t="s">
        <v>1065</v>
      </c>
      <c r="B227" s="9" t="s">
        <v>1066</v>
      </c>
      <c r="D227" s="9" t="s">
        <v>1067</v>
      </c>
      <c r="G227" s="6" t="s">
        <v>1068</v>
      </c>
      <c r="J227" s="9" t="s">
        <v>1069</v>
      </c>
      <c r="O227" s="10">
        <f>IFERROR(__xludf.DUMMYFUNCTION("VALUE(REGEXEXTRACT(A227, ""\d+""))"),284.0)</f>
        <v>284</v>
      </c>
    </row>
    <row r="228">
      <c r="A228" s="9" t="s">
        <v>1070</v>
      </c>
      <c r="B228" s="9" t="s">
        <v>1071</v>
      </c>
      <c r="D228" s="9" t="s">
        <v>1072</v>
      </c>
      <c r="G228" s="6" t="s">
        <v>1073</v>
      </c>
      <c r="J228" s="9" t="s">
        <v>1074</v>
      </c>
      <c r="O228" s="10">
        <f>IFERROR(__xludf.DUMMYFUNCTION("VALUE(REGEXEXTRACT(A228, ""\d+""))"),285.0)</f>
        <v>285</v>
      </c>
    </row>
    <row r="229">
      <c r="A229" s="9" t="s">
        <v>1075</v>
      </c>
      <c r="B229" s="9" t="s">
        <v>1076</v>
      </c>
      <c r="D229" s="9" t="s">
        <v>1077</v>
      </c>
      <c r="G229" s="6" t="s">
        <v>1078</v>
      </c>
      <c r="J229" s="9" t="s">
        <v>1079</v>
      </c>
      <c r="O229" s="10">
        <f>IFERROR(__xludf.DUMMYFUNCTION("VALUE(REGEXEXTRACT(A229, ""\d+""))"),286.0)</f>
        <v>286</v>
      </c>
    </row>
    <row r="230">
      <c r="A230" s="9" t="s">
        <v>1080</v>
      </c>
      <c r="B230" s="9" t="s">
        <v>1081</v>
      </c>
      <c r="D230" s="9" t="s">
        <v>1082</v>
      </c>
      <c r="G230" s="6" t="s">
        <v>1083</v>
      </c>
      <c r="J230" s="9" t="s">
        <v>1084</v>
      </c>
      <c r="O230" s="10">
        <f>IFERROR(__xludf.DUMMYFUNCTION("VALUE(REGEXEXTRACT(A230, ""\d+""))"),287.0)</f>
        <v>287</v>
      </c>
    </row>
    <row r="231">
      <c r="A231" s="9" t="s">
        <v>1085</v>
      </c>
      <c r="B231" s="9" t="s">
        <v>1086</v>
      </c>
      <c r="D231" s="9" t="s">
        <v>1087</v>
      </c>
      <c r="G231" s="6" t="s">
        <v>1088</v>
      </c>
      <c r="J231" s="9" t="s">
        <v>1089</v>
      </c>
      <c r="O231" s="10">
        <f>IFERROR(__xludf.DUMMYFUNCTION("VALUE(REGEXEXTRACT(A231, ""\d+""))"),288.0)</f>
        <v>288</v>
      </c>
    </row>
    <row r="232">
      <c r="A232" s="9" t="s">
        <v>1090</v>
      </c>
      <c r="B232" s="9" t="s">
        <v>1091</v>
      </c>
      <c r="D232" s="9" t="s">
        <v>1092</v>
      </c>
      <c r="G232" s="6" t="s">
        <v>1093</v>
      </c>
      <c r="J232" s="9" t="s">
        <v>1094</v>
      </c>
      <c r="O232" s="10">
        <f>IFERROR(__xludf.DUMMYFUNCTION("VALUE(REGEXEXTRACT(A232, ""\d+""))"),289.0)</f>
        <v>289</v>
      </c>
    </row>
    <row r="233">
      <c r="A233" s="9" t="s">
        <v>1095</v>
      </c>
      <c r="B233" s="9" t="s">
        <v>1096</v>
      </c>
      <c r="D233" s="9" t="s">
        <v>1097</v>
      </c>
      <c r="G233" s="6" t="s">
        <v>1098</v>
      </c>
      <c r="J233" s="9" t="s">
        <v>1099</v>
      </c>
      <c r="O233" s="10">
        <f>IFERROR(__xludf.DUMMYFUNCTION("VALUE(REGEXEXTRACT(A233, ""\d+""))"),290.0)</f>
        <v>290</v>
      </c>
    </row>
    <row r="234">
      <c r="A234" s="9" t="s">
        <v>1100</v>
      </c>
      <c r="B234" s="9" t="s">
        <v>1101</v>
      </c>
      <c r="D234" s="9" t="s">
        <v>1102</v>
      </c>
      <c r="G234" s="6" t="s">
        <v>1102</v>
      </c>
      <c r="J234" s="9" t="s">
        <v>1103</v>
      </c>
      <c r="O234" s="10">
        <f>IFERROR(__xludf.DUMMYFUNCTION("VALUE(REGEXEXTRACT(A234, ""\d+""))"),291.0)</f>
        <v>291</v>
      </c>
    </row>
    <row r="235">
      <c r="A235" s="9" t="s">
        <v>1104</v>
      </c>
      <c r="B235" s="9" t="s">
        <v>1105</v>
      </c>
      <c r="D235" s="9" t="s">
        <v>1106</v>
      </c>
      <c r="G235" s="6" t="s">
        <v>1107</v>
      </c>
      <c r="J235" s="9" t="s">
        <v>1108</v>
      </c>
      <c r="O235" s="10">
        <f>IFERROR(__xludf.DUMMYFUNCTION("VALUE(REGEXEXTRACT(A235, ""\d+""))"),292.0)</f>
        <v>292</v>
      </c>
    </row>
    <row r="236">
      <c r="A236" s="9" t="s">
        <v>1109</v>
      </c>
      <c r="B236" s="9" t="s">
        <v>1110</v>
      </c>
      <c r="D236" s="9" t="s">
        <v>1111</v>
      </c>
      <c r="G236" s="6" t="s">
        <v>1112</v>
      </c>
      <c r="J236" s="9" t="s">
        <v>1113</v>
      </c>
      <c r="O236" s="10">
        <f>IFERROR(__xludf.DUMMYFUNCTION("VALUE(REGEXEXTRACT(A236, ""\d+""))"),293.0)</f>
        <v>293</v>
      </c>
    </row>
    <row r="237">
      <c r="A237" s="9" t="s">
        <v>1114</v>
      </c>
      <c r="B237" s="9" t="s">
        <v>1115</v>
      </c>
      <c r="D237" s="9" t="s">
        <v>1116</v>
      </c>
      <c r="G237" s="6" t="s">
        <v>1117</v>
      </c>
      <c r="J237" s="9" t="s">
        <v>1118</v>
      </c>
      <c r="O237" s="10">
        <f>IFERROR(__xludf.DUMMYFUNCTION("VALUE(REGEXEXTRACT(A237, ""\d+""))"),294.0)</f>
        <v>294</v>
      </c>
    </row>
    <row r="238">
      <c r="A238" s="9" t="s">
        <v>1119</v>
      </c>
      <c r="B238" s="9" t="s">
        <v>1120</v>
      </c>
      <c r="D238" s="9" t="s">
        <v>1121</v>
      </c>
      <c r="G238" s="6" t="s">
        <v>1122</v>
      </c>
      <c r="J238" s="9" t="s">
        <v>1123</v>
      </c>
      <c r="O238" s="10">
        <f>IFERROR(__xludf.DUMMYFUNCTION("VALUE(REGEXEXTRACT(A238, ""\d+""))"),295.0)</f>
        <v>295</v>
      </c>
    </row>
    <row r="239">
      <c r="A239" s="9" t="s">
        <v>1124</v>
      </c>
      <c r="B239" s="9" t="s">
        <v>1125</v>
      </c>
      <c r="D239" s="9" t="s">
        <v>1126</v>
      </c>
      <c r="G239" s="6" t="s">
        <v>1127</v>
      </c>
      <c r="J239" s="9" t="s">
        <v>1128</v>
      </c>
      <c r="O239" s="10">
        <f>IFERROR(__xludf.DUMMYFUNCTION("VALUE(REGEXEXTRACT(A239, ""\d+""))"),296.0)</f>
        <v>296</v>
      </c>
    </row>
    <row r="240">
      <c r="A240" s="9" t="s">
        <v>1129</v>
      </c>
      <c r="B240" s="9" t="s">
        <v>1130</v>
      </c>
      <c r="D240" s="9" t="s">
        <v>1131</v>
      </c>
      <c r="G240" s="6" t="s">
        <v>1132</v>
      </c>
      <c r="J240" s="9" t="s">
        <v>1133</v>
      </c>
      <c r="O240" s="10">
        <f>IFERROR(__xludf.DUMMYFUNCTION("VALUE(REGEXEXTRACT(A240, ""\d+""))"),297.0)</f>
        <v>297</v>
      </c>
    </row>
    <row r="241">
      <c r="A241" s="9" t="s">
        <v>1134</v>
      </c>
      <c r="B241" s="9" t="s">
        <v>1135</v>
      </c>
      <c r="D241" s="9" t="s">
        <v>1136</v>
      </c>
      <c r="G241" s="6" t="s">
        <v>1137</v>
      </c>
      <c r="J241" s="9" t="s">
        <v>1138</v>
      </c>
      <c r="O241" s="10">
        <f>IFERROR(__xludf.DUMMYFUNCTION("VALUE(REGEXEXTRACT(A241, ""\d+""))"),298.0)</f>
        <v>298</v>
      </c>
    </row>
    <row r="242">
      <c r="A242" s="9" t="s">
        <v>1139</v>
      </c>
      <c r="B242" s="9" t="s">
        <v>1140</v>
      </c>
      <c r="D242" s="9" t="s">
        <v>1141</v>
      </c>
      <c r="G242" s="6" t="s">
        <v>1142</v>
      </c>
      <c r="J242" s="9" t="s">
        <v>1143</v>
      </c>
      <c r="O242" s="10">
        <f>IFERROR(__xludf.DUMMYFUNCTION("VALUE(REGEXEXTRACT(A242, ""\d+""))"),299.0)</f>
        <v>299</v>
      </c>
    </row>
    <row r="243">
      <c r="A243" s="9" t="s">
        <v>1144</v>
      </c>
      <c r="B243" s="9" t="s">
        <v>1145</v>
      </c>
      <c r="D243" s="9" t="s">
        <v>1146</v>
      </c>
      <c r="G243" s="6" t="s">
        <v>1146</v>
      </c>
      <c r="J243" s="9" t="s">
        <v>1147</v>
      </c>
      <c r="O243" s="10">
        <f>IFERROR(__xludf.DUMMYFUNCTION("VALUE(REGEXEXTRACT(A243, ""\d+""))"),300.0)</f>
        <v>300</v>
      </c>
    </row>
    <row r="244">
      <c r="A244" s="9" t="s">
        <v>1148</v>
      </c>
      <c r="B244" s="9" t="s">
        <v>1149</v>
      </c>
      <c r="D244" s="9" t="s">
        <v>1150</v>
      </c>
      <c r="G244" s="6" t="s">
        <v>1150</v>
      </c>
      <c r="J244" s="9" t="s">
        <v>1151</v>
      </c>
      <c r="O244" s="10">
        <f>IFERROR(__xludf.DUMMYFUNCTION("VALUE(REGEXEXTRACT(A244, ""\d+""))"),301.0)</f>
        <v>301</v>
      </c>
    </row>
    <row r="245">
      <c r="A245" s="9" t="s">
        <v>1152</v>
      </c>
      <c r="B245" s="9" t="s">
        <v>1153</v>
      </c>
      <c r="D245" s="9" t="s">
        <v>1154</v>
      </c>
      <c r="G245" s="6" t="s">
        <v>1154</v>
      </c>
      <c r="J245" s="9" t="s">
        <v>1155</v>
      </c>
      <c r="O245" s="10">
        <f>IFERROR(__xludf.DUMMYFUNCTION("VALUE(REGEXEXTRACT(A245, ""\d+""))"),302.0)</f>
        <v>302</v>
      </c>
    </row>
    <row r="246">
      <c r="A246" s="9" t="s">
        <v>1156</v>
      </c>
      <c r="B246" s="9" t="s">
        <v>1157</v>
      </c>
      <c r="D246" s="9" t="s">
        <v>1158</v>
      </c>
      <c r="G246" s="6" t="s">
        <v>1159</v>
      </c>
      <c r="J246" s="9" t="s">
        <v>1160</v>
      </c>
      <c r="O246" s="10">
        <f>IFERROR(__xludf.DUMMYFUNCTION("VALUE(REGEXEXTRACT(A246, ""\d+""))"),303.0)</f>
        <v>303</v>
      </c>
    </row>
    <row r="247">
      <c r="A247" s="9" t="s">
        <v>1161</v>
      </c>
      <c r="B247" s="9" t="s">
        <v>1162</v>
      </c>
      <c r="D247" s="9" t="s">
        <v>1163</v>
      </c>
      <c r="G247" s="6" t="s">
        <v>1164</v>
      </c>
      <c r="J247" s="9" t="s">
        <v>1165</v>
      </c>
      <c r="O247" s="10">
        <f>IFERROR(__xludf.DUMMYFUNCTION("VALUE(REGEXEXTRACT(A247, ""\d+""))"),304.0)</f>
        <v>304</v>
      </c>
    </row>
    <row r="248">
      <c r="A248" s="9" t="s">
        <v>1166</v>
      </c>
      <c r="B248" s="9" t="s">
        <v>1167</v>
      </c>
      <c r="D248" s="9" t="s">
        <v>1168</v>
      </c>
      <c r="G248" s="6" t="s">
        <v>1169</v>
      </c>
      <c r="J248" s="9" t="s">
        <v>1170</v>
      </c>
      <c r="O248" s="10">
        <f>IFERROR(__xludf.DUMMYFUNCTION("VALUE(REGEXEXTRACT(A248, ""\d+""))"),305.0)</f>
        <v>305</v>
      </c>
    </row>
    <row r="249">
      <c r="A249" s="9" t="s">
        <v>1171</v>
      </c>
      <c r="B249" s="9" t="s">
        <v>1172</v>
      </c>
      <c r="D249" s="9" t="s">
        <v>1173</v>
      </c>
      <c r="G249" s="6" t="s">
        <v>1174</v>
      </c>
      <c r="J249" s="9" t="s">
        <v>1175</v>
      </c>
      <c r="O249" s="10">
        <f>IFERROR(__xludf.DUMMYFUNCTION("VALUE(REGEXEXTRACT(A249, ""\d+""))"),307.0)</f>
        <v>307</v>
      </c>
    </row>
    <row r="250">
      <c r="A250" s="9" t="s">
        <v>1176</v>
      </c>
      <c r="B250" s="9" t="s">
        <v>1177</v>
      </c>
      <c r="D250" s="9" t="s">
        <v>1178</v>
      </c>
      <c r="G250" s="6" t="s">
        <v>1179</v>
      </c>
      <c r="J250" s="9" t="s">
        <v>1180</v>
      </c>
      <c r="O250" s="10">
        <f>IFERROR(__xludf.DUMMYFUNCTION("VALUE(REGEXEXTRACT(A250, ""\d+""))"),308.0)</f>
        <v>308</v>
      </c>
    </row>
    <row r="251">
      <c r="A251" s="9" t="s">
        <v>1181</v>
      </c>
      <c r="B251" s="9" t="s">
        <v>1182</v>
      </c>
      <c r="D251" s="9" t="s">
        <v>1183</v>
      </c>
      <c r="G251" s="6" t="s">
        <v>1184</v>
      </c>
      <c r="J251" s="9" t="s">
        <v>1185</v>
      </c>
      <c r="O251" s="10">
        <f>IFERROR(__xludf.DUMMYFUNCTION("VALUE(REGEXEXTRACT(A251, ""\d+""))"),309.0)</f>
        <v>309</v>
      </c>
    </row>
    <row r="252">
      <c r="A252" s="9" t="s">
        <v>1186</v>
      </c>
      <c r="B252" s="9" t="s">
        <v>1187</v>
      </c>
      <c r="D252" s="9" t="s">
        <v>1188</v>
      </c>
      <c r="G252" s="6" t="s">
        <v>1189</v>
      </c>
      <c r="J252" s="9" t="s">
        <v>1187</v>
      </c>
      <c r="O252" s="10">
        <f>IFERROR(__xludf.DUMMYFUNCTION("VALUE(REGEXEXTRACT(A252, ""\d+""))"),310.0)</f>
        <v>310</v>
      </c>
    </row>
    <row r="253">
      <c r="A253" s="9" t="s">
        <v>1190</v>
      </c>
      <c r="B253" s="9" t="s">
        <v>1191</v>
      </c>
      <c r="D253" s="9" t="s">
        <v>1192</v>
      </c>
      <c r="G253" s="6" t="s">
        <v>1193</v>
      </c>
      <c r="J253" s="9" t="s">
        <v>1194</v>
      </c>
      <c r="O253" s="10">
        <f>IFERROR(__xludf.DUMMYFUNCTION("VALUE(REGEXEXTRACT(A253, ""\d+""))"),311.0)</f>
        <v>311</v>
      </c>
    </row>
    <row r="254">
      <c r="A254" s="9" t="s">
        <v>1195</v>
      </c>
      <c r="B254" s="9" t="s">
        <v>1196</v>
      </c>
      <c r="D254" s="9" t="s">
        <v>1197</v>
      </c>
      <c r="G254" s="6" t="s">
        <v>1198</v>
      </c>
      <c r="J254" s="9" t="s">
        <v>1199</v>
      </c>
      <c r="O254" s="10">
        <f>IFERROR(__xludf.DUMMYFUNCTION("VALUE(REGEXEXTRACT(A254, ""\d+""))"),312.0)</f>
        <v>312</v>
      </c>
    </row>
    <row r="255">
      <c r="A255" s="9" t="s">
        <v>1200</v>
      </c>
      <c r="B255" s="9" t="s">
        <v>1201</v>
      </c>
      <c r="D255" s="9" t="s">
        <v>1202</v>
      </c>
      <c r="G255" s="6" t="s">
        <v>1203</v>
      </c>
      <c r="J255" s="9" t="s">
        <v>1204</v>
      </c>
      <c r="O255" s="10">
        <f>IFERROR(__xludf.DUMMYFUNCTION("VALUE(REGEXEXTRACT(A255, ""\d+""))"),313.0)</f>
        <v>313</v>
      </c>
    </row>
    <row r="256">
      <c r="A256" s="9" t="s">
        <v>1205</v>
      </c>
      <c r="B256" s="9" t="s">
        <v>1206</v>
      </c>
      <c r="D256" s="9" t="s">
        <v>1207</v>
      </c>
      <c r="G256" s="6" t="s">
        <v>1208</v>
      </c>
      <c r="J256" s="9" t="s">
        <v>1209</v>
      </c>
      <c r="O256" s="10">
        <f>IFERROR(__xludf.DUMMYFUNCTION("VALUE(REGEXEXTRACT(A256, ""\d+""))"),314.0)</f>
        <v>314</v>
      </c>
    </row>
    <row r="257">
      <c r="A257" s="9" t="s">
        <v>1210</v>
      </c>
      <c r="B257" s="9" t="s">
        <v>1211</v>
      </c>
      <c r="D257" s="9" t="s">
        <v>1212</v>
      </c>
      <c r="G257" s="6" t="s">
        <v>1213</v>
      </c>
      <c r="J257" s="9" t="s">
        <v>1214</v>
      </c>
      <c r="O257" s="10">
        <f>IFERROR(__xludf.DUMMYFUNCTION("VALUE(REGEXEXTRACT(A257, ""\d+""))"),316.0)</f>
        <v>316</v>
      </c>
    </row>
    <row r="258">
      <c r="A258" s="9" t="s">
        <v>1215</v>
      </c>
      <c r="B258" s="9" t="s">
        <v>1216</v>
      </c>
      <c r="D258" s="9" t="s">
        <v>1217</v>
      </c>
      <c r="G258" s="6" t="s">
        <v>1218</v>
      </c>
      <c r="J258" s="9" t="s">
        <v>1219</v>
      </c>
      <c r="O258" s="10">
        <f>IFERROR(__xludf.DUMMYFUNCTION("VALUE(REGEXEXTRACT(A258, ""\d+""))"),317.0)</f>
        <v>317</v>
      </c>
    </row>
    <row r="259">
      <c r="A259" s="9" t="s">
        <v>1220</v>
      </c>
      <c r="B259" s="9" t="s">
        <v>1221</v>
      </c>
      <c r="D259" s="9" t="s">
        <v>1222</v>
      </c>
      <c r="G259" s="6" t="s">
        <v>1223</v>
      </c>
      <c r="J259" s="9" t="s">
        <v>1224</v>
      </c>
      <c r="O259" s="10">
        <f>IFERROR(__xludf.DUMMYFUNCTION("VALUE(REGEXEXTRACT(A259, ""\d+""))"),318.0)</f>
        <v>318</v>
      </c>
    </row>
    <row r="260">
      <c r="A260" s="9" t="s">
        <v>1225</v>
      </c>
      <c r="B260" s="9" t="s">
        <v>1226</v>
      </c>
      <c r="D260" s="9" t="s">
        <v>1227</v>
      </c>
      <c r="G260" s="6" t="s">
        <v>1228</v>
      </c>
      <c r="J260" s="9" t="s">
        <v>1229</v>
      </c>
      <c r="O260" s="10">
        <f>IFERROR(__xludf.DUMMYFUNCTION("VALUE(REGEXEXTRACT(A260, ""\d+""))"),319.0)</f>
        <v>319</v>
      </c>
    </row>
    <row r="261">
      <c r="A261" s="9" t="s">
        <v>1230</v>
      </c>
      <c r="B261" s="9" t="s">
        <v>1231</v>
      </c>
      <c r="D261" s="9" t="s">
        <v>1232</v>
      </c>
      <c r="G261" s="6" t="s">
        <v>1233</v>
      </c>
      <c r="J261" s="9" t="s">
        <v>1234</v>
      </c>
      <c r="O261" s="10">
        <f>IFERROR(__xludf.DUMMYFUNCTION("VALUE(REGEXEXTRACT(A261, ""\d+""))"),320.0)</f>
        <v>320</v>
      </c>
    </row>
    <row r="262">
      <c r="A262" s="9" t="s">
        <v>1235</v>
      </c>
      <c r="B262" s="9" t="s">
        <v>1236</v>
      </c>
      <c r="D262" s="9" t="s">
        <v>1237</v>
      </c>
      <c r="G262" s="6" t="s">
        <v>1238</v>
      </c>
      <c r="J262" s="9" t="s">
        <v>1239</v>
      </c>
      <c r="O262" s="10">
        <f>IFERROR(__xludf.DUMMYFUNCTION("VALUE(REGEXEXTRACT(A262, ""\d+""))"),321.0)</f>
        <v>321</v>
      </c>
    </row>
    <row r="263">
      <c r="A263" s="9" t="s">
        <v>1240</v>
      </c>
      <c r="B263" s="9" t="s">
        <v>1241</v>
      </c>
      <c r="D263" s="9" t="s">
        <v>1242</v>
      </c>
      <c r="G263" s="6" t="s">
        <v>1243</v>
      </c>
      <c r="J263" s="9" t="s">
        <v>1244</v>
      </c>
      <c r="O263" s="10">
        <f>IFERROR(__xludf.DUMMYFUNCTION("VALUE(REGEXEXTRACT(A263, ""\d+""))"),322.0)</f>
        <v>322</v>
      </c>
    </row>
    <row r="264">
      <c r="A264" s="9" t="s">
        <v>1245</v>
      </c>
      <c r="B264" s="9" t="s">
        <v>1246</v>
      </c>
      <c r="D264" s="9" t="s">
        <v>1247</v>
      </c>
      <c r="G264" s="6" t="s">
        <v>1248</v>
      </c>
      <c r="J264" s="9" t="s">
        <v>1249</v>
      </c>
      <c r="O264" s="10">
        <f>IFERROR(__xludf.DUMMYFUNCTION("VALUE(REGEXEXTRACT(A264, ""\d+""))"),323.0)</f>
        <v>323</v>
      </c>
    </row>
    <row r="265">
      <c r="A265" s="9" t="s">
        <v>1250</v>
      </c>
      <c r="B265" s="9" t="s">
        <v>1251</v>
      </c>
      <c r="D265" s="9" t="s">
        <v>1252</v>
      </c>
      <c r="G265" s="6" t="s">
        <v>1253</v>
      </c>
      <c r="J265" s="9" t="s">
        <v>1254</v>
      </c>
      <c r="O265" s="10">
        <f>IFERROR(__xludf.DUMMYFUNCTION("VALUE(REGEXEXTRACT(A265, ""\d+""))"),324.0)</f>
        <v>324</v>
      </c>
    </row>
    <row r="266">
      <c r="A266" s="9" t="s">
        <v>1255</v>
      </c>
      <c r="B266" s="9" t="s">
        <v>1256</v>
      </c>
      <c r="D266" s="9" t="s">
        <v>1257</v>
      </c>
      <c r="G266" s="6" t="s">
        <v>1258</v>
      </c>
      <c r="J266" s="9" t="s">
        <v>1259</v>
      </c>
      <c r="O266" s="10">
        <f>IFERROR(__xludf.DUMMYFUNCTION("VALUE(REGEXEXTRACT(A266, ""\d+""))"),325.0)</f>
        <v>325</v>
      </c>
    </row>
    <row r="267">
      <c r="A267" s="9" t="s">
        <v>1260</v>
      </c>
      <c r="B267" s="9" t="s">
        <v>1261</v>
      </c>
      <c r="D267" s="9" t="s">
        <v>1262</v>
      </c>
      <c r="G267" s="6" t="s">
        <v>1263</v>
      </c>
      <c r="J267" s="9" t="s">
        <v>1264</v>
      </c>
      <c r="O267" s="10">
        <f>IFERROR(__xludf.DUMMYFUNCTION("VALUE(REGEXEXTRACT(A267, ""\d+""))"),326.0)</f>
        <v>326</v>
      </c>
    </row>
    <row r="268">
      <c r="A268" s="9" t="s">
        <v>1265</v>
      </c>
      <c r="B268" s="9" t="s">
        <v>1266</v>
      </c>
      <c r="D268" s="9" t="s">
        <v>1267</v>
      </c>
      <c r="G268" s="6" t="s">
        <v>1268</v>
      </c>
      <c r="J268" s="9" t="s">
        <v>1269</v>
      </c>
      <c r="O268" s="10">
        <f>IFERROR(__xludf.DUMMYFUNCTION("VALUE(REGEXEXTRACT(A268, ""\d+""))"),327.0)</f>
        <v>327</v>
      </c>
    </row>
    <row r="269">
      <c r="A269" s="9" t="s">
        <v>1270</v>
      </c>
      <c r="B269" s="9" t="s">
        <v>1271</v>
      </c>
      <c r="D269" s="9" t="s">
        <v>1272</v>
      </c>
      <c r="G269" s="6" t="s">
        <v>1273</v>
      </c>
      <c r="J269" s="9" t="s">
        <v>1274</v>
      </c>
      <c r="O269" s="10">
        <f>IFERROR(__xludf.DUMMYFUNCTION("VALUE(REGEXEXTRACT(A269, ""\d+""))"),328.0)</f>
        <v>328</v>
      </c>
    </row>
    <row r="270">
      <c r="A270" s="9" t="s">
        <v>1275</v>
      </c>
      <c r="B270" s="9" t="s">
        <v>1276</v>
      </c>
      <c r="D270" s="9" t="s">
        <v>1277</v>
      </c>
      <c r="G270" s="6" t="s">
        <v>1278</v>
      </c>
      <c r="J270" s="9" t="s">
        <v>1279</v>
      </c>
      <c r="O270" s="10">
        <f>IFERROR(__xludf.DUMMYFUNCTION("VALUE(REGEXEXTRACT(A270, ""\d+""))"),329.0)</f>
        <v>329</v>
      </c>
    </row>
    <row r="271">
      <c r="A271" s="9" t="s">
        <v>1280</v>
      </c>
      <c r="B271" s="9" t="s">
        <v>1281</v>
      </c>
      <c r="G271" s="6" t="s">
        <v>1282</v>
      </c>
      <c r="J271" s="9" t="s">
        <v>1283</v>
      </c>
      <c r="O271" s="10">
        <f>IFERROR(__xludf.DUMMYFUNCTION("VALUE(REGEXEXTRACT(A271, ""\d+""))"),330.0)</f>
        <v>330</v>
      </c>
    </row>
    <row r="272">
      <c r="A272" s="9" t="s">
        <v>1284</v>
      </c>
      <c r="B272" s="9" t="s">
        <v>1285</v>
      </c>
      <c r="G272" s="6" t="s">
        <v>1286</v>
      </c>
      <c r="J272" s="9" t="s">
        <v>1287</v>
      </c>
      <c r="O272" s="10">
        <f>IFERROR(__xludf.DUMMYFUNCTION("VALUE(REGEXEXTRACT(A272, ""\d+""))"),331.0)</f>
        <v>331</v>
      </c>
    </row>
    <row r="273">
      <c r="A273" s="9" t="s">
        <v>1288</v>
      </c>
      <c r="B273" s="9" t="s">
        <v>1289</v>
      </c>
      <c r="G273" s="6" t="s">
        <v>1290</v>
      </c>
      <c r="J273" s="9" t="s">
        <v>1291</v>
      </c>
      <c r="O273" s="10">
        <f>IFERROR(__xludf.DUMMYFUNCTION("VALUE(REGEXEXTRACT(A273, ""\d+""))"),332.0)</f>
        <v>332</v>
      </c>
    </row>
    <row r="274">
      <c r="A274" s="9" t="s">
        <v>1292</v>
      </c>
      <c r="B274" s="9" t="s">
        <v>1293</v>
      </c>
      <c r="D274" s="9" t="s">
        <v>1294</v>
      </c>
      <c r="G274" s="6" t="s">
        <v>1295</v>
      </c>
      <c r="J274" s="9" t="s">
        <v>1296</v>
      </c>
      <c r="O274" s="10">
        <f>IFERROR(__xludf.DUMMYFUNCTION("VALUE(REGEXEXTRACT(A274, ""\d+""))"),333.0)</f>
        <v>333</v>
      </c>
    </row>
    <row r="275">
      <c r="A275" s="9" t="s">
        <v>1297</v>
      </c>
      <c r="B275" s="9" t="s">
        <v>1298</v>
      </c>
      <c r="G275" s="11" t="s">
        <v>1299</v>
      </c>
      <c r="J275" s="9" t="s">
        <v>1300</v>
      </c>
      <c r="O275" s="10">
        <f>IFERROR(__xludf.DUMMYFUNCTION("VALUE(REGEXEXTRACT(A275, ""\d+""))"),334.0)</f>
        <v>334</v>
      </c>
    </row>
    <row r="276">
      <c r="A276" s="9" t="s">
        <v>1301</v>
      </c>
      <c r="B276" s="9" t="s">
        <v>1302</v>
      </c>
      <c r="G276" s="6" t="s">
        <v>1303</v>
      </c>
      <c r="J276" s="9" t="s">
        <v>1304</v>
      </c>
      <c r="O276" s="10">
        <f>IFERROR(__xludf.DUMMYFUNCTION("VALUE(REGEXEXTRACT(A276, ""\d+""))"),335.0)</f>
        <v>335</v>
      </c>
    </row>
    <row r="277">
      <c r="A277" s="9" t="s">
        <v>1305</v>
      </c>
      <c r="B277" s="9" t="s">
        <v>1306</v>
      </c>
      <c r="D277" s="9" t="s">
        <v>1307</v>
      </c>
      <c r="G277" s="6" t="s">
        <v>1308</v>
      </c>
      <c r="J277" s="9" t="s">
        <v>1309</v>
      </c>
      <c r="O277" s="10">
        <f>IFERROR(__xludf.DUMMYFUNCTION("VALUE(REGEXEXTRACT(A277, ""\d+""))"),336.0)</f>
        <v>336</v>
      </c>
    </row>
    <row r="278">
      <c r="A278" s="9" t="s">
        <v>1310</v>
      </c>
      <c r="B278" s="9" t="s">
        <v>1311</v>
      </c>
      <c r="D278" s="9" t="s">
        <v>1312</v>
      </c>
      <c r="G278" s="6" t="s">
        <v>1313</v>
      </c>
      <c r="J278" s="9" t="s">
        <v>1314</v>
      </c>
      <c r="O278" s="10">
        <f>IFERROR(__xludf.DUMMYFUNCTION("VALUE(REGEXEXTRACT(A278, ""\d+""))"),338.0)</f>
        <v>338</v>
      </c>
    </row>
    <row r="279">
      <c r="A279" s="9" t="s">
        <v>1315</v>
      </c>
      <c r="B279" s="9" t="s">
        <v>1316</v>
      </c>
      <c r="D279" s="9" t="s">
        <v>1317</v>
      </c>
      <c r="G279" s="6" t="s">
        <v>1318</v>
      </c>
      <c r="J279" s="9" t="s">
        <v>1319</v>
      </c>
      <c r="O279" s="10">
        <f>IFERROR(__xludf.DUMMYFUNCTION("VALUE(REGEXEXTRACT(A279, ""\d+""))"),339.0)</f>
        <v>339</v>
      </c>
    </row>
    <row r="280">
      <c r="A280" s="9" t="s">
        <v>1320</v>
      </c>
      <c r="B280" s="9" t="s">
        <v>1321</v>
      </c>
      <c r="G280" s="11" t="s">
        <v>1322</v>
      </c>
      <c r="J280" s="9" t="s">
        <v>1323</v>
      </c>
      <c r="O280" s="10">
        <f>IFERROR(__xludf.DUMMYFUNCTION("VALUE(REGEXEXTRACT(A280, ""\d+""))"),340.0)</f>
        <v>340</v>
      </c>
    </row>
    <row r="281">
      <c r="A281" s="9" t="s">
        <v>1324</v>
      </c>
      <c r="B281" s="9" t="s">
        <v>1325</v>
      </c>
      <c r="D281" s="9" t="s">
        <v>1326</v>
      </c>
      <c r="G281" s="6" t="s">
        <v>1327</v>
      </c>
      <c r="J281" s="9" t="s">
        <v>1328</v>
      </c>
      <c r="O281" s="10">
        <f>IFERROR(__xludf.DUMMYFUNCTION("VALUE(REGEXEXTRACT(A281, ""\d+""))"),341.0)</f>
        <v>341</v>
      </c>
    </row>
    <row r="282">
      <c r="A282" s="9" t="s">
        <v>1329</v>
      </c>
      <c r="B282" s="9" t="s">
        <v>1330</v>
      </c>
      <c r="G282" s="6" t="s">
        <v>1331</v>
      </c>
      <c r="O282" s="10">
        <f>IFERROR(__xludf.DUMMYFUNCTION("VALUE(REGEXEXTRACT(A282, ""\d+""))"),342.0)</f>
        <v>342</v>
      </c>
    </row>
    <row r="283">
      <c r="A283" s="9" t="s">
        <v>1332</v>
      </c>
      <c r="B283" s="9" t="s">
        <v>1333</v>
      </c>
      <c r="D283" s="9" t="s">
        <v>1334</v>
      </c>
      <c r="G283" s="6" t="s">
        <v>1335</v>
      </c>
      <c r="J283" s="9" t="s">
        <v>1336</v>
      </c>
      <c r="O283" s="10">
        <f>IFERROR(__xludf.DUMMYFUNCTION("VALUE(REGEXEXTRACT(A283, ""\d+""))"),343.0)</f>
        <v>343</v>
      </c>
    </row>
    <row r="284">
      <c r="A284" s="9" t="s">
        <v>1337</v>
      </c>
      <c r="B284" s="9" t="s">
        <v>1338</v>
      </c>
      <c r="D284" s="9" t="s">
        <v>1339</v>
      </c>
      <c r="G284" s="6" t="s">
        <v>1339</v>
      </c>
      <c r="J284" s="9" t="s">
        <v>1340</v>
      </c>
      <c r="O284" s="10">
        <f>IFERROR(__xludf.DUMMYFUNCTION("VALUE(REGEXEXTRACT(A284, ""\d+""))"),344.0)</f>
        <v>344</v>
      </c>
    </row>
    <row r="285">
      <c r="A285" s="9" t="s">
        <v>1341</v>
      </c>
      <c r="B285" s="9" t="s">
        <v>1342</v>
      </c>
      <c r="D285" s="9" t="s">
        <v>1343</v>
      </c>
      <c r="G285" s="6" t="s">
        <v>1343</v>
      </c>
      <c r="J285" s="9" t="s">
        <v>1344</v>
      </c>
      <c r="O285" s="10">
        <f>IFERROR(__xludf.DUMMYFUNCTION("VALUE(REGEXEXTRACT(A285, ""\d+""))"),345.0)</f>
        <v>345</v>
      </c>
    </row>
    <row r="286">
      <c r="A286" s="9" t="s">
        <v>1345</v>
      </c>
      <c r="B286" s="9" t="s">
        <v>1346</v>
      </c>
      <c r="D286" s="9" t="s">
        <v>1347</v>
      </c>
      <c r="G286" s="6" t="s">
        <v>1348</v>
      </c>
      <c r="J286" s="9" t="s">
        <v>1349</v>
      </c>
      <c r="O286" s="10">
        <f>IFERROR(__xludf.DUMMYFUNCTION("VALUE(REGEXEXTRACT(A286, ""\d+""))"),346.0)</f>
        <v>346</v>
      </c>
    </row>
    <row r="287">
      <c r="A287" s="9" t="s">
        <v>1350</v>
      </c>
      <c r="B287" s="9" t="s">
        <v>1351</v>
      </c>
      <c r="D287" s="9" t="s">
        <v>1352</v>
      </c>
      <c r="G287" s="6" t="s">
        <v>1352</v>
      </c>
      <c r="J287" s="9" t="s">
        <v>1353</v>
      </c>
      <c r="O287" s="10">
        <f>IFERROR(__xludf.DUMMYFUNCTION("VALUE(REGEXEXTRACT(A287, ""\d+""))"),347.0)</f>
        <v>347</v>
      </c>
    </row>
    <row r="288">
      <c r="A288" s="9" t="s">
        <v>1354</v>
      </c>
      <c r="B288" s="9" t="s">
        <v>1355</v>
      </c>
      <c r="D288" s="9" t="s">
        <v>1356</v>
      </c>
      <c r="G288" s="6" t="s">
        <v>1356</v>
      </c>
      <c r="J288" s="9" t="s">
        <v>1357</v>
      </c>
      <c r="O288" s="10">
        <f>IFERROR(__xludf.DUMMYFUNCTION("VALUE(REGEXEXTRACT(A288, ""\d+""))"),350.0)</f>
        <v>350</v>
      </c>
    </row>
    <row r="289">
      <c r="A289" s="9" t="s">
        <v>1358</v>
      </c>
      <c r="B289" s="9" t="s">
        <v>1359</v>
      </c>
      <c r="D289" s="9" t="s">
        <v>1360</v>
      </c>
      <c r="G289" s="6" t="s">
        <v>1360</v>
      </c>
      <c r="J289" s="9" t="s">
        <v>1361</v>
      </c>
      <c r="O289" s="10">
        <f>IFERROR(__xludf.DUMMYFUNCTION("VALUE(REGEXEXTRACT(A289, ""\d+""))"),351.0)</f>
        <v>351</v>
      </c>
    </row>
    <row r="290">
      <c r="A290" s="9" t="s">
        <v>1362</v>
      </c>
      <c r="B290" s="9" t="s">
        <v>1363</v>
      </c>
      <c r="D290" s="9" t="s">
        <v>1364</v>
      </c>
      <c r="G290" s="6" t="s">
        <v>1364</v>
      </c>
      <c r="J290" s="9" t="s">
        <v>1365</v>
      </c>
      <c r="O290" s="10">
        <f>IFERROR(__xludf.DUMMYFUNCTION("VALUE(REGEXEXTRACT(A290, ""\d+""))"),352.0)</f>
        <v>352</v>
      </c>
    </row>
    <row r="291">
      <c r="A291" s="9" t="s">
        <v>1366</v>
      </c>
      <c r="B291" s="9" t="s">
        <v>1367</v>
      </c>
      <c r="D291" s="9" t="s">
        <v>1368</v>
      </c>
      <c r="G291" s="6" t="s">
        <v>1368</v>
      </c>
      <c r="J291" s="9" t="s">
        <v>1369</v>
      </c>
      <c r="O291" s="10">
        <f>IFERROR(__xludf.DUMMYFUNCTION("VALUE(REGEXEXTRACT(A291, ""\d+""))"),353.0)</f>
        <v>353</v>
      </c>
    </row>
    <row r="292">
      <c r="A292" s="9" t="s">
        <v>1370</v>
      </c>
      <c r="B292" s="9" t="s">
        <v>1371</v>
      </c>
      <c r="D292" s="9" t="s">
        <v>1372</v>
      </c>
      <c r="G292" s="6" t="s">
        <v>1372</v>
      </c>
      <c r="J292" s="9" t="s">
        <v>1373</v>
      </c>
      <c r="O292" s="10">
        <f>IFERROR(__xludf.DUMMYFUNCTION("VALUE(REGEXEXTRACT(A292, ""\d+""))"),354.0)</f>
        <v>354</v>
      </c>
    </row>
    <row r="293">
      <c r="A293" s="9" t="s">
        <v>1374</v>
      </c>
      <c r="B293" s="9" t="s">
        <v>1375</v>
      </c>
      <c r="D293" s="9" t="s">
        <v>1376</v>
      </c>
      <c r="G293" s="6" t="s">
        <v>1376</v>
      </c>
      <c r="J293" s="9" t="s">
        <v>1377</v>
      </c>
      <c r="O293" s="10">
        <f>IFERROR(__xludf.DUMMYFUNCTION("VALUE(REGEXEXTRACT(A293, ""\d+""))"),355.0)</f>
        <v>355</v>
      </c>
    </row>
    <row r="294">
      <c r="A294" s="9" t="s">
        <v>1378</v>
      </c>
      <c r="B294" s="9" t="s">
        <v>1379</v>
      </c>
      <c r="D294" s="9" t="s">
        <v>1380</v>
      </c>
      <c r="G294" s="6" t="s">
        <v>1381</v>
      </c>
      <c r="J294" s="9" t="s">
        <v>1382</v>
      </c>
      <c r="O294" s="10">
        <f>IFERROR(__xludf.DUMMYFUNCTION("VALUE(REGEXEXTRACT(A294, ""\d+""))"),356.0)</f>
        <v>356</v>
      </c>
    </row>
    <row r="295">
      <c r="A295" s="9" t="s">
        <v>1383</v>
      </c>
      <c r="B295" s="9" t="s">
        <v>1384</v>
      </c>
      <c r="D295" s="9" t="s">
        <v>1385</v>
      </c>
      <c r="G295" s="6" t="s">
        <v>1385</v>
      </c>
      <c r="J295" s="9" t="s">
        <v>1386</v>
      </c>
      <c r="O295" s="10">
        <f>IFERROR(__xludf.DUMMYFUNCTION("VALUE(REGEXEXTRACT(A295, ""\d+""))"),357.0)</f>
        <v>357</v>
      </c>
    </row>
    <row r="296">
      <c r="A296" s="9" t="s">
        <v>1387</v>
      </c>
      <c r="B296" s="9" t="s">
        <v>1388</v>
      </c>
      <c r="D296" s="9" t="s">
        <v>1389</v>
      </c>
      <c r="G296" s="6" t="s">
        <v>1390</v>
      </c>
      <c r="J296" s="9" t="s">
        <v>1391</v>
      </c>
      <c r="O296" s="10">
        <f>IFERROR(__xludf.DUMMYFUNCTION("VALUE(REGEXEXTRACT(A296, ""\d+""))"),365.0)</f>
        <v>365</v>
      </c>
    </row>
    <row r="297">
      <c r="A297" s="9" t="s">
        <v>1392</v>
      </c>
      <c r="B297" s="9" t="s">
        <v>1393</v>
      </c>
      <c r="D297" s="9" t="s">
        <v>1394</v>
      </c>
      <c r="G297" s="6" t="s">
        <v>1395</v>
      </c>
      <c r="J297" s="9" t="s">
        <v>1396</v>
      </c>
      <c r="O297" s="10">
        <f>IFERROR(__xludf.DUMMYFUNCTION("VALUE(REGEXEXTRACT(A297, ""\d+""))"),366.0)</f>
        <v>366</v>
      </c>
    </row>
    <row r="298">
      <c r="A298" s="9" t="s">
        <v>1397</v>
      </c>
      <c r="B298" s="9" t="s">
        <v>1398</v>
      </c>
      <c r="D298" s="9" t="s">
        <v>1398</v>
      </c>
      <c r="G298" s="6" t="s">
        <v>1398</v>
      </c>
      <c r="J298" s="9" t="s">
        <v>1398</v>
      </c>
      <c r="O298" s="10">
        <f>IFERROR(__xludf.DUMMYFUNCTION("VALUE(REGEXEXTRACT(A298, ""\d+""))"),367.0)</f>
        <v>367</v>
      </c>
    </row>
    <row r="299">
      <c r="A299" s="9" t="s">
        <v>1399</v>
      </c>
      <c r="B299" s="9" t="s">
        <v>1400</v>
      </c>
      <c r="D299" s="6" t="s">
        <v>1401</v>
      </c>
      <c r="G299" s="6" t="s">
        <v>1401</v>
      </c>
      <c r="O299" s="10">
        <f>IFERROR(__xludf.DUMMYFUNCTION("VALUE(REGEXEXTRACT(A299, ""\d+""))"),382.0)</f>
        <v>382</v>
      </c>
    </row>
    <row r="300">
      <c r="A300" s="9" t="s">
        <v>1402</v>
      </c>
      <c r="B300" s="9" t="s">
        <v>1403</v>
      </c>
      <c r="D300" s="9" t="s">
        <v>1403</v>
      </c>
      <c r="G300" s="6" t="s">
        <v>1403</v>
      </c>
      <c r="J300" s="9" t="s">
        <v>1403</v>
      </c>
      <c r="O300" s="10">
        <f>IFERROR(__xludf.DUMMYFUNCTION("VALUE(REGEXEXTRACT(A300, ""\d+""))"),388.0)</f>
        <v>388</v>
      </c>
    </row>
    <row r="301">
      <c r="A301" s="9" t="s">
        <v>1404</v>
      </c>
      <c r="B301" s="9" t="s">
        <v>1405</v>
      </c>
      <c r="D301" s="9" t="s">
        <v>1406</v>
      </c>
      <c r="G301" s="6" t="s">
        <v>1407</v>
      </c>
      <c r="J301" s="9" t="s">
        <v>1408</v>
      </c>
      <c r="O301" s="10">
        <f>IFERROR(__xludf.DUMMYFUNCTION("VALUE(REGEXEXTRACT(A301, ""\d+""))"),389.0)</f>
        <v>389</v>
      </c>
    </row>
    <row r="302">
      <c r="A302" s="9" t="s">
        <v>1409</v>
      </c>
      <c r="B302" s="9" t="s">
        <v>1410</v>
      </c>
      <c r="D302" s="9" t="s">
        <v>1411</v>
      </c>
      <c r="G302" s="6" t="s">
        <v>1412</v>
      </c>
      <c r="J302" s="9" t="s">
        <v>1413</v>
      </c>
      <c r="O302" s="10">
        <f>IFERROR(__xludf.DUMMYFUNCTION("VALUE(REGEXEXTRACT(A302, ""\d+""))"),390.0)</f>
        <v>390</v>
      </c>
    </row>
    <row r="303">
      <c r="A303" s="9" t="s">
        <v>1414</v>
      </c>
      <c r="B303" s="9" t="s">
        <v>1415</v>
      </c>
      <c r="D303" s="9" t="s">
        <v>1416</v>
      </c>
      <c r="G303" s="6" t="s">
        <v>1417</v>
      </c>
      <c r="J303" s="9" t="s">
        <v>1418</v>
      </c>
      <c r="O303" s="10">
        <f>IFERROR(__xludf.DUMMYFUNCTION("VALUE(REGEXEXTRACT(A303, ""\d+""))"),391.0)</f>
        <v>391</v>
      </c>
    </row>
    <row r="304">
      <c r="A304" s="9" t="s">
        <v>1419</v>
      </c>
      <c r="B304" s="9" t="s">
        <v>1420</v>
      </c>
      <c r="D304" s="9" t="s">
        <v>1421</v>
      </c>
      <c r="G304" s="6" t="s">
        <v>1422</v>
      </c>
      <c r="J304" s="9" t="s">
        <v>1423</v>
      </c>
      <c r="O304" s="10">
        <f>IFERROR(__xludf.DUMMYFUNCTION("VALUE(REGEXEXTRACT(A304, ""\d+""))"),392.0)</f>
        <v>392</v>
      </c>
    </row>
    <row r="305">
      <c r="A305" s="9" t="s">
        <v>1424</v>
      </c>
      <c r="B305" s="9" t="s">
        <v>1425</v>
      </c>
      <c r="D305" s="9" t="s">
        <v>1426</v>
      </c>
      <c r="G305" s="6" t="s">
        <v>1427</v>
      </c>
      <c r="J305" s="9" t="s">
        <v>1428</v>
      </c>
      <c r="O305" s="10">
        <f>IFERROR(__xludf.DUMMYFUNCTION("VALUE(REGEXEXTRACT(A305, ""\d+""))"),393.0)</f>
        <v>393</v>
      </c>
    </row>
    <row r="306">
      <c r="A306" s="9" t="s">
        <v>1429</v>
      </c>
      <c r="B306" s="9" t="s">
        <v>1430</v>
      </c>
      <c r="D306" s="9" t="s">
        <v>1430</v>
      </c>
      <c r="G306" s="6" t="s">
        <v>1430</v>
      </c>
      <c r="J306" s="9" t="s">
        <v>1430</v>
      </c>
      <c r="O306" s="10">
        <f>IFERROR(__xludf.DUMMYFUNCTION("VALUE(REGEXEXTRACT(A306, ""\d+""))"),394.0)</f>
        <v>394</v>
      </c>
    </row>
    <row r="307">
      <c r="A307" s="9" t="s">
        <v>1431</v>
      </c>
      <c r="B307" s="9" t="s">
        <v>1432</v>
      </c>
      <c r="D307" s="9" t="s">
        <v>1433</v>
      </c>
      <c r="G307" s="6" t="s">
        <v>1434</v>
      </c>
      <c r="J307" s="9" t="s">
        <v>1435</v>
      </c>
      <c r="O307" s="10">
        <f>IFERROR(__xludf.DUMMYFUNCTION("VALUE(REGEXEXTRACT(A307, ""\d+""))"),395.0)</f>
        <v>395</v>
      </c>
    </row>
    <row r="308">
      <c r="A308" s="9" t="s">
        <v>1436</v>
      </c>
      <c r="B308" s="9" t="s">
        <v>1437</v>
      </c>
      <c r="D308" s="9" t="s">
        <v>1438</v>
      </c>
      <c r="G308" s="6" t="s">
        <v>1439</v>
      </c>
      <c r="J308" s="9" t="s">
        <v>1440</v>
      </c>
      <c r="O308" s="10">
        <f>IFERROR(__xludf.DUMMYFUNCTION("VALUE(REGEXEXTRACT(A308, ""\d+""))"),396.0)</f>
        <v>396</v>
      </c>
    </row>
    <row r="309">
      <c r="A309" s="9" t="s">
        <v>1441</v>
      </c>
      <c r="B309" s="9" t="s">
        <v>1442</v>
      </c>
      <c r="D309" s="9" t="s">
        <v>1443</v>
      </c>
      <c r="G309" s="6" t="s">
        <v>1444</v>
      </c>
      <c r="J309" s="9" t="s">
        <v>1445</v>
      </c>
      <c r="O309" s="10">
        <f>IFERROR(__xludf.DUMMYFUNCTION("VALUE(REGEXEXTRACT(A309, ""\d+""))"),398.0)</f>
        <v>398</v>
      </c>
    </row>
    <row r="310">
      <c r="A310" s="9" t="s">
        <v>1446</v>
      </c>
      <c r="B310" s="9" t="s">
        <v>1447</v>
      </c>
      <c r="D310" s="9" t="s">
        <v>1448</v>
      </c>
      <c r="G310" s="6" t="s">
        <v>1449</v>
      </c>
      <c r="J310" s="9" t="s">
        <v>1450</v>
      </c>
      <c r="O310" s="10">
        <f>IFERROR(__xludf.DUMMYFUNCTION("VALUE(REGEXEXTRACT(A310, ""\d+""))"),399.0)</f>
        <v>399</v>
      </c>
    </row>
    <row r="311">
      <c r="A311" s="9" t="s">
        <v>1451</v>
      </c>
      <c r="B311" s="9" t="s">
        <v>1452</v>
      </c>
      <c r="D311" s="9" t="s">
        <v>1453</v>
      </c>
      <c r="G311" s="6" t="s">
        <v>1454</v>
      </c>
      <c r="J311" s="9" t="s">
        <v>1455</v>
      </c>
      <c r="O311" s="10">
        <f>IFERROR(__xludf.DUMMYFUNCTION("VALUE(REGEXEXTRACT(A311, ""\d+""))"),400.0)</f>
        <v>400</v>
      </c>
    </row>
    <row r="312">
      <c r="A312" s="9" t="s">
        <v>1456</v>
      </c>
      <c r="B312" s="9" t="s">
        <v>1457</v>
      </c>
      <c r="D312" s="9" t="s">
        <v>1458</v>
      </c>
      <c r="G312" s="6" t="s">
        <v>1459</v>
      </c>
      <c r="J312" s="9" t="s">
        <v>1460</v>
      </c>
      <c r="O312" s="10">
        <f>IFERROR(__xludf.DUMMYFUNCTION("VALUE(REGEXEXTRACT(A312, ""\d+""))"),401.0)</f>
        <v>401</v>
      </c>
    </row>
    <row r="313">
      <c r="A313" s="9" t="s">
        <v>1461</v>
      </c>
      <c r="B313" s="9" t="s">
        <v>1462</v>
      </c>
      <c r="D313" s="9" t="s">
        <v>1463</v>
      </c>
      <c r="G313" s="6" t="s">
        <v>1464</v>
      </c>
      <c r="J313" s="9" t="s">
        <v>1465</v>
      </c>
      <c r="O313" s="10">
        <f>IFERROR(__xludf.DUMMYFUNCTION("VALUE(REGEXEXTRACT(A313, ""\d+""))"),402.0)</f>
        <v>402</v>
      </c>
    </row>
    <row r="314">
      <c r="A314" s="9" t="s">
        <v>1466</v>
      </c>
      <c r="B314" s="9" t="s">
        <v>80</v>
      </c>
      <c r="D314" s="9" t="s">
        <v>81</v>
      </c>
      <c r="G314" s="6" t="s">
        <v>82</v>
      </c>
      <c r="J314" s="9" t="s">
        <v>1467</v>
      </c>
      <c r="O314" s="10">
        <f>IFERROR(__xludf.DUMMYFUNCTION("VALUE(REGEXEXTRACT(A314, ""\d+""))"),404.0)</f>
        <v>404</v>
      </c>
    </row>
    <row r="315">
      <c r="A315" s="9" t="s">
        <v>1468</v>
      </c>
      <c r="B315" s="9" t="s">
        <v>1469</v>
      </c>
      <c r="D315" s="9" t="s">
        <v>1469</v>
      </c>
      <c r="G315" s="6" t="s">
        <v>1469</v>
      </c>
      <c r="J315" s="9" t="s">
        <v>1469</v>
      </c>
      <c r="O315" s="10">
        <f>IFERROR(__xludf.DUMMYFUNCTION("VALUE(REGEXEXTRACT(A315, ""\d+""))"),405.0)</f>
        <v>405</v>
      </c>
    </row>
    <row r="316">
      <c r="A316" s="9" t="s">
        <v>1470</v>
      </c>
      <c r="B316" s="9" t="s">
        <v>1471</v>
      </c>
      <c r="D316" s="9" t="s">
        <v>1472</v>
      </c>
      <c r="G316" s="6" t="s">
        <v>1473</v>
      </c>
      <c r="J316" s="9" t="s">
        <v>1474</v>
      </c>
      <c r="O316" s="10">
        <f>IFERROR(__xludf.DUMMYFUNCTION("VALUE(REGEXEXTRACT(A316, ""\d+""))"),406.0)</f>
        <v>406</v>
      </c>
    </row>
    <row r="317">
      <c r="A317" s="9" t="s">
        <v>1475</v>
      </c>
      <c r="B317" s="9" t="s">
        <v>1476</v>
      </c>
      <c r="D317" s="9" t="s">
        <v>1477</v>
      </c>
      <c r="G317" s="6" t="s">
        <v>1478</v>
      </c>
      <c r="J317" s="9" t="s">
        <v>1479</v>
      </c>
      <c r="O317" s="10">
        <f>IFERROR(__xludf.DUMMYFUNCTION("VALUE(REGEXEXTRACT(A317, ""\d+""))"),408.0)</f>
        <v>408</v>
      </c>
    </row>
    <row r="318">
      <c r="A318" s="9" t="s">
        <v>1480</v>
      </c>
      <c r="B318" s="9" t="s">
        <v>1481</v>
      </c>
      <c r="D318" s="9" t="s">
        <v>1482</v>
      </c>
      <c r="G318" s="6" t="s">
        <v>1483</v>
      </c>
      <c r="J318" s="9" t="s">
        <v>1484</v>
      </c>
      <c r="O318" s="10">
        <f>IFERROR(__xludf.DUMMYFUNCTION("VALUE(REGEXEXTRACT(A318, ""\d+""))"),409.0)</f>
        <v>409</v>
      </c>
    </row>
    <row r="319">
      <c r="A319" s="9" t="s">
        <v>1485</v>
      </c>
      <c r="B319" s="9" t="s">
        <v>1486</v>
      </c>
      <c r="D319" s="9" t="s">
        <v>1487</v>
      </c>
      <c r="G319" s="6" t="s">
        <v>1488</v>
      </c>
      <c r="J319" s="9" t="s">
        <v>1489</v>
      </c>
      <c r="O319" s="10">
        <f>IFERROR(__xludf.DUMMYFUNCTION("VALUE(REGEXEXTRACT(A319, ""\d+""))"),410.0)</f>
        <v>410</v>
      </c>
    </row>
    <row r="320">
      <c r="A320" s="9" t="s">
        <v>1490</v>
      </c>
      <c r="B320" s="9" t="s">
        <v>1491</v>
      </c>
      <c r="D320" s="9" t="s">
        <v>1492</v>
      </c>
      <c r="G320" s="6" t="s">
        <v>1493</v>
      </c>
      <c r="J320" s="9" t="s">
        <v>1494</v>
      </c>
      <c r="O320" s="10">
        <f>IFERROR(__xludf.DUMMYFUNCTION("VALUE(REGEXEXTRACT(A320, ""\d+""))"),411.0)</f>
        <v>411</v>
      </c>
    </row>
    <row r="321">
      <c r="A321" s="9" t="s">
        <v>1495</v>
      </c>
      <c r="B321" s="9" t="s">
        <v>1496</v>
      </c>
      <c r="D321" s="9" t="s">
        <v>1496</v>
      </c>
      <c r="G321" s="6" t="s">
        <v>1496</v>
      </c>
      <c r="J321" s="9" t="s">
        <v>1496</v>
      </c>
      <c r="O321" s="10">
        <f>IFERROR(__xludf.DUMMYFUNCTION("VALUE(REGEXEXTRACT(A321, ""\d+""))"),412.0)</f>
        <v>412</v>
      </c>
    </row>
    <row r="322">
      <c r="A322" s="9" t="s">
        <v>1497</v>
      </c>
      <c r="B322" s="9" t="s">
        <v>629</v>
      </c>
      <c r="D322" s="9" t="s">
        <v>1498</v>
      </c>
      <c r="G322" s="6" t="s">
        <v>1499</v>
      </c>
      <c r="J322" s="9" t="s">
        <v>1500</v>
      </c>
      <c r="O322" s="10">
        <f>IFERROR(__xludf.DUMMYFUNCTION("VALUE(REGEXEXTRACT(A322, ""\d+""))"),416.0)</f>
        <v>416</v>
      </c>
    </row>
    <row r="323">
      <c r="A323" s="9" t="s">
        <v>1501</v>
      </c>
      <c r="B323" s="9" t="s">
        <v>1502</v>
      </c>
      <c r="D323" s="9" t="s">
        <v>1503</v>
      </c>
      <c r="G323" s="6" t="s">
        <v>1503</v>
      </c>
      <c r="J323" s="9" t="s">
        <v>1504</v>
      </c>
      <c r="O323" s="10">
        <f>IFERROR(__xludf.DUMMYFUNCTION("VALUE(REGEXEXTRACT(A323, ""\d+""))"),418.0)</f>
        <v>418</v>
      </c>
    </row>
    <row r="324">
      <c r="A324" s="9" t="s">
        <v>1505</v>
      </c>
      <c r="B324" s="9" t="s">
        <v>1506</v>
      </c>
      <c r="D324" s="9" t="s">
        <v>1507</v>
      </c>
      <c r="G324" s="6" t="s">
        <v>1507</v>
      </c>
      <c r="J324" s="9" t="s">
        <v>1508</v>
      </c>
      <c r="O324" s="10">
        <f>IFERROR(__xludf.DUMMYFUNCTION("VALUE(REGEXEXTRACT(A324, ""\d+""))"),420.0)</f>
        <v>420</v>
      </c>
    </row>
    <row r="325">
      <c r="A325" s="9" t="s">
        <v>1509</v>
      </c>
      <c r="B325" s="9" t="s">
        <v>1510</v>
      </c>
      <c r="D325" s="9" t="s">
        <v>1511</v>
      </c>
      <c r="G325" s="6" t="s">
        <v>1512</v>
      </c>
      <c r="J325" s="9" t="s">
        <v>1513</v>
      </c>
      <c r="O325" s="10">
        <f>IFERROR(__xludf.DUMMYFUNCTION("VALUE(REGEXEXTRACT(A325, ""\d+""))"),421.0)</f>
        <v>421</v>
      </c>
    </row>
    <row r="326">
      <c r="A326" s="9" t="s">
        <v>1514</v>
      </c>
      <c r="B326" s="9" t="s">
        <v>1515</v>
      </c>
      <c r="D326" s="9" t="s">
        <v>1516</v>
      </c>
      <c r="G326" s="6" t="s">
        <v>1517</v>
      </c>
      <c r="J326" s="9" t="s">
        <v>1518</v>
      </c>
      <c r="O326" s="10">
        <f>IFERROR(__xludf.DUMMYFUNCTION("VALUE(REGEXEXTRACT(A326, ""\d+""))"),422.0)</f>
        <v>422</v>
      </c>
    </row>
    <row r="327">
      <c r="A327" s="9" t="s">
        <v>1519</v>
      </c>
      <c r="B327" s="9" t="s">
        <v>1520</v>
      </c>
      <c r="D327" s="9" t="s">
        <v>1521</v>
      </c>
      <c r="G327" s="6" t="s">
        <v>1522</v>
      </c>
      <c r="J327" s="9" t="s">
        <v>1523</v>
      </c>
      <c r="O327" s="10">
        <f>IFERROR(__xludf.DUMMYFUNCTION("VALUE(REGEXEXTRACT(A327, ""\d+""))"),423.0)</f>
        <v>423</v>
      </c>
    </row>
    <row r="328">
      <c r="A328" s="9" t="s">
        <v>1524</v>
      </c>
      <c r="B328" s="9" t="s">
        <v>1525</v>
      </c>
      <c r="D328" s="9" t="s">
        <v>1526</v>
      </c>
      <c r="G328" s="6" t="s">
        <v>1527</v>
      </c>
      <c r="J328" s="9" t="s">
        <v>1528</v>
      </c>
      <c r="O328" s="10">
        <f>IFERROR(__xludf.DUMMYFUNCTION("VALUE(REGEXEXTRACT(A328, ""\d+""))"),424.0)</f>
        <v>424</v>
      </c>
    </row>
    <row r="329">
      <c r="A329" s="9" t="s">
        <v>1529</v>
      </c>
      <c r="B329" s="9" t="s">
        <v>1530</v>
      </c>
      <c r="D329" s="9" t="s">
        <v>1531</v>
      </c>
      <c r="G329" s="6" t="s">
        <v>1531</v>
      </c>
      <c r="J329" s="9" t="s">
        <v>1532</v>
      </c>
      <c r="O329" s="10">
        <f>IFERROR(__xludf.DUMMYFUNCTION("VALUE(REGEXEXTRACT(A329, ""\d+""))"),425.0)</f>
        <v>425</v>
      </c>
    </row>
    <row r="330">
      <c r="A330" s="9" t="s">
        <v>1533</v>
      </c>
      <c r="B330" s="9" t="s">
        <v>1534</v>
      </c>
      <c r="D330" s="9" t="s">
        <v>1535</v>
      </c>
      <c r="G330" s="6" t="s">
        <v>1535</v>
      </c>
      <c r="J330" s="9" t="s">
        <v>1536</v>
      </c>
      <c r="O330" s="10">
        <f>IFERROR(__xludf.DUMMYFUNCTION("VALUE(REGEXEXTRACT(A330, ""\d+""))"),426.0)</f>
        <v>426</v>
      </c>
    </row>
    <row r="331">
      <c r="A331" s="9" t="s">
        <v>1537</v>
      </c>
      <c r="B331" s="9" t="s">
        <v>1538</v>
      </c>
      <c r="D331" s="9" t="s">
        <v>1539</v>
      </c>
      <c r="G331" s="6" t="s">
        <v>1540</v>
      </c>
      <c r="J331" s="9" t="s">
        <v>1541</v>
      </c>
      <c r="O331" s="10">
        <f>IFERROR(__xludf.DUMMYFUNCTION("VALUE(REGEXEXTRACT(A331, ""\d+""))"),427.0)</f>
        <v>427</v>
      </c>
    </row>
    <row r="332">
      <c r="A332" s="9" t="s">
        <v>1542</v>
      </c>
      <c r="B332" s="9" t="s">
        <v>1543</v>
      </c>
      <c r="D332" s="9" t="s">
        <v>1544</v>
      </c>
      <c r="G332" s="6" t="s">
        <v>1545</v>
      </c>
      <c r="J332" s="9" t="s">
        <v>1546</v>
      </c>
      <c r="O332" s="10">
        <f>IFERROR(__xludf.DUMMYFUNCTION("VALUE(REGEXEXTRACT(A332, ""\d+""))"),428.0)</f>
        <v>428</v>
      </c>
    </row>
    <row r="333">
      <c r="A333" s="9" t="s">
        <v>1547</v>
      </c>
      <c r="B333" s="9" t="s">
        <v>1548</v>
      </c>
      <c r="D333" s="9" t="s">
        <v>1549</v>
      </c>
      <c r="G333" s="6" t="s">
        <v>1549</v>
      </c>
      <c r="J333" s="9" t="s">
        <v>1550</v>
      </c>
      <c r="O333" s="10">
        <f>IFERROR(__xludf.DUMMYFUNCTION("VALUE(REGEXEXTRACT(A333, ""\d+""))"),429.0)</f>
        <v>429</v>
      </c>
    </row>
    <row r="334">
      <c r="A334" s="9" t="s">
        <v>1551</v>
      </c>
      <c r="B334" s="9" t="s">
        <v>1552</v>
      </c>
      <c r="D334" s="9" t="s">
        <v>1553</v>
      </c>
      <c r="G334" s="9" t="s">
        <v>1554</v>
      </c>
      <c r="O334" s="10">
        <f>IFERROR(__xludf.DUMMYFUNCTION("VALUE(REGEXEXTRACT(A334, ""\d+""))"),432.0)</f>
        <v>432</v>
      </c>
    </row>
    <row r="335">
      <c r="A335" s="9" t="s">
        <v>1555</v>
      </c>
      <c r="B335" s="9" t="s">
        <v>1556</v>
      </c>
      <c r="D335" s="9" t="s">
        <v>1557</v>
      </c>
      <c r="G335" s="6" t="s">
        <v>1558</v>
      </c>
      <c r="J335" s="9" t="s">
        <v>1559</v>
      </c>
      <c r="O335" s="10">
        <f>IFERROR(__xludf.DUMMYFUNCTION("VALUE(REGEXEXTRACT(A335, ""\d+""))"),433.0)</f>
        <v>433</v>
      </c>
    </row>
    <row r="336">
      <c r="A336" s="9" t="s">
        <v>1560</v>
      </c>
      <c r="B336" s="9" t="s">
        <v>1561</v>
      </c>
      <c r="D336" s="9" t="s">
        <v>1562</v>
      </c>
      <c r="G336" s="6" t="s">
        <v>1562</v>
      </c>
      <c r="J336" s="9" t="s">
        <v>1563</v>
      </c>
      <c r="O336" s="10">
        <f>IFERROR(__xludf.DUMMYFUNCTION("VALUE(REGEXEXTRACT(A336, ""\d+""))"),434.0)</f>
        <v>434</v>
      </c>
    </row>
    <row r="337">
      <c r="A337" s="9" t="s">
        <v>1564</v>
      </c>
      <c r="B337" s="9" t="s">
        <v>1565</v>
      </c>
      <c r="G337" s="6" t="s">
        <v>1566</v>
      </c>
      <c r="O337" s="10">
        <f>IFERROR(__xludf.DUMMYFUNCTION("VALUE(REGEXEXTRACT(A337, ""\d+""))"),440.0)</f>
        <v>440</v>
      </c>
    </row>
    <row r="338">
      <c r="A338" s="9" t="s">
        <v>1567</v>
      </c>
      <c r="B338" s="9" t="s">
        <v>1568</v>
      </c>
      <c r="G338" s="11" t="s">
        <v>1569</v>
      </c>
      <c r="O338" s="10">
        <f>IFERROR(__xludf.DUMMYFUNCTION("VALUE(REGEXEXTRACT(A338, ""\d+""))"),441.0)</f>
        <v>441</v>
      </c>
    </row>
    <row r="339">
      <c r="A339" s="9" t="s">
        <v>1570</v>
      </c>
      <c r="B339" s="9" t="s">
        <v>1571</v>
      </c>
      <c r="G339" s="6" t="s">
        <v>1572</v>
      </c>
      <c r="O339" s="10">
        <f>IFERROR(__xludf.DUMMYFUNCTION("VALUE(REGEXEXTRACT(A339, ""\d+""))"),442.0)</f>
        <v>442</v>
      </c>
    </row>
    <row r="340">
      <c r="A340" s="9" t="s">
        <v>1573</v>
      </c>
      <c r="B340" s="9" t="s">
        <v>1574</v>
      </c>
      <c r="G340" s="6" t="s">
        <v>1575</v>
      </c>
      <c r="O340" s="10">
        <f>IFERROR(__xludf.DUMMYFUNCTION("VALUE(REGEXEXTRACT(A340, ""\d+""))"),443.0)</f>
        <v>443</v>
      </c>
    </row>
    <row r="341">
      <c r="A341" s="9" t="s">
        <v>1576</v>
      </c>
      <c r="B341" s="9" t="s">
        <v>1577</v>
      </c>
      <c r="G341" s="6" t="s">
        <v>1578</v>
      </c>
      <c r="O341" s="10">
        <f>IFERROR(__xludf.DUMMYFUNCTION("VALUE(REGEXEXTRACT(A341, ""\d+""))"),444.0)</f>
        <v>444</v>
      </c>
    </row>
    <row r="342">
      <c r="A342" s="9" t="s">
        <v>1579</v>
      </c>
      <c r="B342" s="9" t="s">
        <v>1580</v>
      </c>
      <c r="G342" s="6" t="s">
        <v>1581</v>
      </c>
      <c r="O342" s="10">
        <f>IFERROR(__xludf.DUMMYFUNCTION("VALUE(REGEXEXTRACT(A342, ""\d+""))"),445.0)</f>
        <v>445</v>
      </c>
    </row>
    <row r="343">
      <c r="A343" s="9" t="s">
        <v>1582</v>
      </c>
      <c r="B343" s="9" t="s">
        <v>1583</v>
      </c>
      <c r="G343" s="6" t="s">
        <v>1584</v>
      </c>
      <c r="O343" s="10">
        <f>IFERROR(__xludf.DUMMYFUNCTION("VALUE(REGEXEXTRACT(A343, ""\d+""))"),446.0)</f>
        <v>446</v>
      </c>
    </row>
    <row r="344">
      <c r="A344" s="9" t="s">
        <v>1585</v>
      </c>
      <c r="B344" s="9" t="s">
        <v>1586</v>
      </c>
      <c r="G344" s="6" t="s">
        <v>1587</v>
      </c>
      <c r="O344" s="10">
        <f>IFERROR(__xludf.DUMMYFUNCTION("VALUE(REGEXEXTRACT(A344, ""\d+""))"),447.0)</f>
        <v>447</v>
      </c>
    </row>
    <row r="345">
      <c r="A345" s="9" t="s">
        <v>1588</v>
      </c>
      <c r="B345" s="9" t="s">
        <v>1589</v>
      </c>
      <c r="G345" s="6" t="s">
        <v>1590</v>
      </c>
      <c r="O345" s="10">
        <f>IFERROR(__xludf.DUMMYFUNCTION("VALUE(REGEXEXTRACT(A345, ""\d+""))"),448.0)</f>
        <v>448</v>
      </c>
    </row>
    <row r="346">
      <c r="A346" s="9" t="s">
        <v>1591</v>
      </c>
      <c r="B346" s="9" t="s">
        <v>1592</v>
      </c>
      <c r="G346" s="6" t="s">
        <v>1593</v>
      </c>
      <c r="O346" s="10">
        <f>IFERROR(__xludf.DUMMYFUNCTION("VALUE(REGEXEXTRACT(A346, ""\d+""))"),449.0)</f>
        <v>449</v>
      </c>
    </row>
    <row r="347">
      <c r="A347" s="9" t="s">
        <v>1594</v>
      </c>
      <c r="B347" s="9" t="s">
        <v>1595</v>
      </c>
      <c r="G347" s="6" t="s">
        <v>1596</v>
      </c>
      <c r="O347" s="10">
        <f>IFERROR(__xludf.DUMMYFUNCTION("VALUE(REGEXEXTRACT(A347, ""\d+""))"),450.0)</f>
        <v>450</v>
      </c>
    </row>
    <row r="348">
      <c r="A348" s="9" t="s">
        <v>1597</v>
      </c>
      <c r="B348" s="9" t="s">
        <v>1598</v>
      </c>
      <c r="G348" s="6" t="s">
        <v>1599</v>
      </c>
      <c r="O348" s="10">
        <f>IFERROR(__xludf.DUMMYFUNCTION("VALUE(REGEXEXTRACT(A348, ""\d+""))"),451.0)</f>
        <v>451</v>
      </c>
    </row>
    <row r="349">
      <c r="A349" s="9" t="s">
        <v>1600</v>
      </c>
      <c r="B349" s="9" t="s">
        <v>1601</v>
      </c>
      <c r="G349" s="6" t="s">
        <v>1602</v>
      </c>
      <c r="O349" s="10">
        <f>IFERROR(__xludf.DUMMYFUNCTION("VALUE(REGEXEXTRACT(A349, ""\d+""))"),452.0)</f>
        <v>452</v>
      </c>
    </row>
    <row r="350">
      <c r="A350" s="9" t="s">
        <v>1603</v>
      </c>
      <c r="B350" s="9" t="s">
        <v>1604</v>
      </c>
      <c r="G350" s="6" t="s">
        <v>1605</v>
      </c>
      <c r="O350" s="10">
        <f>IFERROR(__xludf.DUMMYFUNCTION("VALUE(REGEXEXTRACT(A350, ""\d+""))"),453.0)</f>
        <v>453</v>
      </c>
    </row>
    <row r="351">
      <c r="A351" s="9" t="s">
        <v>1606</v>
      </c>
      <c r="B351" s="9" t="s">
        <v>1607</v>
      </c>
      <c r="D351" s="9" t="s">
        <v>1608</v>
      </c>
      <c r="G351" s="6" t="s">
        <v>1609</v>
      </c>
      <c r="J351" s="9" t="s">
        <v>1610</v>
      </c>
      <c r="O351" s="10">
        <f>IFERROR(__xludf.DUMMYFUNCTION("VALUE(REGEXEXTRACT(A351, ""\d+""))"),454.0)</f>
        <v>454</v>
      </c>
    </row>
    <row r="352">
      <c r="A352" s="9" t="s">
        <v>1611</v>
      </c>
      <c r="B352" s="9" t="s">
        <v>1612</v>
      </c>
      <c r="D352" s="9" t="s">
        <v>1613</v>
      </c>
      <c r="G352" s="6" t="s">
        <v>1614</v>
      </c>
      <c r="J352" s="9" t="s">
        <v>1615</v>
      </c>
      <c r="O352" s="10">
        <f>IFERROR(__xludf.DUMMYFUNCTION("VALUE(REGEXEXTRACT(A352, ""\d+""))"),455.0)</f>
        <v>455</v>
      </c>
    </row>
    <row r="353">
      <c r="A353" s="9" t="s">
        <v>1616</v>
      </c>
      <c r="B353" s="9" t="s">
        <v>1617</v>
      </c>
      <c r="D353" s="9" t="s">
        <v>1618</v>
      </c>
      <c r="G353" s="6" t="s">
        <v>1619</v>
      </c>
      <c r="J353" s="9" t="s">
        <v>1620</v>
      </c>
      <c r="O353" s="10">
        <f>IFERROR(__xludf.DUMMYFUNCTION("VALUE(REGEXEXTRACT(A353, ""\d+""))"),456.0)</f>
        <v>456</v>
      </c>
    </row>
    <row r="354">
      <c r="A354" s="9" t="s">
        <v>1621</v>
      </c>
      <c r="B354" s="9" t="s">
        <v>1622</v>
      </c>
      <c r="D354" s="9" t="s">
        <v>1623</v>
      </c>
      <c r="G354" s="6" t="s">
        <v>1624</v>
      </c>
      <c r="J354" s="9" t="s">
        <v>1625</v>
      </c>
      <c r="O354" s="10">
        <f>IFERROR(__xludf.DUMMYFUNCTION("VALUE(REGEXEXTRACT(A354, ""\d+""))"),457.0)</f>
        <v>457</v>
      </c>
    </row>
    <row r="355">
      <c r="A355" s="9" t="s">
        <v>1626</v>
      </c>
      <c r="B355" s="9" t="s">
        <v>1627</v>
      </c>
      <c r="G355" s="6" t="s">
        <v>1628</v>
      </c>
      <c r="O355" s="10">
        <f>IFERROR(__xludf.DUMMYFUNCTION("VALUE(REGEXEXTRACT(A355, ""\d+""))"),458.0)</f>
        <v>458</v>
      </c>
    </row>
    <row r="356">
      <c r="A356" s="9" t="s">
        <v>1629</v>
      </c>
      <c r="B356" s="9" t="s">
        <v>1630</v>
      </c>
      <c r="D356" s="9" t="s">
        <v>1631</v>
      </c>
      <c r="G356" s="6" t="s">
        <v>1632</v>
      </c>
      <c r="J356" s="9" t="s">
        <v>1633</v>
      </c>
      <c r="O356" s="10">
        <f>IFERROR(__xludf.DUMMYFUNCTION("VALUE(REGEXEXTRACT(A356, ""\d+""))"),459.0)</f>
        <v>459</v>
      </c>
    </row>
    <row r="357">
      <c r="A357" s="9" t="s">
        <v>1634</v>
      </c>
      <c r="B357" s="9" t="s">
        <v>1635</v>
      </c>
      <c r="D357" s="9" t="s">
        <v>1636</v>
      </c>
      <c r="G357" s="6" t="s">
        <v>1637</v>
      </c>
      <c r="J357" s="9" t="s">
        <v>1638</v>
      </c>
      <c r="O357" s="10">
        <f>IFERROR(__xludf.DUMMYFUNCTION("VALUE(REGEXEXTRACT(A357, ""\d+""))"),460.0)</f>
        <v>460</v>
      </c>
    </row>
    <row r="358">
      <c r="A358" s="9" t="s">
        <v>1639</v>
      </c>
      <c r="B358" s="9" t="s">
        <v>1640</v>
      </c>
      <c r="G358" s="6" t="s">
        <v>1641</v>
      </c>
      <c r="O358" s="10">
        <f>IFERROR(__xludf.DUMMYFUNCTION("VALUE(REGEXEXTRACT(A358, ""\d+""))"),461.0)</f>
        <v>461</v>
      </c>
    </row>
    <row r="359">
      <c r="A359" s="9" t="s">
        <v>1642</v>
      </c>
      <c r="B359" s="9" t="s">
        <v>1643</v>
      </c>
      <c r="G359" s="9" t="s">
        <v>1644</v>
      </c>
      <c r="O359" s="10">
        <f>IFERROR(__xludf.DUMMYFUNCTION("VALUE(REGEXEXTRACT(A359, ""\d+""))"),462.0)</f>
        <v>462</v>
      </c>
    </row>
    <row r="360">
      <c r="A360" s="9" t="s">
        <v>1645</v>
      </c>
      <c r="B360" s="9" t="s">
        <v>1646</v>
      </c>
      <c r="D360" s="9" t="s">
        <v>1647</v>
      </c>
      <c r="G360" s="6" t="s">
        <v>1648</v>
      </c>
      <c r="J360" s="9" t="s">
        <v>1649</v>
      </c>
      <c r="O360" s="10">
        <f>IFERROR(__xludf.DUMMYFUNCTION("VALUE(REGEXEXTRACT(A360, ""\d+""))"),463.0)</f>
        <v>463</v>
      </c>
    </row>
    <row r="361">
      <c r="A361" s="9" t="s">
        <v>1650</v>
      </c>
      <c r="B361" s="9" t="s">
        <v>1651</v>
      </c>
      <c r="D361" s="9" t="s">
        <v>1652</v>
      </c>
      <c r="G361" s="6" t="s">
        <v>1653</v>
      </c>
      <c r="J361" s="9" t="s">
        <v>1654</v>
      </c>
      <c r="O361" s="10">
        <f>IFERROR(__xludf.DUMMYFUNCTION("VALUE(REGEXEXTRACT(A361, ""\d+""))"),464.0)</f>
        <v>464</v>
      </c>
    </row>
    <row r="362">
      <c r="A362" s="9" t="s">
        <v>1655</v>
      </c>
      <c r="B362" s="9" t="s">
        <v>1656</v>
      </c>
      <c r="D362" s="9" t="s">
        <v>1657</v>
      </c>
      <c r="G362" s="6" t="s">
        <v>1658</v>
      </c>
      <c r="J362" s="9" t="s">
        <v>1659</v>
      </c>
      <c r="O362" s="10">
        <f>IFERROR(__xludf.DUMMYFUNCTION("VALUE(REGEXEXTRACT(A362, ""\d+""))"),465.0)</f>
        <v>465</v>
      </c>
    </row>
    <row r="363">
      <c r="A363" s="9" t="s">
        <v>1660</v>
      </c>
      <c r="B363" s="9" t="s">
        <v>1661</v>
      </c>
      <c r="D363" s="9" t="s">
        <v>1662</v>
      </c>
      <c r="G363" s="6" t="s">
        <v>1663</v>
      </c>
      <c r="J363" s="9" t="s">
        <v>1664</v>
      </c>
      <c r="O363" s="10">
        <f>IFERROR(__xludf.DUMMYFUNCTION("VALUE(REGEXEXTRACT(A363, ""\d+""))"),466.0)</f>
        <v>466</v>
      </c>
    </row>
    <row r="364">
      <c r="A364" s="9" t="s">
        <v>1665</v>
      </c>
      <c r="B364" s="9" t="s">
        <v>1666</v>
      </c>
      <c r="G364" s="9" t="s">
        <v>1667</v>
      </c>
      <c r="O364" s="10">
        <f>IFERROR(__xludf.DUMMYFUNCTION("VALUE(REGEXEXTRACT(A364, ""\d+""))"),467.0)</f>
        <v>467</v>
      </c>
    </row>
    <row r="365">
      <c r="A365" s="9" t="s">
        <v>1668</v>
      </c>
      <c r="B365" s="9" t="s">
        <v>1669</v>
      </c>
      <c r="D365" s="9" t="s">
        <v>1670</v>
      </c>
      <c r="G365" s="6" t="s">
        <v>1671</v>
      </c>
      <c r="J365" s="9" t="s">
        <v>1669</v>
      </c>
      <c r="O365" s="10">
        <f>IFERROR(__xludf.DUMMYFUNCTION("VALUE(REGEXEXTRACT(A365, ""\d+""))"),468.0)</f>
        <v>468</v>
      </c>
    </row>
    <row r="366">
      <c r="A366" s="9" t="s">
        <v>1672</v>
      </c>
      <c r="B366" s="9" t="s">
        <v>1673</v>
      </c>
      <c r="D366" s="9" t="s">
        <v>1674</v>
      </c>
      <c r="G366" s="6" t="s">
        <v>1675</v>
      </c>
      <c r="J366" s="9" t="s">
        <v>1676</v>
      </c>
      <c r="O366" s="10">
        <f>IFERROR(__xludf.DUMMYFUNCTION("VALUE(REGEXEXTRACT(A366, ""\d+""))"),469.0)</f>
        <v>469</v>
      </c>
    </row>
    <row r="367">
      <c r="A367" s="9" t="s">
        <v>1677</v>
      </c>
      <c r="B367" s="9" t="s">
        <v>1678</v>
      </c>
      <c r="D367" s="9" t="s">
        <v>1679</v>
      </c>
      <c r="G367" s="6" t="s">
        <v>1679</v>
      </c>
      <c r="J367" s="9" t="s">
        <v>1680</v>
      </c>
      <c r="O367" s="10">
        <f>IFERROR(__xludf.DUMMYFUNCTION("VALUE(REGEXEXTRACT(A367, ""\d+""))"),470.0)</f>
        <v>470</v>
      </c>
    </row>
    <row r="368">
      <c r="A368" s="9" t="s">
        <v>1681</v>
      </c>
      <c r="B368" s="9" t="s">
        <v>1682</v>
      </c>
      <c r="D368" s="9" t="s">
        <v>1683</v>
      </c>
      <c r="G368" s="6" t="s">
        <v>1684</v>
      </c>
      <c r="J368" s="9" t="s">
        <v>1685</v>
      </c>
      <c r="O368" s="10">
        <f>IFERROR(__xludf.DUMMYFUNCTION("VALUE(REGEXEXTRACT(A368, ""\d+""))"),471.0)</f>
        <v>471</v>
      </c>
    </row>
    <row r="369">
      <c r="A369" s="9" t="s">
        <v>1686</v>
      </c>
      <c r="B369" s="9" t="s">
        <v>1687</v>
      </c>
      <c r="D369" s="9" t="s">
        <v>1688</v>
      </c>
      <c r="G369" s="6" t="s">
        <v>1689</v>
      </c>
      <c r="J369" s="9" t="s">
        <v>1690</v>
      </c>
      <c r="O369" s="10">
        <f>IFERROR(__xludf.DUMMYFUNCTION("VALUE(REGEXEXTRACT(A369, ""\d+""))"),472.0)</f>
        <v>472</v>
      </c>
    </row>
    <row r="370">
      <c r="A370" s="9" t="s">
        <v>1691</v>
      </c>
      <c r="B370" s="9" t="s">
        <v>1692</v>
      </c>
      <c r="D370" s="9" t="s">
        <v>1693</v>
      </c>
      <c r="G370" s="6" t="s">
        <v>1694</v>
      </c>
      <c r="J370" s="9" t="s">
        <v>1695</v>
      </c>
      <c r="O370" s="10">
        <f>IFERROR(__xludf.DUMMYFUNCTION("VALUE(REGEXEXTRACT(A370, ""\d+""))"),473.0)</f>
        <v>473</v>
      </c>
    </row>
    <row r="371">
      <c r="A371" s="9" t="s">
        <v>1696</v>
      </c>
      <c r="B371" s="9" t="s">
        <v>1697</v>
      </c>
      <c r="D371" s="9" t="s">
        <v>1698</v>
      </c>
      <c r="G371" s="6" t="s">
        <v>1699</v>
      </c>
      <c r="J371" s="9" t="s">
        <v>1700</v>
      </c>
      <c r="O371" s="10">
        <f>IFERROR(__xludf.DUMMYFUNCTION("VALUE(REGEXEXTRACT(A371, ""\d+""))"),474.0)</f>
        <v>474</v>
      </c>
    </row>
    <row r="372">
      <c r="A372" s="9" t="s">
        <v>1701</v>
      </c>
      <c r="B372" s="9" t="s">
        <v>1702</v>
      </c>
      <c r="D372" s="9" t="s">
        <v>1703</v>
      </c>
      <c r="G372" s="6" t="s">
        <v>1704</v>
      </c>
      <c r="J372" s="9" t="s">
        <v>1705</v>
      </c>
      <c r="O372" s="10">
        <f>IFERROR(__xludf.DUMMYFUNCTION("VALUE(REGEXEXTRACT(A372, ""\d+""))"),475.0)</f>
        <v>475</v>
      </c>
    </row>
    <row r="373">
      <c r="A373" s="9" t="s">
        <v>1706</v>
      </c>
      <c r="B373" s="9" t="s">
        <v>1707</v>
      </c>
      <c r="D373" s="9" t="s">
        <v>1708</v>
      </c>
      <c r="G373" s="6" t="s">
        <v>1709</v>
      </c>
      <c r="J373" s="9" t="s">
        <v>1710</v>
      </c>
      <c r="O373" s="10">
        <f>IFERROR(__xludf.DUMMYFUNCTION("VALUE(REGEXEXTRACT(A373, ""\d+""))"),483.0)</f>
        <v>483</v>
      </c>
    </row>
    <row r="374">
      <c r="A374" s="9" t="s">
        <v>1711</v>
      </c>
      <c r="B374" s="9" t="s">
        <v>1712</v>
      </c>
      <c r="D374" s="9" t="s">
        <v>1713</v>
      </c>
      <c r="G374" s="6" t="s">
        <v>1714</v>
      </c>
      <c r="J374" s="9" t="s">
        <v>1715</v>
      </c>
      <c r="O374" s="10">
        <f>IFERROR(__xludf.DUMMYFUNCTION("VALUE(REGEXEXTRACT(A374, ""\d+""))"),484.0)</f>
        <v>484</v>
      </c>
    </row>
    <row r="375">
      <c r="A375" s="9" t="s">
        <v>1716</v>
      </c>
      <c r="B375" s="9" t="s">
        <v>1717</v>
      </c>
      <c r="D375" s="9" t="s">
        <v>1718</v>
      </c>
      <c r="G375" s="6" t="s">
        <v>1719</v>
      </c>
      <c r="J375" s="9" t="s">
        <v>1720</v>
      </c>
      <c r="O375" s="10">
        <f>IFERROR(__xludf.DUMMYFUNCTION("VALUE(REGEXEXTRACT(A375, ""\d+""))"),485.0)</f>
        <v>485</v>
      </c>
    </row>
    <row r="376">
      <c r="A376" s="9" t="s">
        <v>1721</v>
      </c>
      <c r="B376" s="9" t="s">
        <v>1722</v>
      </c>
      <c r="D376" s="9" t="s">
        <v>1723</v>
      </c>
      <c r="G376" s="6" t="s">
        <v>1724</v>
      </c>
      <c r="J376" s="9" t="s">
        <v>1725</v>
      </c>
      <c r="O376" s="10">
        <f>IFERROR(__xludf.DUMMYFUNCTION("VALUE(REGEXEXTRACT(A376, ""\d+""))"),486.0)</f>
        <v>486</v>
      </c>
    </row>
    <row r="377">
      <c r="A377" s="9" t="s">
        <v>1726</v>
      </c>
      <c r="B377" s="9" t="s">
        <v>1727</v>
      </c>
      <c r="D377" s="9" t="s">
        <v>1728</v>
      </c>
      <c r="G377" s="6" t="s">
        <v>1729</v>
      </c>
      <c r="J377" s="9" t="s">
        <v>1730</v>
      </c>
      <c r="O377" s="10">
        <f>IFERROR(__xludf.DUMMYFUNCTION("VALUE(REGEXEXTRACT(A377, ""\d+""))"),487.0)</f>
        <v>487</v>
      </c>
    </row>
    <row r="378">
      <c r="A378" s="9" t="s">
        <v>1731</v>
      </c>
      <c r="B378" s="9" t="s">
        <v>1732</v>
      </c>
      <c r="D378" s="9" t="s">
        <v>1733</v>
      </c>
      <c r="G378" s="6" t="s">
        <v>1734</v>
      </c>
      <c r="J378" s="9" t="s">
        <v>1735</v>
      </c>
      <c r="O378" s="10">
        <f>IFERROR(__xludf.DUMMYFUNCTION("VALUE(REGEXEXTRACT(A378, ""\d+""))"),488.0)</f>
        <v>488</v>
      </c>
    </row>
    <row r="379">
      <c r="A379" s="9" t="s">
        <v>1736</v>
      </c>
      <c r="B379" s="9" t="s">
        <v>1737</v>
      </c>
      <c r="D379" s="9" t="s">
        <v>1738</v>
      </c>
      <c r="G379" s="6" t="s">
        <v>1739</v>
      </c>
      <c r="J379" s="9" t="s">
        <v>1740</v>
      </c>
      <c r="O379" s="10">
        <f>IFERROR(__xludf.DUMMYFUNCTION("VALUE(REGEXEXTRACT(A379, ""\d+""))"),489.0)</f>
        <v>489</v>
      </c>
    </row>
    <row r="380">
      <c r="A380" s="9" t="s">
        <v>1741</v>
      </c>
      <c r="B380" s="9" t="s">
        <v>1742</v>
      </c>
      <c r="D380" s="9" t="s">
        <v>1743</v>
      </c>
      <c r="G380" s="6" t="s">
        <v>1744</v>
      </c>
      <c r="J380" s="9" t="s">
        <v>1745</v>
      </c>
      <c r="O380" s="10">
        <f>IFERROR(__xludf.DUMMYFUNCTION("VALUE(REGEXEXTRACT(A380, ""\d+""))"),490.0)</f>
        <v>490</v>
      </c>
    </row>
    <row r="381">
      <c r="A381" s="9" t="s">
        <v>1746</v>
      </c>
      <c r="B381" s="9" t="s">
        <v>1747</v>
      </c>
      <c r="D381" s="9" t="s">
        <v>1748</v>
      </c>
      <c r="G381" s="6" t="s">
        <v>1749</v>
      </c>
      <c r="J381" s="9" t="s">
        <v>1750</v>
      </c>
      <c r="O381" s="10">
        <f>IFERROR(__xludf.DUMMYFUNCTION("VALUE(REGEXEXTRACT(A381, ""\d+""))"),491.0)</f>
        <v>491</v>
      </c>
    </row>
    <row r="382">
      <c r="A382" s="9" t="s">
        <v>1751</v>
      </c>
      <c r="B382" s="9" t="s">
        <v>1752</v>
      </c>
      <c r="D382" s="9" t="s">
        <v>1753</v>
      </c>
      <c r="G382" s="6" t="s">
        <v>1754</v>
      </c>
      <c r="J382" s="9" t="s">
        <v>1755</v>
      </c>
      <c r="O382" s="10">
        <f>IFERROR(__xludf.DUMMYFUNCTION("VALUE(REGEXEXTRACT(A382, ""\d+""))"),492.0)</f>
        <v>492</v>
      </c>
    </row>
    <row r="383">
      <c r="A383" s="9" t="s">
        <v>1756</v>
      </c>
      <c r="B383" s="9" t="s">
        <v>1757</v>
      </c>
      <c r="D383" s="9" t="s">
        <v>1758</v>
      </c>
      <c r="G383" s="6" t="s">
        <v>1759</v>
      </c>
      <c r="J383" s="9" t="s">
        <v>1760</v>
      </c>
      <c r="O383" s="10">
        <f>IFERROR(__xludf.DUMMYFUNCTION("VALUE(REGEXEXTRACT(A383, ""\d+""))"),493.0)</f>
        <v>493</v>
      </c>
    </row>
    <row r="384">
      <c r="A384" s="9" t="s">
        <v>1761</v>
      </c>
      <c r="B384" s="9" t="s">
        <v>1762</v>
      </c>
      <c r="D384" s="9" t="s">
        <v>1762</v>
      </c>
      <c r="G384" s="6" t="s">
        <v>1762</v>
      </c>
      <c r="J384" s="9" t="s">
        <v>1762</v>
      </c>
      <c r="O384" s="10">
        <f>IFERROR(__xludf.DUMMYFUNCTION("VALUE(REGEXEXTRACT(A384, ""\d+""))"),494.0)</f>
        <v>494</v>
      </c>
    </row>
    <row r="385">
      <c r="A385" s="9" t="s">
        <v>1763</v>
      </c>
      <c r="B385" s="9" t="s">
        <v>1764</v>
      </c>
      <c r="D385" s="9" t="s">
        <v>1765</v>
      </c>
      <c r="G385" s="6" t="s">
        <v>1766</v>
      </c>
      <c r="J385" s="9" t="s">
        <v>1767</v>
      </c>
      <c r="O385" s="10">
        <f>IFERROR(__xludf.DUMMYFUNCTION("VALUE(REGEXEXTRACT(A385, ""\d+""))"),495.0)</f>
        <v>495</v>
      </c>
    </row>
    <row r="386">
      <c r="A386" s="9" t="s">
        <v>1768</v>
      </c>
      <c r="B386" s="9" t="s">
        <v>1769</v>
      </c>
      <c r="D386" s="9" t="s">
        <v>1770</v>
      </c>
      <c r="G386" s="6" t="s">
        <v>1771</v>
      </c>
      <c r="J386" s="9" t="s">
        <v>1772</v>
      </c>
      <c r="O386" s="10">
        <f>IFERROR(__xludf.DUMMYFUNCTION("VALUE(REGEXEXTRACT(A386, ""\d+""))"),496.0)</f>
        <v>496</v>
      </c>
    </row>
    <row r="387">
      <c r="A387" s="9" t="s">
        <v>1773</v>
      </c>
      <c r="B387" s="9" t="s">
        <v>1774</v>
      </c>
      <c r="D387" s="9" t="s">
        <v>1775</v>
      </c>
      <c r="G387" s="6" t="s">
        <v>1776</v>
      </c>
      <c r="J387" s="9" t="s">
        <v>1777</v>
      </c>
      <c r="O387" s="10">
        <f>IFERROR(__xludf.DUMMYFUNCTION("VALUE(REGEXEXTRACT(A387, ""\d+""))"),497.0)</f>
        <v>497</v>
      </c>
    </row>
    <row r="388">
      <c r="A388" s="9" t="s">
        <v>1778</v>
      </c>
      <c r="B388" s="9" t="s">
        <v>1779</v>
      </c>
      <c r="D388" s="9" t="s">
        <v>1780</v>
      </c>
      <c r="G388" s="6" t="s">
        <v>1781</v>
      </c>
      <c r="J388" s="9" t="s">
        <v>1782</v>
      </c>
      <c r="O388" s="10">
        <f>IFERROR(__xludf.DUMMYFUNCTION("VALUE(REGEXEXTRACT(A388, ""\d+""))"),498.0)</f>
        <v>498</v>
      </c>
    </row>
    <row r="389">
      <c r="A389" s="9" t="s">
        <v>1783</v>
      </c>
      <c r="B389" s="9" t="s">
        <v>1784</v>
      </c>
      <c r="G389" s="6" t="s">
        <v>1785</v>
      </c>
      <c r="O389" s="10">
        <f>IFERROR(__xludf.DUMMYFUNCTION("VALUE(REGEXEXTRACT(A389, ""\d+""))"),499.0)</f>
        <v>499</v>
      </c>
    </row>
    <row r="390">
      <c r="A390" s="9" t="s">
        <v>1786</v>
      </c>
      <c r="B390" s="9" t="s">
        <v>1787</v>
      </c>
      <c r="G390" s="6" t="s">
        <v>1788</v>
      </c>
      <c r="O390" s="10">
        <f>IFERROR(__xludf.DUMMYFUNCTION("VALUE(REGEXEXTRACT(A390, ""\d+""))"),500.0)</f>
        <v>500</v>
      </c>
    </row>
    <row r="391">
      <c r="A391" s="9" t="s">
        <v>1789</v>
      </c>
      <c r="B391" s="9" t="s">
        <v>1790</v>
      </c>
      <c r="D391" s="9" t="s">
        <v>1791</v>
      </c>
      <c r="G391" s="6" t="s">
        <v>1792</v>
      </c>
      <c r="J391" s="9" t="s">
        <v>1793</v>
      </c>
      <c r="O391" s="10">
        <f>IFERROR(__xludf.DUMMYFUNCTION("VALUE(REGEXEXTRACT(A391, ""\d+""))"),501.0)</f>
        <v>501</v>
      </c>
    </row>
    <row r="392">
      <c r="A392" s="9" t="s">
        <v>1794</v>
      </c>
      <c r="B392" s="9" t="s">
        <v>1795</v>
      </c>
      <c r="G392" s="9" t="s">
        <v>1796</v>
      </c>
      <c r="O392" s="10">
        <f>IFERROR(__xludf.DUMMYFUNCTION("VALUE(REGEXEXTRACT(A392, ""\d+""))"),502.0)</f>
        <v>502</v>
      </c>
    </row>
    <row r="393">
      <c r="A393" s="9" t="s">
        <v>1797</v>
      </c>
      <c r="B393" s="9" t="s">
        <v>1798</v>
      </c>
      <c r="D393" s="9" t="s">
        <v>1799</v>
      </c>
      <c r="G393" s="6" t="s">
        <v>1800</v>
      </c>
      <c r="J393" s="9" t="s">
        <v>1801</v>
      </c>
      <c r="O393" s="10">
        <f>IFERROR(__xludf.DUMMYFUNCTION("VALUE(REGEXEXTRACT(A393, ""\d+""))"),503.0)</f>
        <v>503</v>
      </c>
    </row>
    <row r="394">
      <c r="A394" s="9" t="s">
        <v>1802</v>
      </c>
      <c r="B394" s="9" t="s">
        <v>1803</v>
      </c>
      <c r="D394" s="9" t="s">
        <v>1804</v>
      </c>
      <c r="G394" s="6" t="s">
        <v>1805</v>
      </c>
      <c r="J394" s="9" t="s">
        <v>1806</v>
      </c>
      <c r="O394" s="10">
        <f>IFERROR(__xludf.DUMMYFUNCTION("VALUE(REGEXEXTRACT(A394, ""\d+""))"),504.0)</f>
        <v>504</v>
      </c>
    </row>
    <row r="395">
      <c r="A395" s="9" t="s">
        <v>1807</v>
      </c>
      <c r="B395" s="9" t="s">
        <v>1808</v>
      </c>
      <c r="D395" s="9" t="s">
        <v>1809</v>
      </c>
      <c r="G395" s="6" t="s">
        <v>1810</v>
      </c>
      <c r="J395" s="9" t="s">
        <v>1811</v>
      </c>
      <c r="O395" s="10">
        <f>IFERROR(__xludf.DUMMYFUNCTION("VALUE(REGEXEXTRACT(A395, ""\d+""))"),505.0)</f>
        <v>505</v>
      </c>
    </row>
    <row r="396">
      <c r="A396" s="9" t="s">
        <v>1812</v>
      </c>
      <c r="B396" s="9" t="s">
        <v>1813</v>
      </c>
      <c r="D396" s="9" t="s">
        <v>1814</v>
      </c>
      <c r="G396" s="6" t="s">
        <v>1815</v>
      </c>
      <c r="J396" s="9" t="s">
        <v>1816</v>
      </c>
      <c r="O396" s="10">
        <f>IFERROR(__xludf.DUMMYFUNCTION("VALUE(REGEXEXTRACT(A396, ""\d+""))"),506.0)</f>
        <v>506</v>
      </c>
    </row>
    <row r="397">
      <c r="A397" s="9" t="s">
        <v>1817</v>
      </c>
      <c r="B397" s="9" t="s">
        <v>1818</v>
      </c>
      <c r="G397" s="9" t="s">
        <v>1818</v>
      </c>
      <c r="O397" s="10">
        <f>IFERROR(__xludf.DUMMYFUNCTION("VALUE(REGEXEXTRACT(A397, ""\d+""))"),507.0)</f>
        <v>507</v>
      </c>
    </row>
    <row r="398">
      <c r="A398" s="9" t="s">
        <v>1819</v>
      </c>
      <c r="B398" s="9" t="s">
        <v>1820</v>
      </c>
      <c r="D398" s="9" t="s">
        <v>1821</v>
      </c>
      <c r="G398" s="6" t="s">
        <v>1822</v>
      </c>
      <c r="J398" s="9" t="s">
        <v>1823</v>
      </c>
      <c r="O398" s="10">
        <f>IFERROR(__xludf.DUMMYFUNCTION("VALUE(REGEXEXTRACT(A398, ""\d+""))"),508.0)</f>
        <v>508</v>
      </c>
    </row>
    <row r="399">
      <c r="A399" s="9" t="s">
        <v>1824</v>
      </c>
      <c r="B399" s="9" t="s">
        <v>1825</v>
      </c>
      <c r="D399" s="9" t="s">
        <v>1826</v>
      </c>
      <c r="G399" s="6" t="s">
        <v>1827</v>
      </c>
      <c r="J399" s="9" t="s">
        <v>1828</v>
      </c>
      <c r="O399" s="10">
        <f>IFERROR(__xludf.DUMMYFUNCTION("VALUE(REGEXEXTRACT(A399, ""\d+""))"),509.0)</f>
        <v>509</v>
      </c>
    </row>
    <row r="400">
      <c r="A400" s="9" t="s">
        <v>1829</v>
      </c>
      <c r="B400" s="9" t="s">
        <v>1830</v>
      </c>
      <c r="D400" s="9" t="s">
        <v>1831</v>
      </c>
      <c r="G400" s="6" t="s">
        <v>1832</v>
      </c>
      <c r="J400" s="9" t="s">
        <v>1833</v>
      </c>
      <c r="O400" s="10">
        <f>IFERROR(__xludf.DUMMYFUNCTION("VALUE(REGEXEXTRACT(A400, ""\d+""))"),510.0)</f>
        <v>510</v>
      </c>
    </row>
    <row r="401">
      <c r="A401" s="9" t="s">
        <v>1834</v>
      </c>
      <c r="B401" s="9" t="s">
        <v>1835</v>
      </c>
      <c r="D401" s="9" t="s">
        <v>1836</v>
      </c>
      <c r="G401" s="6" t="s">
        <v>1836</v>
      </c>
      <c r="J401" s="9" t="s">
        <v>1837</v>
      </c>
      <c r="O401" s="10">
        <f>IFERROR(__xludf.DUMMYFUNCTION("VALUE(REGEXEXTRACT(A401, ""\d+""))"),511.0)</f>
        <v>511</v>
      </c>
    </row>
    <row r="402">
      <c r="A402" s="9" t="s">
        <v>1838</v>
      </c>
      <c r="B402" s="9" t="s">
        <v>1839</v>
      </c>
      <c r="D402" s="9" t="s">
        <v>1840</v>
      </c>
      <c r="G402" s="6" t="s">
        <v>1841</v>
      </c>
      <c r="J402" s="9" t="s">
        <v>1842</v>
      </c>
      <c r="O402" s="10">
        <f>IFERROR(__xludf.DUMMYFUNCTION("VALUE(REGEXEXTRACT(A402, ""\d+""))"),512.0)</f>
        <v>512</v>
      </c>
    </row>
    <row r="403">
      <c r="A403" s="9" t="s">
        <v>1843</v>
      </c>
      <c r="B403" s="9" t="s">
        <v>1844</v>
      </c>
      <c r="D403" s="9" t="s">
        <v>1845</v>
      </c>
      <c r="G403" s="6" t="s">
        <v>1846</v>
      </c>
      <c r="J403" s="9" t="s">
        <v>1847</v>
      </c>
      <c r="O403" s="10">
        <f>IFERROR(__xludf.DUMMYFUNCTION("VALUE(REGEXEXTRACT(A403, ""\d+""))"),513.0)</f>
        <v>513</v>
      </c>
    </row>
    <row r="404">
      <c r="A404" s="9" t="s">
        <v>1848</v>
      </c>
      <c r="B404" s="9" t="s">
        <v>1849</v>
      </c>
      <c r="D404" s="9" t="s">
        <v>325</v>
      </c>
      <c r="G404" s="6" t="s">
        <v>1850</v>
      </c>
      <c r="J404" s="9" t="s">
        <v>1851</v>
      </c>
      <c r="O404" s="10">
        <f>IFERROR(__xludf.DUMMYFUNCTION("VALUE(REGEXEXTRACT(A404, ""\d+""))"),514.0)</f>
        <v>514</v>
      </c>
    </row>
    <row r="405">
      <c r="A405" s="9" t="s">
        <v>1852</v>
      </c>
      <c r="B405" s="9" t="s">
        <v>1853</v>
      </c>
      <c r="D405" s="9" t="s">
        <v>1854</v>
      </c>
      <c r="G405" s="6" t="s">
        <v>1855</v>
      </c>
      <c r="J405" s="9" t="s">
        <v>1856</v>
      </c>
      <c r="O405" s="10">
        <f>IFERROR(__xludf.DUMMYFUNCTION("VALUE(REGEXEXTRACT(A405, ""\d+""))"),515.0)</f>
        <v>515</v>
      </c>
    </row>
    <row r="406">
      <c r="A406" s="9" t="s">
        <v>1857</v>
      </c>
      <c r="B406" s="9" t="s">
        <v>1858</v>
      </c>
      <c r="D406" s="9" t="s">
        <v>1859</v>
      </c>
      <c r="G406" s="6" t="s">
        <v>1860</v>
      </c>
      <c r="J406" s="9" t="s">
        <v>1861</v>
      </c>
      <c r="O406" s="10">
        <f>IFERROR(__xludf.DUMMYFUNCTION("VALUE(REGEXEXTRACT(A406, ""\d+""))"),516.0)</f>
        <v>516</v>
      </c>
    </row>
    <row r="407">
      <c r="A407" s="9" t="s">
        <v>1862</v>
      </c>
      <c r="B407" s="9" t="s">
        <v>1863</v>
      </c>
      <c r="D407" s="9" t="s">
        <v>1864</v>
      </c>
      <c r="G407" s="6" t="s">
        <v>1865</v>
      </c>
      <c r="J407" s="9" t="s">
        <v>1866</v>
      </c>
      <c r="O407" s="10">
        <f>IFERROR(__xludf.DUMMYFUNCTION("VALUE(REGEXEXTRACT(A407, ""\d+""))"),517.0)</f>
        <v>517</v>
      </c>
    </row>
    <row r="408">
      <c r="A408" s="9" t="s">
        <v>1867</v>
      </c>
      <c r="B408" s="9" t="s">
        <v>1863</v>
      </c>
      <c r="D408" s="9" t="s">
        <v>1864</v>
      </c>
      <c r="G408" s="6" t="s">
        <v>1865</v>
      </c>
      <c r="J408" s="9" t="s">
        <v>1866</v>
      </c>
      <c r="O408" s="10">
        <f>IFERROR(__xludf.DUMMYFUNCTION("VALUE(REGEXEXTRACT(A408, ""\d+""))"),518.0)</f>
        <v>518</v>
      </c>
    </row>
    <row r="409">
      <c r="A409" s="9" t="s">
        <v>1868</v>
      </c>
      <c r="B409" s="9" t="s">
        <v>1869</v>
      </c>
      <c r="D409" s="9" t="s">
        <v>1869</v>
      </c>
      <c r="G409" s="6" t="s">
        <v>1869</v>
      </c>
      <c r="J409" s="9" t="s">
        <v>1869</v>
      </c>
      <c r="O409" s="10">
        <f>IFERROR(__xludf.DUMMYFUNCTION("VALUE(REGEXEXTRACT(A409, ""\d+""))"),519.0)</f>
        <v>519</v>
      </c>
    </row>
    <row r="410">
      <c r="A410" s="9" t="s">
        <v>1870</v>
      </c>
      <c r="B410" s="9" t="s">
        <v>1871</v>
      </c>
      <c r="D410" s="9" t="s">
        <v>1872</v>
      </c>
      <c r="G410" s="6" t="s">
        <v>1873</v>
      </c>
      <c r="J410" s="9" t="s">
        <v>1874</v>
      </c>
      <c r="O410" s="10">
        <f>IFERROR(__xludf.DUMMYFUNCTION("VALUE(REGEXEXTRACT(A410, ""\d+""))"),520.0)</f>
        <v>520</v>
      </c>
    </row>
    <row r="411">
      <c r="A411" s="9" t="s">
        <v>1875</v>
      </c>
      <c r="B411" s="9" t="s">
        <v>1871</v>
      </c>
      <c r="D411" s="9" t="s">
        <v>1876</v>
      </c>
      <c r="G411" s="6" t="s">
        <v>1873</v>
      </c>
      <c r="J411" s="9" t="s">
        <v>1877</v>
      </c>
      <c r="O411" s="10">
        <f>IFERROR(__xludf.DUMMYFUNCTION("VALUE(REGEXEXTRACT(A411, ""\d+""))"),521.0)</f>
        <v>521</v>
      </c>
    </row>
    <row r="412">
      <c r="A412" s="9" t="s">
        <v>1878</v>
      </c>
      <c r="B412" s="9" t="s">
        <v>1879</v>
      </c>
      <c r="D412" s="9" t="s">
        <v>1880</v>
      </c>
      <c r="G412" s="6" t="s">
        <v>1881</v>
      </c>
      <c r="J412" s="9" t="s">
        <v>1882</v>
      </c>
      <c r="O412" s="10">
        <f>IFERROR(__xludf.DUMMYFUNCTION("VALUE(REGEXEXTRACT(A412, ""\d+""))"),522.0)</f>
        <v>522</v>
      </c>
    </row>
    <row r="413">
      <c r="A413" s="9" t="s">
        <v>1883</v>
      </c>
      <c r="B413" s="9" t="s">
        <v>1884</v>
      </c>
      <c r="D413" s="9" t="s">
        <v>1884</v>
      </c>
      <c r="G413" s="6" t="s">
        <v>1884</v>
      </c>
      <c r="J413" s="9" t="s">
        <v>1884</v>
      </c>
      <c r="O413" s="10">
        <f>IFERROR(__xludf.DUMMYFUNCTION("VALUE(REGEXEXTRACT(A413, ""\d+""))"),524.0)</f>
        <v>524</v>
      </c>
    </row>
    <row r="414">
      <c r="A414" s="9" t="s">
        <v>1885</v>
      </c>
      <c r="B414" s="9" t="s">
        <v>1886</v>
      </c>
      <c r="D414" s="9" t="s">
        <v>1887</v>
      </c>
      <c r="G414" s="6" t="s">
        <v>1888</v>
      </c>
      <c r="J414" s="9" t="s">
        <v>1889</v>
      </c>
      <c r="O414" s="10">
        <f>IFERROR(__xludf.DUMMYFUNCTION("VALUE(REGEXEXTRACT(A414, ""\d+""))"),527.0)</f>
        <v>527</v>
      </c>
    </row>
    <row r="415">
      <c r="A415" s="9" t="s">
        <v>1890</v>
      </c>
      <c r="B415" s="9" t="s">
        <v>1891</v>
      </c>
      <c r="D415" s="9" t="s">
        <v>1892</v>
      </c>
      <c r="G415" s="6" t="s">
        <v>1893</v>
      </c>
      <c r="J415" s="9" t="s">
        <v>1894</v>
      </c>
      <c r="O415" s="10">
        <f>IFERROR(__xludf.DUMMYFUNCTION("VALUE(REGEXEXTRACT(A415, ""\d+""))"),530.0)</f>
        <v>530</v>
      </c>
    </row>
    <row r="416">
      <c r="A416" s="9" t="s">
        <v>1895</v>
      </c>
      <c r="B416" s="9" t="s">
        <v>1896</v>
      </c>
      <c r="D416" s="9" t="s">
        <v>1897</v>
      </c>
      <c r="G416" s="6" t="s">
        <v>1898</v>
      </c>
      <c r="J416" s="9" t="s">
        <v>1899</v>
      </c>
      <c r="O416" s="10">
        <f>IFERROR(__xludf.DUMMYFUNCTION("VALUE(REGEXEXTRACT(A416, ""\d+""))"),531.0)</f>
        <v>531</v>
      </c>
    </row>
    <row r="417">
      <c r="A417" s="9" t="s">
        <v>1900</v>
      </c>
      <c r="B417" s="9" t="s">
        <v>1901</v>
      </c>
      <c r="D417" s="9" t="s">
        <v>1902</v>
      </c>
      <c r="G417" s="6" t="s">
        <v>1903</v>
      </c>
      <c r="J417" s="9" t="s">
        <v>1904</v>
      </c>
      <c r="O417" s="10">
        <f>IFERROR(__xludf.DUMMYFUNCTION("VALUE(REGEXEXTRACT(A417, ""\d+""))"),532.0)</f>
        <v>532</v>
      </c>
    </row>
    <row r="418">
      <c r="A418" s="9" t="s">
        <v>1905</v>
      </c>
      <c r="B418" s="9" t="s">
        <v>1906</v>
      </c>
      <c r="D418" s="9" t="s">
        <v>1907</v>
      </c>
      <c r="G418" s="6" t="s">
        <v>1908</v>
      </c>
      <c r="J418" s="9" t="s">
        <v>1909</v>
      </c>
      <c r="O418" s="10">
        <f>IFERROR(__xludf.DUMMYFUNCTION("VALUE(REGEXEXTRACT(A418, ""\d+""))"),534.0)</f>
        <v>534</v>
      </c>
    </row>
    <row r="419">
      <c r="A419" s="9" t="s">
        <v>1910</v>
      </c>
      <c r="B419" s="9" t="s">
        <v>1911</v>
      </c>
      <c r="D419" s="9" t="s">
        <v>1912</v>
      </c>
      <c r="G419" s="6" t="s">
        <v>1913</v>
      </c>
      <c r="J419" s="9" t="s">
        <v>1914</v>
      </c>
      <c r="O419" s="10">
        <f>IFERROR(__xludf.DUMMYFUNCTION("VALUE(REGEXEXTRACT(A419, ""\d+""))"),536.0)</f>
        <v>536</v>
      </c>
    </row>
    <row r="420">
      <c r="A420" s="9" t="s">
        <v>1915</v>
      </c>
      <c r="B420" s="9" t="s">
        <v>1916</v>
      </c>
      <c r="D420" s="9" t="s">
        <v>1917</v>
      </c>
      <c r="G420" s="6" t="s">
        <v>1918</v>
      </c>
      <c r="J420" s="9" t="s">
        <v>1919</v>
      </c>
      <c r="O420" s="10">
        <f>IFERROR(__xludf.DUMMYFUNCTION("VALUE(REGEXEXTRACT(A420, ""\d+""))"),537.0)</f>
        <v>537</v>
      </c>
    </row>
    <row r="421">
      <c r="A421" s="9" t="s">
        <v>1920</v>
      </c>
      <c r="B421" s="9" t="s">
        <v>1921</v>
      </c>
      <c r="D421" s="9" t="s">
        <v>1922</v>
      </c>
      <c r="G421" s="6" t="s">
        <v>1923</v>
      </c>
      <c r="J421" s="9" t="s">
        <v>1924</v>
      </c>
      <c r="O421" s="10">
        <f>IFERROR(__xludf.DUMMYFUNCTION("VALUE(REGEXEXTRACT(A421, ""\d+""))"),538.0)</f>
        <v>538</v>
      </c>
    </row>
    <row r="422">
      <c r="A422" s="9" t="s">
        <v>1925</v>
      </c>
      <c r="B422" s="9" t="s">
        <v>1926</v>
      </c>
      <c r="D422" s="9" t="s">
        <v>1927</v>
      </c>
      <c r="G422" s="6" t="s">
        <v>1928</v>
      </c>
      <c r="J422" s="9" t="s">
        <v>1929</v>
      </c>
      <c r="O422" s="10">
        <f>IFERROR(__xludf.DUMMYFUNCTION("VALUE(REGEXEXTRACT(A422, ""\d+""))"),539.0)</f>
        <v>539</v>
      </c>
    </row>
    <row r="423">
      <c r="A423" s="9" t="s">
        <v>1930</v>
      </c>
      <c r="B423" s="9" t="s">
        <v>1931</v>
      </c>
      <c r="D423" s="9" t="s">
        <v>1932</v>
      </c>
      <c r="G423" s="6" t="s">
        <v>1933</v>
      </c>
      <c r="J423" s="9" t="s">
        <v>1934</v>
      </c>
      <c r="O423" s="10">
        <f>IFERROR(__xludf.DUMMYFUNCTION("VALUE(REGEXEXTRACT(A423, ""\d+""))"),540.0)</f>
        <v>540</v>
      </c>
    </row>
    <row r="424">
      <c r="A424" s="9" t="s">
        <v>1935</v>
      </c>
      <c r="B424" s="9" t="s">
        <v>1936</v>
      </c>
      <c r="D424" s="9" t="s">
        <v>1937</v>
      </c>
      <c r="G424" s="6" t="s">
        <v>1938</v>
      </c>
      <c r="J424" s="9" t="s">
        <v>1939</v>
      </c>
      <c r="O424" s="10">
        <f>IFERROR(__xludf.DUMMYFUNCTION("VALUE(REGEXEXTRACT(A424, ""\d+""))"),541.0)</f>
        <v>541</v>
      </c>
    </row>
    <row r="425">
      <c r="A425" s="9" t="s">
        <v>1940</v>
      </c>
      <c r="B425" s="9" t="s">
        <v>1941</v>
      </c>
      <c r="D425" s="9" t="s">
        <v>1942</v>
      </c>
      <c r="G425" s="6" t="s">
        <v>1943</v>
      </c>
      <c r="J425" s="9" t="s">
        <v>1944</v>
      </c>
      <c r="O425" s="10">
        <f>IFERROR(__xludf.DUMMYFUNCTION("VALUE(REGEXEXTRACT(A425, ""\d+""))"),542.0)</f>
        <v>542</v>
      </c>
    </row>
    <row r="426">
      <c r="A426" s="9" t="s">
        <v>1945</v>
      </c>
      <c r="B426" s="9" t="s">
        <v>1946</v>
      </c>
      <c r="D426" s="9" t="s">
        <v>1947</v>
      </c>
      <c r="G426" s="6" t="s">
        <v>1948</v>
      </c>
      <c r="J426" s="9" t="s">
        <v>1949</v>
      </c>
      <c r="O426" s="10">
        <f>IFERROR(__xludf.DUMMYFUNCTION("VALUE(REGEXEXTRACT(A426, ""\d+""))"),543.0)</f>
        <v>543</v>
      </c>
    </row>
    <row r="427">
      <c r="A427" s="9" t="s">
        <v>1950</v>
      </c>
      <c r="B427" s="9" t="s">
        <v>1951</v>
      </c>
      <c r="D427" s="9" t="s">
        <v>1952</v>
      </c>
      <c r="G427" s="6" t="s">
        <v>1953</v>
      </c>
      <c r="J427" s="9" t="s">
        <v>1954</v>
      </c>
      <c r="O427" s="10">
        <f>IFERROR(__xludf.DUMMYFUNCTION("VALUE(REGEXEXTRACT(A427, ""\d+""))"),544.0)</f>
        <v>544</v>
      </c>
    </row>
    <row r="428">
      <c r="A428" s="9" t="s">
        <v>1955</v>
      </c>
      <c r="B428" s="9" t="s">
        <v>1956</v>
      </c>
      <c r="D428" s="9" t="s">
        <v>1957</v>
      </c>
      <c r="G428" s="6" t="s">
        <v>1958</v>
      </c>
      <c r="J428" s="9" t="s">
        <v>1959</v>
      </c>
      <c r="O428" s="10">
        <f>IFERROR(__xludf.DUMMYFUNCTION("VALUE(REGEXEXTRACT(A428, ""\d+""))"),545.0)</f>
        <v>545</v>
      </c>
    </row>
    <row r="429">
      <c r="A429" s="9" t="s">
        <v>1960</v>
      </c>
      <c r="B429" s="9" t="s">
        <v>1961</v>
      </c>
      <c r="D429" s="9" t="s">
        <v>1962</v>
      </c>
      <c r="G429" s="6" t="s">
        <v>1963</v>
      </c>
      <c r="J429" s="9" t="s">
        <v>1964</v>
      </c>
      <c r="O429" s="10">
        <f>IFERROR(__xludf.DUMMYFUNCTION("VALUE(REGEXEXTRACT(A429, ""\d+""))"),546.0)</f>
        <v>546</v>
      </c>
    </row>
    <row r="430">
      <c r="A430" s="9" t="s">
        <v>1965</v>
      </c>
      <c r="B430" s="9" t="s">
        <v>1966</v>
      </c>
      <c r="D430" s="9" t="s">
        <v>1967</v>
      </c>
      <c r="G430" s="6" t="s">
        <v>1968</v>
      </c>
      <c r="J430" s="9" t="s">
        <v>1969</v>
      </c>
      <c r="O430" s="10">
        <f>IFERROR(__xludf.DUMMYFUNCTION("VALUE(REGEXEXTRACT(A430, ""\d+""))"),547.0)</f>
        <v>547</v>
      </c>
    </row>
    <row r="431">
      <c r="A431" s="9" t="s">
        <v>1970</v>
      </c>
      <c r="B431" s="9" t="s">
        <v>1971</v>
      </c>
      <c r="D431" s="9" t="s">
        <v>1972</v>
      </c>
      <c r="G431" s="6" t="s">
        <v>1973</v>
      </c>
      <c r="J431" s="9" t="s">
        <v>1974</v>
      </c>
      <c r="O431" s="10">
        <f>IFERROR(__xludf.DUMMYFUNCTION("VALUE(REGEXEXTRACT(A431, ""\d+""))"),548.0)</f>
        <v>548</v>
      </c>
    </row>
    <row r="432">
      <c r="A432" s="9" t="s">
        <v>1975</v>
      </c>
      <c r="B432" s="9" t="s">
        <v>1976</v>
      </c>
      <c r="D432" s="9" t="s">
        <v>1977</v>
      </c>
      <c r="G432" s="6" t="s">
        <v>1978</v>
      </c>
      <c r="J432" s="9" t="s">
        <v>1979</v>
      </c>
      <c r="O432" s="10">
        <f>IFERROR(__xludf.DUMMYFUNCTION("VALUE(REGEXEXTRACT(A432, ""\d+""))"),549.0)</f>
        <v>549</v>
      </c>
    </row>
    <row r="433">
      <c r="A433" s="9" t="s">
        <v>1980</v>
      </c>
      <c r="B433" s="9" t="s">
        <v>1976</v>
      </c>
      <c r="D433" s="9" t="s">
        <v>1981</v>
      </c>
      <c r="G433" s="6" t="s">
        <v>1978</v>
      </c>
      <c r="J433" s="9" t="s">
        <v>1982</v>
      </c>
      <c r="O433" s="10">
        <f>IFERROR(__xludf.DUMMYFUNCTION("VALUE(REGEXEXTRACT(A433, ""\d+""))"),550.0)</f>
        <v>550</v>
      </c>
    </row>
    <row r="434">
      <c r="A434" s="9" t="s">
        <v>1983</v>
      </c>
      <c r="B434" s="9" t="s">
        <v>1976</v>
      </c>
      <c r="D434" s="9" t="s">
        <v>1984</v>
      </c>
      <c r="G434" s="6" t="s">
        <v>1978</v>
      </c>
      <c r="J434" s="9" t="s">
        <v>1985</v>
      </c>
      <c r="O434" s="10">
        <f>IFERROR(__xludf.DUMMYFUNCTION("VALUE(REGEXEXTRACT(A434, ""\d+""))"),551.0)</f>
        <v>551</v>
      </c>
    </row>
    <row r="435">
      <c r="A435" s="9" t="s">
        <v>1986</v>
      </c>
      <c r="B435" s="9" t="s">
        <v>1987</v>
      </c>
      <c r="D435" s="9" t="s">
        <v>1988</v>
      </c>
      <c r="G435" s="6" t="s">
        <v>1989</v>
      </c>
      <c r="J435" s="9" t="s">
        <v>1990</v>
      </c>
      <c r="O435" s="10">
        <f>IFERROR(__xludf.DUMMYFUNCTION("VALUE(REGEXEXTRACT(A435, ""\d+""))"),553.0)</f>
        <v>553</v>
      </c>
    </row>
    <row r="436">
      <c r="A436" s="9" t="s">
        <v>1991</v>
      </c>
      <c r="B436" s="9" t="s">
        <v>1992</v>
      </c>
      <c r="D436" s="9" t="s">
        <v>1993</v>
      </c>
      <c r="G436" s="6" t="s">
        <v>1994</v>
      </c>
      <c r="J436" s="9" t="s">
        <v>1993</v>
      </c>
      <c r="O436" s="10">
        <f>IFERROR(__xludf.DUMMYFUNCTION("VALUE(REGEXEXTRACT(A436, ""\d+""))"),554.0)</f>
        <v>554</v>
      </c>
    </row>
    <row r="437">
      <c r="A437" s="9" t="s">
        <v>1995</v>
      </c>
      <c r="B437" s="9" t="s">
        <v>1996</v>
      </c>
      <c r="D437" s="9" t="s">
        <v>1997</v>
      </c>
      <c r="G437" s="6" t="s">
        <v>1998</v>
      </c>
      <c r="J437" s="9" t="s">
        <v>1999</v>
      </c>
      <c r="O437" s="10">
        <f>IFERROR(__xludf.DUMMYFUNCTION("VALUE(REGEXEXTRACT(A437, ""\d+""))"),555.0)</f>
        <v>555</v>
      </c>
    </row>
    <row r="438">
      <c r="A438" s="9" t="s">
        <v>2000</v>
      </c>
      <c r="B438" s="9" t="s">
        <v>2001</v>
      </c>
      <c r="D438" s="9" t="s">
        <v>2002</v>
      </c>
      <c r="G438" s="6" t="s">
        <v>2003</v>
      </c>
      <c r="J438" s="9" t="s">
        <v>2004</v>
      </c>
      <c r="O438" s="10">
        <f>IFERROR(__xludf.DUMMYFUNCTION("VALUE(REGEXEXTRACT(A438, ""\d+""))"),556.0)</f>
        <v>556</v>
      </c>
    </row>
    <row r="439">
      <c r="A439" s="9" t="s">
        <v>2005</v>
      </c>
      <c r="B439" s="9" t="s">
        <v>2006</v>
      </c>
      <c r="D439" s="9" t="s">
        <v>2007</v>
      </c>
      <c r="G439" s="6" t="s">
        <v>2008</v>
      </c>
      <c r="J439" s="9" t="s">
        <v>2009</v>
      </c>
      <c r="O439" s="10">
        <f>IFERROR(__xludf.DUMMYFUNCTION("VALUE(REGEXEXTRACT(A439, ""\d+""))"),557.0)</f>
        <v>557</v>
      </c>
    </row>
    <row r="440">
      <c r="A440" s="9" t="s">
        <v>2010</v>
      </c>
      <c r="B440" s="9" t="s">
        <v>2011</v>
      </c>
      <c r="G440" s="9" t="s">
        <v>2012</v>
      </c>
      <c r="O440" s="10">
        <f>IFERROR(__xludf.DUMMYFUNCTION("VALUE(REGEXEXTRACT(A440, ""\d+""))"),558.0)</f>
        <v>558</v>
      </c>
    </row>
    <row r="441">
      <c r="A441" s="9" t="s">
        <v>2013</v>
      </c>
      <c r="B441" s="9" t="s">
        <v>2014</v>
      </c>
      <c r="D441" s="9" t="s">
        <v>2015</v>
      </c>
      <c r="G441" s="6" t="s">
        <v>2016</v>
      </c>
      <c r="J441" s="9" t="s">
        <v>2017</v>
      </c>
      <c r="O441" s="10">
        <f>IFERROR(__xludf.DUMMYFUNCTION("VALUE(REGEXEXTRACT(A441, ""\d+""))"),559.0)</f>
        <v>559</v>
      </c>
    </row>
    <row r="442">
      <c r="A442" s="9" t="s">
        <v>2018</v>
      </c>
      <c r="B442" s="9" t="s">
        <v>2019</v>
      </c>
      <c r="G442" s="6" t="s">
        <v>2020</v>
      </c>
      <c r="O442" s="10">
        <f>IFERROR(__xludf.DUMMYFUNCTION("VALUE(REGEXEXTRACT(A442, ""\d+""))"),560.0)</f>
        <v>560</v>
      </c>
    </row>
    <row r="443">
      <c r="A443" s="9" t="s">
        <v>2021</v>
      </c>
      <c r="B443" s="9" t="s">
        <v>2022</v>
      </c>
      <c r="D443" s="9" t="s">
        <v>2022</v>
      </c>
      <c r="G443" s="6" t="s">
        <v>2022</v>
      </c>
      <c r="J443" s="9" t="s">
        <v>2022</v>
      </c>
      <c r="O443" s="10">
        <f>IFERROR(__xludf.DUMMYFUNCTION("VALUE(REGEXEXTRACT(A443, ""\d+""))"),561.0)</f>
        <v>561</v>
      </c>
    </row>
    <row r="444">
      <c r="A444" s="9" t="s">
        <v>2023</v>
      </c>
      <c r="B444" s="9" t="s">
        <v>2024</v>
      </c>
      <c r="D444" s="9" t="s">
        <v>2025</v>
      </c>
      <c r="G444" s="6" t="s">
        <v>2026</v>
      </c>
      <c r="J444" s="9" t="s">
        <v>2027</v>
      </c>
      <c r="O444" s="10">
        <f>IFERROR(__xludf.DUMMYFUNCTION("VALUE(REGEXEXTRACT(A444, ""\d+""))"),562.0)</f>
        <v>562</v>
      </c>
    </row>
    <row r="445">
      <c r="A445" s="9" t="s">
        <v>2028</v>
      </c>
      <c r="B445" s="9" t="s">
        <v>2029</v>
      </c>
      <c r="D445" s="9" t="s">
        <v>2030</v>
      </c>
      <c r="G445" s="6" t="s">
        <v>2031</v>
      </c>
      <c r="J445" s="9" t="s">
        <v>2032</v>
      </c>
      <c r="O445" s="10">
        <f>IFERROR(__xludf.DUMMYFUNCTION("VALUE(REGEXEXTRACT(A445, ""\d+""))"),563.0)</f>
        <v>563</v>
      </c>
    </row>
    <row r="446">
      <c r="A446" s="9" t="s">
        <v>2033</v>
      </c>
      <c r="B446" s="9" t="s">
        <v>2034</v>
      </c>
      <c r="D446" s="9" t="s">
        <v>2035</v>
      </c>
      <c r="G446" s="6" t="s">
        <v>2036</v>
      </c>
      <c r="J446" s="9" t="s">
        <v>2037</v>
      </c>
      <c r="O446" s="10">
        <f>IFERROR(__xludf.DUMMYFUNCTION("VALUE(REGEXEXTRACT(A446, ""\d+""))"),564.0)</f>
        <v>564</v>
      </c>
    </row>
    <row r="447">
      <c r="A447" s="9" t="s">
        <v>2038</v>
      </c>
      <c r="B447" s="9" t="s">
        <v>2039</v>
      </c>
      <c r="D447" s="9" t="s">
        <v>2040</v>
      </c>
      <c r="G447" s="6" t="s">
        <v>2041</v>
      </c>
      <c r="J447" s="9" t="s">
        <v>2042</v>
      </c>
      <c r="O447" s="10">
        <f>IFERROR(__xludf.DUMMYFUNCTION("VALUE(REGEXEXTRACT(A447, ""\d+""))"),565.0)</f>
        <v>565</v>
      </c>
    </row>
    <row r="448">
      <c r="A448" s="9" t="s">
        <v>2043</v>
      </c>
      <c r="B448" s="9" t="s">
        <v>2044</v>
      </c>
      <c r="D448" s="9" t="s">
        <v>2045</v>
      </c>
      <c r="G448" s="6" t="s">
        <v>2046</v>
      </c>
      <c r="J448" s="9" t="s">
        <v>2047</v>
      </c>
      <c r="O448" s="10">
        <f>IFERROR(__xludf.DUMMYFUNCTION("VALUE(REGEXEXTRACT(A448, ""\d+""))"),566.0)</f>
        <v>566</v>
      </c>
    </row>
    <row r="449">
      <c r="A449" s="9" t="s">
        <v>2048</v>
      </c>
      <c r="B449" s="9" t="s">
        <v>2049</v>
      </c>
      <c r="D449" s="9" t="s">
        <v>2050</v>
      </c>
      <c r="G449" s="6" t="s">
        <v>2051</v>
      </c>
      <c r="J449" s="9" t="s">
        <v>2052</v>
      </c>
      <c r="O449" s="10">
        <f>IFERROR(__xludf.DUMMYFUNCTION("VALUE(REGEXEXTRACT(A449, ""\d+""))"),567.0)</f>
        <v>567</v>
      </c>
    </row>
    <row r="450">
      <c r="A450" s="9" t="s">
        <v>2053</v>
      </c>
      <c r="B450" s="9" t="s">
        <v>2054</v>
      </c>
      <c r="D450" s="9" t="s">
        <v>2055</v>
      </c>
      <c r="G450" s="6" t="s">
        <v>2056</v>
      </c>
      <c r="J450" s="9" t="s">
        <v>2057</v>
      </c>
      <c r="O450" s="10">
        <f>IFERROR(__xludf.DUMMYFUNCTION("VALUE(REGEXEXTRACT(A450, ""\d+""))"),568.0)</f>
        <v>568</v>
      </c>
    </row>
    <row r="451">
      <c r="A451" s="9" t="s">
        <v>2058</v>
      </c>
      <c r="B451" s="9" t="s">
        <v>2059</v>
      </c>
      <c r="D451" s="9" t="s">
        <v>2060</v>
      </c>
      <c r="G451" s="6" t="s">
        <v>2060</v>
      </c>
      <c r="J451" s="9" t="s">
        <v>2061</v>
      </c>
      <c r="O451" s="10">
        <f>IFERROR(__xludf.DUMMYFUNCTION("VALUE(REGEXEXTRACT(A451, ""\d+""))"),569.0)</f>
        <v>569</v>
      </c>
    </row>
    <row r="452">
      <c r="A452" s="9" t="s">
        <v>2062</v>
      </c>
      <c r="B452" s="9" t="s">
        <v>2063</v>
      </c>
      <c r="D452" s="9" t="s">
        <v>2064</v>
      </c>
      <c r="G452" s="6" t="s">
        <v>2065</v>
      </c>
      <c r="J452" s="9" t="s">
        <v>2066</v>
      </c>
      <c r="O452" s="10">
        <f>IFERROR(__xludf.DUMMYFUNCTION("VALUE(REGEXEXTRACT(A452, ""\d+""))"),570.0)</f>
        <v>570</v>
      </c>
    </row>
    <row r="453">
      <c r="A453" s="9" t="s">
        <v>2067</v>
      </c>
      <c r="B453" s="9" t="s">
        <v>2068</v>
      </c>
      <c r="D453" s="9" t="s">
        <v>2069</v>
      </c>
      <c r="G453" s="6" t="s">
        <v>2070</v>
      </c>
      <c r="J453" s="9" t="s">
        <v>2071</v>
      </c>
      <c r="O453" s="10">
        <f>IFERROR(__xludf.DUMMYFUNCTION("VALUE(REGEXEXTRACT(A453, ""\d+""))"),571.0)</f>
        <v>571</v>
      </c>
    </row>
    <row r="454">
      <c r="A454" s="9" t="s">
        <v>2072</v>
      </c>
      <c r="B454" s="9" t="s">
        <v>2073</v>
      </c>
      <c r="D454" s="9" t="s">
        <v>2074</v>
      </c>
      <c r="G454" s="6" t="s">
        <v>2075</v>
      </c>
      <c r="J454" s="9" t="s">
        <v>2076</v>
      </c>
      <c r="O454" s="10">
        <f>IFERROR(__xludf.DUMMYFUNCTION("VALUE(REGEXEXTRACT(A454, ""\d+""))"),572.0)</f>
        <v>572</v>
      </c>
    </row>
    <row r="455">
      <c r="A455" s="9" t="s">
        <v>2077</v>
      </c>
      <c r="B455" s="9" t="s">
        <v>2078</v>
      </c>
      <c r="D455" s="9" t="s">
        <v>2079</v>
      </c>
      <c r="G455" s="6" t="s">
        <v>2079</v>
      </c>
      <c r="J455" s="9" t="s">
        <v>2080</v>
      </c>
      <c r="O455" s="10">
        <f>IFERROR(__xludf.DUMMYFUNCTION("VALUE(REGEXEXTRACT(A455, ""\d+""))"),573.0)</f>
        <v>573</v>
      </c>
    </row>
    <row r="456">
      <c r="A456" s="9" t="s">
        <v>2081</v>
      </c>
      <c r="B456" s="9" t="s">
        <v>2082</v>
      </c>
      <c r="D456" s="9" t="s">
        <v>2083</v>
      </c>
      <c r="G456" s="6" t="s">
        <v>2084</v>
      </c>
      <c r="J456" s="9" t="s">
        <v>2085</v>
      </c>
      <c r="O456" s="10">
        <f>IFERROR(__xludf.DUMMYFUNCTION("VALUE(REGEXEXTRACT(A456, ""\d+""))"),575.0)</f>
        <v>575</v>
      </c>
    </row>
    <row r="457">
      <c r="A457" s="9" t="s">
        <v>2086</v>
      </c>
      <c r="B457" s="9" t="s">
        <v>2087</v>
      </c>
      <c r="D457" s="9" t="s">
        <v>2088</v>
      </c>
      <c r="G457" s="6" t="s">
        <v>2089</v>
      </c>
      <c r="J457" s="9" t="s">
        <v>2090</v>
      </c>
      <c r="O457" s="10">
        <f>IFERROR(__xludf.DUMMYFUNCTION("VALUE(REGEXEXTRACT(A457, ""\d+""))"),576.0)</f>
        <v>576</v>
      </c>
    </row>
    <row r="458">
      <c r="A458" s="9" t="s">
        <v>2091</v>
      </c>
      <c r="B458" s="9" t="s">
        <v>2087</v>
      </c>
      <c r="D458" s="9" t="s">
        <v>2088</v>
      </c>
      <c r="G458" s="6" t="s">
        <v>2089</v>
      </c>
      <c r="J458" s="9" t="s">
        <v>2090</v>
      </c>
      <c r="O458" s="10">
        <f>IFERROR(__xludf.DUMMYFUNCTION("VALUE(REGEXEXTRACT(A458, ""\d+""))"),577.0)</f>
        <v>577</v>
      </c>
    </row>
    <row r="459">
      <c r="A459" s="9" t="s">
        <v>2092</v>
      </c>
      <c r="B459" s="9" t="s">
        <v>2093</v>
      </c>
      <c r="D459" s="9" t="s">
        <v>2094</v>
      </c>
      <c r="G459" s="6" t="s">
        <v>2094</v>
      </c>
      <c r="J459" s="9" t="s">
        <v>2095</v>
      </c>
      <c r="O459" s="10">
        <f>IFERROR(__xludf.DUMMYFUNCTION("VALUE(REGEXEXTRACT(A459, ""\d+""))"),578.0)</f>
        <v>578</v>
      </c>
    </row>
    <row r="460">
      <c r="A460" s="9" t="s">
        <v>2096</v>
      </c>
      <c r="B460" s="9" t="s">
        <v>2097</v>
      </c>
      <c r="D460" s="9" t="s">
        <v>2098</v>
      </c>
      <c r="G460" s="6" t="s">
        <v>2099</v>
      </c>
      <c r="J460" s="9" t="s">
        <v>2100</v>
      </c>
      <c r="O460" s="10">
        <f>IFERROR(__xludf.DUMMYFUNCTION("VALUE(REGEXEXTRACT(A460, ""\d+""))"),579.0)</f>
        <v>579</v>
      </c>
    </row>
    <row r="461">
      <c r="A461" s="9" t="s">
        <v>2101</v>
      </c>
      <c r="B461" s="9" t="s">
        <v>2102</v>
      </c>
      <c r="D461" s="9" t="s">
        <v>2103</v>
      </c>
      <c r="G461" s="6" t="s">
        <v>2104</v>
      </c>
      <c r="J461" s="9" t="s">
        <v>2105</v>
      </c>
      <c r="O461" s="10">
        <f>IFERROR(__xludf.DUMMYFUNCTION("VALUE(REGEXEXTRACT(A461, ""\d+""))"),580.0)</f>
        <v>580</v>
      </c>
    </row>
    <row r="462">
      <c r="A462" s="9" t="s">
        <v>2106</v>
      </c>
      <c r="B462" s="9" t="s">
        <v>2107</v>
      </c>
      <c r="D462" s="9" t="s">
        <v>2108</v>
      </c>
      <c r="G462" s="6" t="s">
        <v>2109</v>
      </c>
      <c r="J462" s="9" t="s">
        <v>2110</v>
      </c>
      <c r="O462" s="10">
        <f>IFERROR(__xludf.DUMMYFUNCTION("VALUE(REGEXEXTRACT(A462, ""\d+""))"),581.0)</f>
        <v>581</v>
      </c>
    </row>
    <row r="463">
      <c r="A463" s="9" t="s">
        <v>2111</v>
      </c>
      <c r="B463" s="9" t="s">
        <v>2112</v>
      </c>
      <c r="D463" s="9" t="s">
        <v>2113</v>
      </c>
      <c r="G463" s="6" t="s">
        <v>2114</v>
      </c>
      <c r="J463" s="9" t="s">
        <v>2115</v>
      </c>
      <c r="O463" s="10">
        <f>IFERROR(__xludf.DUMMYFUNCTION("VALUE(REGEXEXTRACT(A463, ""\d+""))"),582.0)</f>
        <v>582</v>
      </c>
    </row>
    <row r="464">
      <c r="A464" s="9" t="s">
        <v>2116</v>
      </c>
      <c r="B464" s="9" t="s">
        <v>2117</v>
      </c>
      <c r="D464" s="9" t="s">
        <v>2118</v>
      </c>
      <c r="G464" s="6" t="s">
        <v>2119</v>
      </c>
      <c r="J464" s="9" t="s">
        <v>2120</v>
      </c>
      <c r="O464" s="10">
        <f>IFERROR(__xludf.DUMMYFUNCTION("VALUE(REGEXEXTRACT(A464, ""\d+""))"),583.0)</f>
        <v>583</v>
      </c>
    </row>
    <row r="465">
      <c r="A465" s="9" t="s">
        <v>2121</v>
      </c>
      <c r="B465" s="9" t="s">
        <v>2122</v>
      </c>
      <c r="D465" s="9" t="s">
        <v>2123</v>
      </c>
      <c r="G465" s="6" t="s">
        <v>2123</v>
      </c>
      <c r="J465" s="9" t="s">
        <v>2124</v>
      </c>
      <c r="O465" s="10">
        <f>IFERROR(__xludf.DUMMYFUNCTION("VALUE(REGEXEXTRACT(A465, ""\d+""))"),584.0)</f>
        <v>584</v>
      </c>
    </row>
    <row r="466">
      <c r="A466" s="9" t="s">
        <v>2125</v>
      </c>
      <c r="B466" s="9" t="s">
        <v>2126</v>
      </c>
      <c r="D466" s="9" t="s">
        <v>2127</v>
      </c>
      <c r="G466" s="6" t="s">
        <v>2127</v>
      </c>
      <c r="J466" s="9" t="s">
        <v>2128</v>
      </c>
      <c r="O466" s="10">
        <f>IFERROR(__xludf.DUMMYFUNCTION("VALUE(REGEXEXTRACT(A466, ""\d+""))"),585.0)</f>
        <v>585</v>
      </c>
    </row>
    <row r="467">
      <c r="A467" s="9" t="s">
        <v>2129</v>
      </c>
      <c r="B467" s="9" t="s">
        <v>2130</v>
      </c>
      <c r="D467" s="9" t="s">
        <v>2131</v>
      </c>
      <c r="G467" s="6" t="s">
        <v>2131</v>
      </c>
      <c r="J467" s="9" t="s">
        <v>2132</v>
      </c>
      <c r="O467" s="10">
        <f>IFERROR(__xludf.DUMMYFUNCTION("VALUE(REGEXEXTRACT(A467, ""\d+""))"),586.0)</f>
        <v>586</v>
      </c>
    </row>
    <row r="468">
      <c r="A468" s="9" t="s">
        <v>2133</v>
      </c>
      <c r="B468" s="9" t="s">
        <v>2134</v>
      </c>
      <c r="D468" s="9" t="s">
        <v>2135</v>
      </c>
      <c r="G468" s="6" t="s">
        <v>2136</v>
      </c>
      <c r="J468" s="9" t="s">
        <v>2137</v>
      </c>
      <c r="O468" s="10">
        <f>IFERROR(__xludf.DUMMYFUNCTION("VALUE(REGEXEXTRACT(A468, ""\d+""))"),587.0)</f>
        <v>587</v>
      </c>
    </row>
    <row r="469">
      <c r="A469" s="9" t="s">
        <v>2138</v>
      </c>
      <c r="B469" s="9" t="s">
        <v>2139</v>
      </c>
      <c r="D469" s="9" t="s">
        <v>2140</v>
      </c>
      <c r="G469" s="6" t="s">
        <v>2141</v>
      </c>
      <c r="J469" s="9" t="s">
        <v>2142</v>
      </c>
      <c r="O469" s="10">
        <f>IFERROR(__xludf.DUMMYFUNCTION("VALUE(REGEXEXTRACT(A469, ""\d+""))"),588.0)</f>
        <v>588</v>
      </c>
    </row>
    <row r="470">
      <c r="A470" s="9" t="s">
        <v>2143</v>
      </c>
      <c r="B470" s="9" t="s">
        <v>2144</v>
      </c>
      <c r="D470" s="9" t="s">
        <v>2145</v>
      </c>
      <c r="G470" s="6" t="s">
        <v>2146</v>
      </c>
      <c r="J470" s="9" t="s">
        <v>2147</v>
      </c>
      <c r="O470" s="10">
        <f>IFERROR(__xludf.DUMMYFUNCTION("VALUE(REGEXEXTRACT(A470, ""\d+""))"),589.0)</f>
        <v>589</v>
      </c>
    </row>
    <row r="471">
      <c r="A471" s="9" t="s">
        <v>2148</v>
      </c>
      <c r="B471" s="9" t="s">
        <v>2149</v>
      </c>
      <c r="D471" s="9" t="s">
        <v>2150</v>
      </c>
      <c r="G471" s="6" t="s">
        <v>2151</v>
      </c>
      <c r="J471" s="9" t="s">
        <v>2152</v>
      </c>
      <c r="O471" s="10">
        <f>IFERROR(__xludf.DUMMYFUNCTION("VALUE(REGEXEXTRACT(A471, ""\d+""))"),590.0)</f>
        <v>590</v>
      </c>
    </row>
    <row r="472">
      <c r="A472" s="9" t="s">
        <v>2153</v>
      </c>
      <c r="B472" s="9" t="s">
        <v>2154</v>
      </c>
      <c r="D472" s="9" t="s">
        <v>2155</v>
      </c>
      <c r="G472" s="6" t="s">
        <v>2156</v>
      </c>
      <c r="J472" s="9" t="s">
        <v>2157</v>
      </c>
      <c r="O472" s="10">
        <f>IFERROR(__xludf.DUMMYFUNCTION("VALUE(REGEXEXTRACT(A472, ""\d+""))"),591.0)</f>
        <v>591</v>
      </c>
    </row>
    <row r="473">
      <c r="A473" s="9" t="s">
        <v>2158</v>
      </c>
      <c r="B473" s="9" t="s">
        <v>2159</v>
      </c>
      <c r="D473" s="9" t="s">
        <v>2160</v>
      </c>
      <c r="G473" s="6" t="s">
        <v>2161</v>
      </c>
      <c r="J473" s="9" t="s">
        <v>2162</v>
      </c>
      <c r="O473" s="10">
        <f>IFERROR(__xludf.DUMMYFUNCTION("VALUE(REGEXEXTRACT(A473, ""\d+""))"),593.0)</f>
        <v>593</v>
      </c>
    </row>
    <row r="474">
      <c r="A474" s="9" t="s">
        <v>2163</v>
      </c>
      <c r="B474" s="9" t="s">
        <v>2164</v>
      </c>
      <c r="D474" s="9" t="s">
        <v>2165</v>
      </c>
      <c r="G474" s="6" t="s">
        <v>2166</v>
      </c>
      <c r="J474" s="9" t="s">
        <v>2167</v>
      </c>
      <c r="O474" s="10">
        <f>IFERROR(__xludf.DUMMYFUNCTION("VALUE(REGEXEXTRACT(A474, ""\d+""))"),595.0)</f>
        <v>595</v>
      </c>
    </row>
    <row r="475">
      <c r="A475" s="9" t="s">
        <v>2168</v>
      </c>
      <c r="B475" s="9" t="s">
        <v>2169</v>
      </c>
      <c r="D475" s="9" t="s">
        <v>2170</v>
      </c>
      <c r="G475" s="6" t="s">
        <v>2171</v>
      </c>
      <c r="J475" s="9" t="s">
        <v>2172</v>
      </c>
      <c r="O475" s="10">
        <f>IFERROR(__xludf.DUMMYFUNCTION("VALUE(REGEXEXTRACT(A475, ""\d+""))"),596.0)</f>
        <v>596</v>
      </c>
    </row>
    <row r="476">
      <c r="A476" s="9" t="s">
        <v>2173</v>
      </c>
      <c r="B476" s="9" t="s">
        <v>2174</v>
      </c>
      <c r="D476" s="9" t="s">
        <v>2175</v>
      </c>
      <c r="G476" s="6" t="s">
        <v>2176</v>
      </c>
      <c r="J476" s="9" t="s">
        <v>2177</v>
      </c>
      <c r="O476" s="10">
        <f>IFERROR(__xludf.DUMMYFUNCTION("VALUE(REGEXEXTRACT(A476, ""\d+""))"),597.0)</f>
        <v>597</v>
      </c>
    </row>
    <row r="477">
      <c r="A477" s="9" t="s">
        <v>2178</v>
      </c>
      <c r="B477" s="9" t="s">
        <v>2179</v>
      </c>
      <c r="D477" s="9" t="s">
        <v>2180</v>
      </c>
      <c r="G477" s="6" t="s">
        <v>2181</v>
      </c>
      <c r="J477" s="9" t="s">
        <v>2182</v>
      </c>
      <c r="O477" s="10">
        <f>IFERROR(__xludf.DUMMYFUNCTION("VALUE(REGEXEXTRACT(A477, ""\d+""))"),598.0)</f>
        <v>598</v>
      </c>
    </row>
    <row r="478">
      <c r="A478" s="9" t="s">
        <v>2183</v>
      </c>
      <c r="B478" s="9" t="s">
        <v>2184</v>
      </c>
      <c r="D478" s="9" t="s">
        <v>2185</v>
      </c>
      <c r="G478" s="6" t="s">
        <v>2186</v>
      </c>
      <c r="J478" s="9" t="s">
        <v>2187</v>
      </c>
      <c r="O478" s="10">
        <f>IFERROR(__xludf.DUMMYFUNCTION("VALUE(REGEXEXTRACT(A478, ""\d+""))"),599.0)</f>
        <v>599</v>
      </c>
    </row>
    <row r="479">
      <c r="A479" s="9" t="s">
        <v>2188</v>
      </c>
      <c r="B479" s="9" t="s">
        <v>2189</v>
      </c>
      <c r="D479" s="9" t="s">
        <v>2190</v>
      </c>
      <c r="G479" s="6" t="s">
        <v>2191</v>
      </c>
      <c r="J479" s="9" t="s">
        <v>2192</v>
      </c>
      <c r="O479" s="10">
        <f>IFERROR(__xludf.DUMMYFUNCTION("VALUE(REGEXEXTRACT(A479, ""\d+""))"),600.0)</f>
        <v>600</v>
      </c>
    </row>
    <row r="480">
      <c r="A480" s="9" t="s">
        <v>2193</v>
      </c>
      <c r="B480" s="9" t="s">
        <v>2194</v>
      </c>
      <c r="D480" s="9" t="s">
        <v>2195</v>
      </c>
      <c r="G480" s="6" t="s">
        <v>2196</v>
      </c>
      <c r="J480" s="9" t="s">
        <v>2197</v>
      </c>
      <c r="O480" s="10">
        <f>IFERROR(__xludf.DUMMYFUNCTION("VALUE(REGEXEXTRACT(A480, ""\d+""))"),601.0)</f>
        <v>601</v>
      </c>
    </row>
    <row r="481">
      <c r="A481" s="9" t="s">
        <v>2198</v>
      </c>
      <c r="B481" s="9" t="s">
        <v>2199</v>
      </c>
      <c r="D481" s="9" t="s">
        <v>2200</v>
      </c>
      <c r="G481" s="6" t="s">
        <v>2201</v>
      </c>
      <c r="J481" s="9" t="s">
        <v>2202</v>
      </c>
      <c r="O481" s="10">
        <f>IFERROR(__xludf.DUMMYFUNCTION("VALUE(REGEXEXTRACT(A481, ""\d+""))"),602.0)</f>
        <v>602</v>
      </c>
    </row>
    <row r="482">
      <c r="A482" s="9" t="s">
        <v>2203</v>
      </c>
      <c r="B482" s="9" t="s">
        <v>2204</v>
      </c>
      <c r="D482" s="9" t="s">
        <v>2205</v>
      </c>
      <c r="G482" s="6" t="s">
        <v>2206</v>
      </c>
      <c r="J482" s="9" t="s">
        <v>2207</v>
      </c>
      <c r="O482" s="10">
        <f>IFERROR(__xludf.DUMMYFUNCTION("VALUE(REGEXEXTRACT(A482, ""\d+""))"),603.0)</f>
        <v>603</v>
      </c>
    </row>
    <row r="483">
      <c r="A483" s="9" t="s">
        <v>2208</v>
      </c>
      <c r="B483" s="9" t="s">
        <v>2209</v>
      </c>
      <c r="D483" s="9" t="s">
        <v>2210</v>
      </c>
      <c r="G483" s="6" t="s">
        <v>2211</v>
      </c>
      <c r="J483" s="9" t="s">
        <v>2212</v>
      </c>
      <c r="O483" s="10">
        <f>IFERROR(__xludf.DUMMYFUNCTION("VALUE(REGEXEXTRACT(A483, ""\d+""))"),604.0)</f>
        <v>604</v>
      </c>
    </row>
    <row r="484">
      <c r="A484" s="9" t="s">
        <v>2213</v>
      </c>
      <c r="B484" s="9" t="s">
        <v>2214</v>
      </c>
      <c r="D484" s="9" t="s">
        <v>2215</v>
      </c>
      <c r="G484" s="6" t="s">
        <v>2216</v>
      </c>
      <c r="J484" s="9" t="s">
        <v>2217</v>
      </c>
      <c r="O484" s="10">
        <f>IFERROR(__xludf.DUMMYFUNCTION("VALUE(REGEXEXTRACT(A484, ""\d+""))"),605.0)</f>
        <v>605</v>
      </c>
    </row>
    <row r="485">
      <c r="A485" s="9" t="s">
        <v>2218</v>
      </c>
      <c r="B485" s="9" t="s">
        <v>2219</v>
      </c>
      <c r="D485" s="9" t="s">
        <v>2220</v>
      </c>
      <c r="G485" s="6" t="s">
        <v>2221</v>
      </c>
      <c r="J485" s="9" t="s">
        <v>2222</v>
      </c>
      <c r="O485" s="10">
        <f>IFERROR(__xludf.DUMMYFUNCTION("VALUE(REGEXEXTRACT(A485, ""\d+""))"),606.0)</f>
        <v>606</v>
      </c>
    </row>
    <row r="486">
      <c r="A486" s="9" t="s">
        <v>2223</v>
      </c>
      <c r="B486" s="9" t="s">
        <v>2224</v>
      </c>
      <c r="D486" s="9" t="s">
        <v>2225</v>
      </c>
      <c r="G486" s="6" t="s">
        <v>2226</v>
      </c>
      <c r="J486" s="9" t="s">
        <v>2227</v>
      </c>
      <c r="O486" s="10">
        <f>IFERROR(__xludf.DUMMYFUNCTION("VALUE(REGEXEXTRACT(A486, ""\d+""))"),608.0)</f>
        <v>608</v>
      </c>
    </row>
    <row r="487">
      <c r="A487" s="9" t="s">
        <v>2228</v>
      </c>
      <c r="B487" s="9" t="s">
        <v>2229</v>
      </c>
      <c r="D487" s="9" t="s">
        <v>2230</v>
      </c>
      <c r="G487" s="6" t="s">
        <v>2231</v>
      </c>
      <c r="J487" s="9" t="s">
        <v>2232</v>
      </c>
      <c r="O487" s="10">
        <f>IFERROR(__xludf.DUMMYFUNCTION("VALUE(REGEXEXTRACT(A487, ""\d+""))"),609.0)</f>
        <v>609</v>
      </c>
    </row>
    <row r="488">
      <c r="A488" s="9" t="s">
        <v>2233</v>
      </c>
      <c r="B488" s="9" t="s">
        <v>2234</v>
      </c>
      <c r="D488" s="9" t="s">
        <v>2235</v>
      </c>
      <c r="G488" s="6" t="s">
        <v>2236</v>
      </c>
      <c r="J488" s="9" t="s">
        <v>2237</v>
      </c>
      <c r="O488" s="10">
        <f>IFERROR(__xludf.DUMMYFUNCTION("VALUE(REGEXEXTRACT(A488, ""\d+""))"),610.0)</f>
        <v>610</v>
      </c>
    </row>
    <row r="489">
      <c r="A489" s="9" t="s">
        <v>2238</v>
      </c>
      <c r="B489" s="9" t="s">
        <v>2239</v>
      </c>
      <c r="D489" s="9" t="s">
        <v>2239</v>
      </c>
      <c r="G489" s="6" t="s">
        <v>2239</v>
      </c>
      <c r="J489" s="9" t="s">
        <v>2239</v>
      </c>
      <c r="O489" s="10">
        <f>IFERROR(__xludf.DUMMYFUNCTION("VALUE(REGEXEXTRACT(A489, ""\d+""))"),612.0)</f>
        <v>612</v>
      </c>
    </row>
    <row r="490">
      <c r="A490" s="9" t="s">
        <v>2240</v>
      </c>
      <c r="B490" s="9" t="s">
        <v>2241</v>
      </c>
      <c r="D490" s="9" t="s">
        <v>2242</v>
      </c>
      <c r="G490" s="6" t="s">
        <v>2243</v>
      </c>
      <c r="J490" s="9" t="s">
        <v>2244</v>
      </c>
      <c r="O490" s="10">
        <f>IFERROR(__xludf.DUMMYFUNCTION("VALUE(REGEXEXTRACT(A490, ""\d+""))"),613.0)</f>
        <v>613</v>
      </c>
    </row>
    <row r="491">
      <c r="A491" s="9" t="s">
        <v>2245</v>
      </c>
      <c r="B491" s="9" t="s">
        <v>2246</v>
      </c>
      <c r="D491" s="9" t="s">
        <v>2247</v>
      </c>
      <c r="G491" s="6" t="s">
        <v>2248</v>
      </c>
      <c r="J491" s="9" t="s">
        <v>2249</v>
      </c>
      <c r="O491" s="10">
        <f>IFERROR(__xludf.DUMMYFUNCTION("VALUE(REGEXEXTRACT(A491, ""\d+""))"),614.0)</f>
        <v>614</v>
      </c>
    </row>
    <row r="492">
      <c r="A492" s="9" t="s">
        <v>2250</v>
      </c>
      <c r="B492" s="9" t="s">
        <v>2251</v>
      </c>
      <c r="D492" s="9" t="s">
        <v>2252</v>
      </c>
      <c r="G492" s="6" t="s">
        <v>2253</v>
      </c>
      <c r="J492" s="9" t="s">
        <v>2254</v>
      </c>
      <c r="O492" s="10">
        <f>IFERROR(__xludf.DUMMYFUNCTION("VALUE(REGEXEXTRACT(A492, ""\d+""))"),615.0)</f>
        <v>615</v>
      </c>
    </row>
    <row r="493">
      <c r="A493" s="9" t="s">
        <v>2255</v>
      </c>
      <c r="B493" s="9" t="s">
        <v>2256</v>
      </c>
      <c r="D493" s="9" t="s">
        <v>2257</v>
      </c>
      <c r="G493" s="6" t="s">
        <v>2258</v>
      </c>
      <c r="J493" s="9" t="s">
        <v>2259</v>
      </c>
      <c r="O493" s="10">
        <f>IFERROR(__xludf.DUMMYFUNCTION("VALUE(REGEXEXTRACT(A493, ""\d+""))"),616.0)</f>
        <v>616</v>
      </c>
    </row>
    <row r="494">
      <c r="A494" s="9" t="s">
        <v>2260</v>
      </c>
      <c r="B494" s="9" t="s">
        <v>2261</v>
      </c>
      <c r="D494" s="9" t="s">
        <v>2262</v>
      </c>
      <c r="G494" s="6" t="s">
        <v>2263</v>
      </c>
      <c r="J494" s="9" t="s">
        <v>2264</v>
      </c>
      <c r="O494" s="10">
        <f>IFERROR(__xludf.DUMMYFUNCTION("VALUE(REGEXEXTRACT(A494, ""\d+""))"),617.0)</f>
        <v>617</v>
      </c>
    </row>
    <row r="495">
      <c r="A495" s="9" t="s">
        <v>2265</v>
      </c>
      <c r="B495" s="9" t="s">
        <v>2266</v>
      </c>
      <c r="D495" s="9" t="s">
        <v>2267</v>
      </c>
      <c r="G495" s="6" t="s">
        <v>2268</v>
      </c>
      <c r="J495" s="9" t="s">
        <v>2269</v>
      </c>
      <c r="O495" s="10">
        <f>IFERROR(__xludf.DUMMYFUNCTION("VALUE(REGEXEXTRACT(A495, ""\d+""))"),618.0)</f>
        <v>618</v>
      </c>
    </row>
    <row r="496">
      <c r="A496" s="9" t="s">
        <v>2270</v>
      </c>
      <c r="B496" s="9" t="s">
        <v>2271</v>
      </c>
      <c r="D496" s="9" t="s">
        <v>2271</v>
      </c>
      <c r="G496" s="6" t="s">
        <v>2271</v>
      </c>
      <c r="J496" s="9" t="s">
        <v>2271</v>
      </c>
      <c r="O496" s="10">
        <f>IFERROR(__xludf.DUMMYFUNCTION("VALUE(REGEXEXTRACT(A496, ""\d+""))"),619.0)</f>
        <v>619</v>
      </c>
    </row>
    <row r="497">
      <c r="A497" s="9" t="s">
        <v>2272</v>
      </c>
      <c r="B497" s="9" t="s">
        <v>2273</v>
      </c>
      <c r="D497" s="9" t="s">
        <v>2274</v>
      </c>
      <c r="G497" s="6" t="s">
        <v>2275</v>
      </c>
      <c r="J497" s="9" t="s">
        <v>2276</v>
      </c>
      <c r="O497" s="10">
        <f>IFERROR(__xludf.DUMMYFUNCTION("VALUE(REGEXEXTRACT(A497, ""\d+""))"),620.0)</f>
        <v>620</v>
      </c>
    </row>
    <row r="498">
      <c r="A498" s="9" t="s">
        <v>2277</v>
      </c>
      <c r="B498" s="9" t="s">
        <v>2278</v>
      </c>
      <c r="D498" s="9" t="s">
        <v>2279</v>
      </c>
      <c r="G498" s="6" t="s">
        <v>2280</v>
      </c>
      <c r="J498" s="9" t="s">
        <v>2281</v>
      </c>
      <c r="O498" s="10">
        <f>IFERROR(__xludf.DUMMYFUNCTION("VALUE(REGEXEXTRACT(A498, ""\d+""))"),621.0)</f>
        <v>621</v>
      </c>
    </row>
    <row r="499">
      <c r="A499" s="9" t="s">
        <v>2282</v>
      </c>
      <c r="B499" s="9" t="s">
        <v>2283</v>
      </c>
      <c r="D499" s="9" t="s">
        <v>2284</v>
      </c>
      <c r="G499" s="6" t="s">
        <v>2285</v>
      </c>
      <c r="J499" s="9" t="s">
        <v>2286</v>
      </c>
      <c r="O499" s="10">
        <f>IFERROR(__xludf.DUMMYFUNCTION("VALUE(REGEXEXTRACT(A499, ""\d+""))"),622.0)</f>
        <v>622</v>
      </c>
    </row>
    <row r="500">
      <c r="A500" s="9" t="s">
        <v>2287</v>
      </c>
      <c r="B500" s="9" t="s">
        <v>2288</v>
      </c>
      <c r="D500" s="9" t="s">
        <v>2289</v>
      </c>
      <c r="G500" s="6" t="s">
        <v>2290</v>
      </c>
      <c r="J500" s="9" t="s">
        <v>2291</v>
      </c>
      <c r="O500" s="10">
        <f>IFERROR(__xludf.DUMMYFUNCTION("VALUE(REGEXEXTRACT(A500, ""\d+""))"),623.0)</f>
        <v>623</v>
      </c>
    </row>
    <row r="501">
      <c r="A501" s="9" t="s">
        <v>2292</v>
      </c>
      <c r="B501" s="9" t="s">
        <v>2293</v>
      </c>
      <c r="D501" s="9" t="s">
        <v>2294</v>
      </c>
      <c r="G501" s="6" t="s">
        <v>2294</v>
      </c>
      <c r="J501" s="9" t="s">
        <v>2295</v>
      </c>
      <c r="O501" s="10">
        <f>IFERROR(__xludf.DUMMYFUNCTION("VALUE(REGEXEXTRACT(A501, ""\d+""))"),624.0)</f>
        <v>624</v>
      </c>
    </row>
    <row r="502">
      <c r="A502" s="9" t="s">
        <v>2296</v>
      </c>
      <c r="B502" s="9" t="s">
        <v>2297</v>
      </c>
      <c r="D502" s="9" t="s">
        <v>2298</v>
      </c>
      <c r="G502" s="6" t="s">
        <v>2299</v>
      </c>
      <c r="J502" s="9" t="s">
        <v>2300</v>
      </c>
      <c r="O502" s="10">
        <f>IFERROR(__xludf.DUMMYFUNCTION("VALUE(REGEXEXTRACT(A502, ""\d+""))"),625.0)</f>
        <v>625</v>
      </c>
    </row>
    <row r="503">
      <c r="A503" s="9" t="s">
        <v>2301</v>
      </c>
      <c r="B503" s="9" t="s">
        <v>2302</v>
      </c>
      <c r="D503" s="9" t="s">
        <v>2302</v>
      </c>
      <c r="G503" s="6" t="s">
        <v>2302</v>
      </c>
      <c r="J503" s="9" t="s">
        <v>2302</v>
      </c>
      <c r="O503" s="10">
        <f>IFERROR(__xludf.DUMMYFUNCTION("VALUE(REGEXEXTRACT(A503, ""\d+""))"),626.0)</f>
        <v>626</v>
      </c>
    </row>
    <row r="504">
      <c r="A504" s="9" t="s">
        <v>2303</v>
      </c>
      <c r="B504" s="9" t="s">
        <v>2304</v>
      </c>
      <c r="D504" s="9" t="s">
        <v>2305</v>
      </c>
      <c r="G504" s="6" t="s">
        <v>2305</v>
      </c>
      <c r="J504" s="9" t="s">
        <v>2306</v>
      </c>
      <c r="O504" s="10">
        <f>IFERROR(__xludf.DUMMYFUNCTION("VALUE(REGEXEXTRACT(A504, ""\d+""))"),627.0)</f>
        <v>627</v>
      </c>
    </row>
    <row r="505">
      <c r="A505" s="9" t="s">
        <v>2307</v>
      </c>
      <c r="B505" s="9" t="s">
        <v>2308</v>
      </c>
      <c r="D505" s="9" t="s">
        <v>2309</v>
      </c>
      <c r="G505" s="6" t="s">
        <v>2309</v>
      </c>
      <c r="J505" s="9" t="s">
        <v>2310</v>
      </c>
      <c r="O505" s="10">
        <f>IFERROR(__xludf.DUMMYFUNCTION("VALUE(REGEXEXTRACT(A505, ""\d+""))"),628.0)</f>
        <v>628</v>
      </c>
    </row>
    <row r="506">
      <c r="A506" s="9" t="s">
        <v>2311</v>
      </c>
      <c r="B506" s="9" t="s">
        <v>2312</v>
      </c>
      <c r="D506" s="9" t="s">
        <v>2313</v>
      </c>
      <c r="G506" s="6" t="s">
        <v>2314</v>
      </c>
      <c r="J506" s="9" t="s">
        <v>2315</v>
      </c>
      <c r="O506" s="10">
        <f>IFERROR(__xludf.DUMMYFUNCTION("VALUE(REGEXEXTRACT(A506, ""\d+""))"),630.0)</f>
        <v>630</v>
      </c>
    </row>
    <row r="507">
      <c r="A507" s="9" t="s">
        <v>2316</v>
      </c>
      <c r="B507" s="9" t="s">
        <v>2317</v>
      </c>
      <c r="D507" s="9" t="s">
        <v>2318</v>
      </c>
      <c r="G507" s="6" t="s">
        <v>2319</v>
      </c>
      <c r="J507" s="9" t="s">
        <v>2320</v>
      </c>
      <c r="O507" s="10">
        <f>IFERROR(__xludf.DUMMYFUNCTION("VALUE(REGEXEXTRACT(A507, ""\d+""))"),631.0)</f>
        <v>631</v>
      </c>
    </row>
    <row r="508">
      <c r="A508" s="9" t="s">
        <v>2321</v>
      </c>
      <c r="B508" s="9" t="s">
        <v>2322</v>
      </c>
      <c r="D508" s="9" t="s">
        <v>2323</v>
      </c>
      <c r="G508" s="6" t="s">
        <v>2323</v>
      </c>
      <c r="J508" s="9" t="s">
        <v>2324</v>
      </c>
      <c r="O508" s="10">
        <f>IFERROR(__xludf.DUMMYFUNCTION("VALUE(REGEXEXTRACT(A508, ""\d+""))"),632.0)</f>
        <v>632</v>
      </c>
    </row>
    <row r="509">
      <c r="A509" s="9" t="s">
        <v>2325</v>
      </c>
      <c r="B509" s="9" t="s">
        <v>2326</v>
      </c>
      <c r="D509" s="9" t="s">
        <v>2327</v>
      </c>
      <c r="G509" s="6" t="s">
        <v>2327</v>
      </c>
      <c r="J509" s="9" t="s">
        <v>2328</v>
      </c>
      <c r="O509" s="10">
        <f>IFERROR(__xludf.DUMMYFUNCTION("VALUE(REGEXEXTRACT(A509, ""\d+""))"),635.0)</f>
        <v>635</v>
      </c>
    </row>
    <row r="510">
      <c r="A510" s="9" t="s">
        <v>2329</v>
      </c>
      <c r="B510" s="9" t="s">
        <v>2330</v>
      </c>
      <c r="D510" s="9" t="s">
        <v>2331</v>
      </c>
      <c r="G510" s="6" t="s">
        <v>2331</v>
      </c>
      <c r="J510" s="9" t="s">
        <v>2332</v>
      </c>
      <c r="O510" s="10">
        <f>IFERROR(__xludf.DUMMYFUNCTION("VALUE(REGEXEXTRACT(A510, ""\d+""))"),637.0)</f>
        <v>637</v>
      </c>
    </row>
    <row r="511">
      <c r="A511" s="9" t="s">
        <v>2333</v>
      </c>
      <c r="B511" s="9" t="s">
        <v>2334</v>
      </c>
      <c r="D511" s="9" t="s">
        <v>2335</v>
      </c>
      <c r="G511" s="6" t="s">
        <v>2336</v>
      </c>
      <c r="J511" s="9" t="s">
        <v>2337</v>
      </c>
      <c r="O511" s="10">
        <f>IFERROR(__xludf.DUMMYFUNCTION("VALUE(REGEXEXTRACT(A511, ""\d+""))"),639.0)</f>
        <v>639</v>
      </c>
    </row>
    <row r="512">
      <c r="A512" s="9" t="s">
        <v>2338</v>
      </c>
      <c r="B512" s="9" t="s">
        <v>2339</v>
      </c>
      <c r="D512" s="9" t="s">
        <v>2340</v>
      </c>
      <c r="G512" s="6" t="s">
        <v>2341</v>
      </c>
      <c r="J512" s="9" t="s">
        <v>2342</v>
      </c>
      <c r="O512" s="10">
        <f>IFERROR(__xludf.DUMMYFUNCTION("VALUE(REGEXEXTRACT(A512, ""\d+""))"),641.0)</f>
        <v>641</v>
      </c>
    </row>
    <row r="513">
      <c r="A513" s="9" t="s">
        <v>2343</v>
      </c>
      <c r="B513" s="9" t="s">
        <v>2344</v>
      </c>
      <c r="D513" s="9" t="s">
        <v>2345</v>
      </c>
      <c r="G513" s="6" t="s">
        <v>2346</v>
      </c>
      <c r="J513" s="9" t="s">
        <v>2347</v>
      </c>
      <c r="O513" s="10">
        <f>IFERROR(__xludf.DUMMYFUNCTION("VALUE(REGEXEXTRACT(A513, ""\d+""))"),642.0)</f>
        <v>642</v>
      </c>
    </row>
    <row r="514">
      <c r="A514" s="9" t="s">
        <v>2348</v>
      </c>
      <c r="B514" s="9" t="s">
        <v>2349</v>
      </c>
      <c r="D514" s="9" t="s">
        <v>2350</v>
      </c>
      <c r="G514" s="6" t="s">
        <v>2351</v>
      </c>
      <c r="J514" s="9" t="s">
        <v>2352</v>
      </c>
      <c r="O514" s="10">
        <f>IFERROR(__xludf.DUMMYFUNCTION("VALUE(REGEXEXTRACT(A514, ""\d+""))"),643.0)</f>
        <v>643</v>
      </c>
    </row>
    <row r="515">
      <c r="A515" s="9" t="s">
        <v>2353</v>
      </c>
      <c r="B515" s="9" t="s">
        <v>2354</v>
      </c>
      <c r="D515" s="9" t="s">
        <v>2355</v>
      </c>
      <c r="G515" s="6" t="s">
        <v>2355</v>
      </c>
      <c r="J515" s="9" t="s">
        <v>2356</v>
      </c>
      <c r="O515" s="10">
        <f>IFERROR(__xludf.DUMMYFUNCTION("VALUE(REGEXEXTRACT(A515, ""\d+""))"),644.0)</f>
        <v>644</v>
      </c>
    </row>
    <row r="516">
      <c r="A516" s="9" t="s">
        <v>2357</v>
      </c>
      <c r="B516" s="9" t="s">
        <v>2358</v>
      </c>
      <c r="D516" s="9" t="s">
        <v>2359</v>
      </c>
      <c r="G516" s="6" t="s">
        <v>2360</v>
      </c>
      <c r="J516" s="9" t="s">
        <v>2361</v>
      </c>
      <c r="O516" s="10">
        <f>IFERROR(__xludf.DUMMYFUNCTION("VALUE(REGEXEXTRACT(A516, ""\d+""))"),645.0)</f>
        <v>645</v>
      </c>
    </row>
    <row r="517">
      <c r="A517" s="9" t="s">
        <v>2362</v>
      </c>
      <c r="B517" s="9" t="s">
        <v>2363</v>
      </c>
      <c r="D517" s="9" t="s">
        <v>2363</v>
      </c>
      <c r="G517" s="6" t="s">
        <v>2363</v>
      </c>
      <c r="J517" s="9" t="s">
        <v>2363</v>
      </c>
      <c r="O517" s="10">
        <f>IFERROR(__xludf.DUMMYFUNCTION("VALUE(REGEXEXTRACT(A517, ""\d+""))"),646.0)</f>
        <v>646</v>
      </c>
    </row>
    <row r="518">
      <c r="A518" s="9" t="s">
        <v>2364</v>
      </c>
      <c r="B518" s="9" t="s">
        <v>2365</v>
      </c>
      <c r="D518" s="9" t="s">
        <v>2366</v>
      </c>
      <c r="G518" s="6" t="s">
        <v>2367</v>
      </c>
      <c r="J518" s="9" t="s">
        <v>2368</v>
      </c>
      <c r="O518" s="10">
        <f>IFERROR(__xludf.DUMMYFUNCTION("VALUE(REGEXEXTRACT(A518, ""\d+""))"),647.0)</f>
        <v>647</v>
      </c>
    </row>
    <row r="519">
      <c r="A519" s="9" t="s">
        <v>2369</v>
      </c>
      <c r="B519" s="9" t="s">
        <v>2370</v>
      </c>
      <c r="D519" s="9" t="s">
        <v>2371</v>
      </c>
      <c r="G519" s="6" t="s">
        <v>2372</v>
      </c>
      <c r="J519" s="9" t="s">
        <v>2373</v>
      </c>
      <c r="O519" s="10">
        <f>IFERROR(__xludf.DUMMYFUNCTION("VALUE(REGEXEXTRACT(A519, ""\d+""))"),648.0)</f>
        <v>648</v>
      </c>
    </row>
    <row r="520">
      <c r="A520" s="9" t="s">
        <v>2374</v>
      </c>
      <c r="B520" s="9" t="s">
        <v>2375</v>
      </c>
      <c r="D520" s="9" t="s">
        <v>2376</v>
      </c>
      <c r="G520" s="6" t="s">
        <v>2377</v>
      </c>
      <c r="J520" s="9" t="s">
        <v>2378</v>
      </c>
      <c r="O520" s="10">
        <f>IFERROR(__xludf.DUMMYFUNCTION("VALUE(REGEXEXTRACT(A520, ""\d+""))"),649.0)</f>
        <v>649</v>
      </c>
    </row>
    <row r="521">
      <c r="A521" s="9" t="s">
        <v>2379</v>
      </c>
      <c r="B521" s="9" t="s">
        <v>2380</v>
      </c>
      <c r="D521" s="9" t="s">
        <v>2381</v>
      </c>
      <c r="G521" s="6" t="s">
        <v>2382</v>
      </c>
      <c r="J521" s="9" t="s">
        <v>2383</v>
      </c>
      <c r="O521" s="10">
        <f>IFERROR(__xludf.DUMMYFUNCTION("VALUE(REGEXEXTRACT(A521, ""\d+""))"),650.0)</f>
        <v>650</v>
      </c>
    </row>
    <row r="522">
      <c r="A522" s="9" t="s">
        <v>2384</v>
      </c>
      <c r="B522" s="9" t="s">
        <v>2385</v>
      </c>
      <c r="D522" s="9" t="s">
        <v>2386</v>
      </c>
      <c r="G522" s="6" t="s">
        <v>2387</v>
      </c>
      <c r="J522" s="9" t="s">
        <v>2388</v>
      </c>
      <c r="O522" s="10">
        <f>IFERROR(__xludf.DUMMYFUNCTION("VALUE(REGEXEXTRACT(A522, ""\d+""))"),653.0)</f>
        <v>653</v>
      </c>
    </row>
    <row r="523">
      <c r="A523" s="9" t="s">
        <v>2389</v>
      </c>
      <c r="B523" s="9" t="s">
        <v>2390</v>
      </c>
      <c r="D523" s="9" t="s">
        <v>2391</v>
      </c>
      <c r="G523" s="6" t="s">
        <v>2391</v>
      </c>
      <c r="J523" s="9" t="s">
        <v>2392</v>
      </c>
      <c r="O523" s="10">
        <f>IFERROR(__xludf.DUMMYFUNCTION("VALUE(REGEXEXTRACT(A523, ""\d+""))"),654.0)</f>
        <v>654</v>
      </c>
    </row>
    <row r="524">
      <c r="A524" s="9" t="s">
        <v>2393</v>
      </c>
      <c r="B524" s="9" t="s">
        <v>2394</v>
      </c>
      <c r="D524" s="9" t="s">
        <v>2395</v>
      </c>
      <c r="G524" s="6" t="s">
        <v>2395</v>
      </c>
      <c r="J524" s="9" t="s">
        <v>2396</v>
      </c>
      <c r="O524" s="10">
        <f>IFERROR(__xludf.DUMMYFUNCTION("VALUE(REGEXEXTRACT(A524, ""\d+""))"),655.0)</f>
        <v>655</v>
      </c>
    </row>
    <row r="525">
      <c r="A525" s="9" t="s">
        <v>2397</v>
      </c>
      <c r="B525" s="9" t="s">
        <v>2398</v>
      </c>
      <c r="D525" s="9" t="s">
        <v>2399</v>
      </c>
      <c r="G525" s="6" t="s">
        <v>2399</v>
      </c>
      <c r="J525" s="9" t="s">
        <v>2400</v>
      </c>
      <c r="O525" s="10">
        <f>IFERROR(__xludf.DUMMYFUNCTION("VALUE(REGEXEXTRACT(A525, ""\d+""))"),656.0)</f>
        <v>656</v>
      </c>
    </row>
    <row r="526">
      <c r="A526" s="9" t="s">
        <v>2401</v>
      </c>
      <c r="B526" s="9" t="s">
        <v>2402</v>
      </c>
      <c r="D526" s="9" t="s">
        <v>2403</v>
      </c>
      <c r="G526" s="6" t="s">
        <v>2404</v>
      </c>
      <c r="J526" s="9" t="s">
        <v>2405</v>
      </c>
      <c r="O526" s="10">
        <f>IFERROR(__xludf.DUMMYFUNCTION("VALUE(REGEXEXTRACT(A526, ""\d+""))"),657.0)</f>
        <v>657</v>
      </c>
    </row>
    <row r="527">
      <c r="A527" s="9" t="s">
        <v>2406</v>
      </c>
      <c r="B527" s="9" t="s">
        <v>2407</v>
      </c>
      <c r="D527" s="9" t="s">
        <v>2408</v>
      </c>
      <c r="G527" s="6" t="s">
        <v>2409</v>
      </c>
      <c r="J527" s="9" t="s">
        <v>2410</v>
      </c>
      <c r="O527" s="10">
        <f>IFERROR(__xludf.DUMMYFUNCTION("VALUE(REGEXEXTRACT(A527, ""\d+""))"),658.0)</f>
        <v>658</v>
      </c>
    </row>
    <row r="528">
      <c r="A528" s="9" t="s">
        <v>2411</v>
      </c>
      <c r="B528" s="9" t="s">
        <v>2412</v>
      </c>
      <c r="D528" s="9" t="s">
        <v>2413</v>
      </c>
      <c r="G528" s="6" t="s">
        <v>2413</v>
      </c>
      <c r="J528" s="9" t="s">
        <v>2414</v>
      </c>
      <c r="O528" s="10">
        <f>IFERROR(__xludf.DUMMYFUNCTION("VALUE(REGEXEXTRACT(A528, ""\d+""))"),659.0)</f>
        <v>659</v>
      </c>
    </row>
    <row r="529">
      <c r="A529" s="9" t="s">
        <v>2415</v>
      </c>
      <c r="B529" s="9" t="s">
        <v>2416</v>
      </c>
      <c r="D529" s="9" t="s">
        <v>2417</v>
      </c>
      <c r="G529" s="6" t="s">
        <v>2417</v>
      </c>
      <c r="J529" s="9" t="s">
        <v>2418</v>
      </c>
      <c r="O529" s="10">
        <f>IFERROR(__xludf.DUMMYFUNCTION("VALUE(REGEXEXTRACT(A529, ""\d+""))"),660.0)</f>
        <v>660</v>
      </c>
    </row>
    <row r="530">
      <c r="A530" s="9" t="s">
        <v>2419</v>
      </c>
      <c r="B530" s="9" t="s">
        <v>2420</v>
      </c>
      <c r="D530" s="9" t="s">
        <v>2421</v>
      </c>
      <c r="G530" s="6" t="s">
        <v>2422</v>
      </c>
      <c r="J530" s="9" t="s">
        <v>2423</v>
      </c>
      <c r="O530" s="10">
        <f>IFERROR(__xludf.DUMMYFUNCTION("VALUE(REGEXEXTRACT(A530, ""\d+""))"),661.0)</f>
        <v>661</v>
      </c>
    </row>
    <row r="531">
      <c r="A531" s="9" t="s">
        <v>2424</v>
      </c>
      <c r="B531" s="9" t="s">
        <v>2425</v>
      </c>
      <c r="D531" s="9" t="s">
        <v>2426</v>
      </c>
      <c r="G531" s="6" t="s">
        <v>2427</v>
      </c>
      <c r="J531" s="9" t="s">
        <v>2428</v>
      </c>
      <c r="O531" s="10">
        <f>IFERROR(__xludf.DUMMYFUNCTION("VALUE(REGEXEXTRACT(A531, ""\d+""))"),662.0)</f>
        <v>662</v>
      </c>
    </row>
    <row r="532">
      <c r="A532" s="9" t="s">
        <v>2429</v>
      </c>
      <c r="B532" s="9" t="s">
        <v>2430</v>
      </c>
      <c r="G532" s="6" t="s">
        <v>2431</v>
      </c>
      <c r="O532" s="10">
        <f>IFERROR(__xludf.DUMMYFUNCTION("VALUE(REGEXEXTRACT(A532, ""\d+""))"),663.0)</f>
        <v>663</v>
      </c>
    </row>
    <row r="533">
      <c r="A533" s="9" t="s">
        <v>2432</v>
      </c>
      <c r="B533" s="9" t="s">
        <v>2433</v>
      </c>
      <c r="D533" s="9" t="s">
        <v>2434</v>
      </c>
      <c r="G533" s="6" t="s">
        <v>2435</v>
      </c>
      <c r="J533" s="9" t="s">
        <v>2436</v>
      </c>
      <c r="O533" s="10">
        <f>IFERROR(__xludf.DUMMYFUNCTION("VALUE(REGEXEXTRACT(A533, ""\d+""))"),664.0)</f>
        <v>664</v>
      </c>
    </row>
    <row r="534">
      <c r="A534" s="9" t="s">
        <v>2437</v>
      </c>
      <c r="B534" s="9" t="s">
        <v>2438</v>
      </c>
      <c r="D534" s="9" t="s">
        <v>2439</v>
      </c>
      <c r="G534" s="6" t="s">
        <v>2440</v>
      </c>
      <c r="J534" s="9" t="s">
        <v>2441</v>
      </c>
      <c r="O534" s="10">
        <f>IFERROR(__xludf.DUMMYFUNCTION("VALUE(REGEXEXTRACT(A534, ""\d+""))"),665.0)</f>
        <v>665</v>
      </c>
    </row>
    <row r="535">
      <c r="A535" s="9" t="s">
        <v>2442</v>
      </c>
      <c r="B535" s="9" t="s">
        <v>2443</v>
      </c>
      <c r="D535" s="9" t="s">
        <v>2444</v>
      </c>
      <c r="G535" s="6" t="s">
        <v>2445</v>
      </c>
      <c r="J535" s="9" t="s">
        <v>2446</v>
      </c>
      <c r="O535" s="10">
        <f>IFERROR(__xludf.DUMMYFUNCTION("VALUE(REGEXEXTRACT(A535, ""\d+""))"),666.0)</f>
        <v>666</v>
      </c>
    </row>
    <row r="536">
      <c r="A536" s="9" t="s">
        <v>2447</v>
      </c>
      <c r="B536" s="9" t="s">
        <v>2448</v>
      </c>
      <c r="D536" s="9" t="s">
        <v>2449</v>
      </c>
      <c r="G536" s="6" t="s">
        <v>2449</v>
      </c>
      <c r="J536" s="9" t="s">
        <v>2450</v>
      </c>
      <c r="O536" s="10">
        <f>IFERROR(__xludf.DUMMYFUNCTION("VALUE(REGEXEXTRACT(A536, ""\d+""))"),667.0)</f>
        <v>667</v>
      </c>
    </row>
    <row r="537">
      <c r="A537" s="9" t="s">
        <v>2451</v>
      </c>
      <c r="B537" s="9" t="s">
        <v>2452</v>
      </c>
      <c r="G537" s="6" t="s">
        <v>2453</v>
      </c>
      <c r="O537" s="10">
        <f>IFERROR(__xludf.DUMMYFUNCTION("VALUE(REGEXEXTRACT(A537, ""\d+""))"),668.0)</f>
        <v>668</v>
      </c>
    </row>
    <row r="538">
      <c r="A538" s="9" t="s">
        <v>2454</v>
      </c>
      <c r="B538" s="9" t="s">
        <v>2455</v>
      </c>
      <c r="D538" s="9" t="s">
        <v>2455</v>
      </c>
      <c r="G538" s="6" t="s">
        <v>2455</v>
      </c>
      <c r="J538" s="9" t="s">
        <v>2455</v>
      </c>
      <c r="O538" s="10">
        <f>IFERROR(__xludf.DUMMYFUNCTION("VALUE(REGEXEXTRACT(A538, ""\d+""))"),669.0)</f>
        <v>669</v>
      </c>
    </row>
    <row r="539">
      <c r="A539" s="9" t="s">
        <v>2456</v>
      </c>
      <c r="B539" s="9" t="s">
        <v>2457</v>
      </c>
      <c r="D539" s="9" t="s">
        <v>2458</v>
      </c>
      <c r="G539" s="6" t="s">
        <v>2458</v>
      </c>
      <c r="J539" s="9" t="s">
        <v>2459</v>
      </c>
      <c r="O539" s="10">
        <f>IFERROR(__xludf.DUMMYFUNCTION("VALUE(REGEXEXTRACT(A539, ""\d+""))"),670.0)</f>
        <v>670</v>
      </c>
    </row>
    <row r="540">
      <c r="A540" s="9" t="s">
        <v>2460</v>
      </c>
      <c r="B540" s="9" t="s">
        <v>2461</v>
      </c>
      <c r="G540" s="6" t="s">
        <v>2462</v>
      </c>
      <c r="O540" s="10">
        <f>IFERROR(__xludf.DUMMYFUNCTION("VALUE(REGEXEXTRACT(A540, ""\d+""))"),671.0)</f>
        <v>671</v>
      </c>
    </row>
    <row r="541">
      <c r="A541" s="9" t="s">
        <v>2463</v>
      </c>
      <c r="B541" s="9" t="s">
        <v>2464</v>
      </c>
      <c r="G541" s="9" t="s">
        <v>2465</v>
      </c>
      <c r="O541" s="10">
        <f>IFERROR(__xludf.DUMMYFUNCTION("VALUE(REGEXEXTRACT(A541, ""\d+""))"),672.0)</f>
        <v>672</v>
      </c>
    </row>
    <row r="542">
      <c r="A542" s="9" t="s">
        <v>2466</v>
      </c>
      <c r="B542" s="9" t="s">
        <v>2467</v>
      </c>
      <c r="D542" s="9" t="s">
        <v>2468</v>
      </c>
      <c r="G542" s="6" t="s">
        <v>2468</v>
      </c>
      <c r="J542" s="9" t="s">
        <v>2469</v>
      </c>
      <c r="O542" s="10">
        <f>IFERROR(__xludf.DUMMYFUNCTION("VALUE(REGEXEXTRACT(A542, ""\d+""))"),673.0)</f>
        <v>673</v>
      </c>
    </row>
    <row r="543">
      <c r="A543" s="9" t="s">
        <v>2470</v>
      </c>
      <c r="B543" s="9" t="s">
        <v>2471</v>
      </c>
      <c r="D543" s="9" t="s">
        <v>2472</v>
      </c>
      <c r="G543" s="6" t="s">
        <v>2472</v>
      </c>
      <c r="J543" s="9" t="s">
        <v>2473</v>
      </c>
      <c r="O543" s="10">
        <f>IFERROR(__xludf.DUMMYFUNCTION("VALUE(REGEXEXTRACT(A543, ""\d+""))"),674.0)</f>
        <v>674</v>
      </c>
    </row>
    <row r="544">
      <c r="A544" s="9" t="s">
        <v>2474</v>
      </c>
      <c r="B544" s="9" t="s">
        <v>2475</v>
      </c>
      <c r="G544" s="6" t="s">
        <v>2476</v>
      </c>
      <c r="O544" s="10">
        <f>IFERROR(__xludf.DUMMYFUNCTION("VALUE(REGEXEXTRACT(A544, ""\d+""))"),675.0)</f>
        <v>675</v>
      </c>
    </row>
    <row r="545">
      <c r="A545" s="9" t="s">
        <v>2477</v>
      </c>
      <c r="B545" s="9" t="s">
        <v>2478</v>
      </c>
      <c r="D545" s="9" t="s">
        <v>2479</v>
      </c>
      <c r="G545" s="6" t="s">
        <v>2479</v>
      </c>
      <c r="J545" s="9" t="s">
        <v>2480</v>
      </c>
      <c r="O545" s="10">
        <f>IFERROR(__xludf.DUMMYFUNCTION("VALUE(REGEXEXTRACT(A545, ""\d+""))"),676.0)</f>
        <v>676</v>
      </c>
    </row>
    <row r="546">
      <c r="A546" s="9" t="s">
        <v>2481</v>
      </c>
      <c r="B546" s="9" t="s">
        <v>2482</v>
      </c>
      <c r="D546" s="9" t="s">
        <v>2483</v>
      </c>
      <c r="G546" s="6" t="s">
        <v>2483</v>
      </c>
      <c r="J546" s="9" t="s">
        <v>2484</v>
      </c>
      <c r="O546" s="10">
        <f>IFERROR(__xludf.DUMMYFUNCTION("VALUE(REGEXEXTRACT(A546, ""\d+""))"),677.0)</f>
        <v>677</v>
      </c>
    </row>
    <row r="547">
      <c r="A547" s="9" t="s">
        <v>2485</v>
      </c>
      <c r="B547" s="9" t="s">
        <v>2486</v>
      </c>
      <c r="D547" s="9" t="s">
        <v>2487</v>
      </c>
      <c r="G547" s="6" t="s">
        <v>2488</v>
      </c>
      <c r="J547" s="9" t="s">
        <v>2489</v>
      </c>
      <c r="O547" s="10">
        <f>IFERROR(__xludf.DUMMYFUNCTION("VALUE(REGEXEXTRACT(A547, ""\d+""))"),678.0)</f>
        <v>678</v>
      </c>
    </row>
    <row r="548">
      <c r="A548" s="9" t="s">
        <v>2490</v>
      </c>
      <c r="B548" s="9" t="s">
        <v>2491</v>
      </c>
      <c r="D548" s="9" t="s">
        <v>2492</v>
      </c>
      <c r="G548" s="6" t="s">
        <v>2493</v>
      </c>
      <c r="J548" s="9" t="s">
        <v>2494</v>
      </c>
      <c r="O548" s="10">
        <f>IFERROR(__xludf.DUMMYFUNCTION("VALUE(REGEXEXTRACT(A548, ""\d+""))"),679.0)</f>
        <v>679</v>
      </c>
    </row>
    <row r="549">
      <c r="A549" s="9" t="s">
        <v>2495</v>
      </c>
      <c r="B549" s="9" t="s">
        <v>2496</v>
      </c>
      <c r="D549" s="9" t="s">
        <v>2497</v>
      </c>
      <c r="G549" s="6" t="s">
        <v>2498</v>
      </c>
      <c r="J549" s="9" t="s">
        <v>2499</v>
      </c>
      <c r="O549" s="10">
        <f>IFERROR(__xludf.DUMMYFUNCTION("VALUE(REGEXEXTRACT(A549, ""\d+""))"),680.0)</f>
        <v>680</v>
      </c>
    </row>
    <row r="550">
      <c r="A550" s="9" t="s">
        <v>2500</v>
      </c>
      <c r="B550" s="9" t="s">
        <v>2501</v>
      </c>
      <c r="D550" s="9" t="s">
        <v>2502</v>
      </c>
      <c r="G550" s="6" t="s">
        <v>2502</v>
      </c>
      <c r="J550" s="9" t="s">
        <v>2501</v>
      </c>
      <c r="O550" s="10">
        <f>IFERROR(__xludf.DUMMYFUNCTION("VALUE(REGEXEXTRACT(A550, ""\d+""))"),681.0)</f>
        <v>681</v>
      </c>
    </row>
    <row r="551">
      <c r="A551" s="9" t="s">
        <v>2503</v>
      </c>
      <c r="B551" s="9" t="s">
        <v>2504</v>
      </c>
      <c r="G551" s="6" t="s">
        <v>2505</v>
      </c>
      <c r="O551" s="10">
        <f>IFERROR(__xludf.DUMMYFUNCTION("VALUE(REGEXEXTRACT(A551, ""\d+""))"),682.0)</f>
        <v>682</v>
      </c>
    </row>
    <row r="552">
      <c r="A552" s="9" t="s">
        <v>2506</v>
      </c>
      <c r="B552" s="9" t="s">
        <v>2507</v>
      </c>
      <c r="G552" s="6" t="s">
        <v>2508</v>
      </c>
      <c r="O552" s="10">
        <f>IFERROR(__xludf.DUMMYFUNCTION("VALUE(REGEXEXTRACT(A552, ""\d+""))"),683.0)</f>
        <v>683</v>
      </c>
    </row>
    <row r="553">
      <c r="A553" s="9" t="s">
        <v>2509</v>
      </c>
      <c r="B553" s="9" t="s">
        <v>2510</v>
      </c>
      <c r="D553" s="9" t="s">
        <v>2511</v>
      </c>
      <c r="G553" s="6" t="s">
        <v>2512</v>
      </c>
      <c r="J553" s="9" t="s">
        <v>2513</v>
      </c>
      <c r="O553" s="10">
        <f>IFERROR(__xludf.DUMMYFUNCTION("VALUE(REGEXEXTRACT(A553, ""\d+""))"),684.0)</f>
        <v>684</v>
      </c>
    </row>
    <row r="554">
      <c r="A554" s="9" t="s">
        <v>2514</v>
      </c>
      <c r="B554" s="9" t="s">
        <v>2515</v>
      </c>
      <c r="D554" s="9" t="s">
        <v>2516</v>
      </c>
      <c r="G554" s="6" t="s">
        <v>2517</v>
      </c>
      <c r="J554" s="9" t="s">
        <v>2518</v>
      </c>
      <c r="O554" s="10">
        <f>IFERROR(__xludf.DUMMYFUNCTION("VALUE(REGEXEXTRACT(A554, ""\d+""))"),685.0)</f>
        <v>685</v>
      </c>
    </row>
    <row r="555">
      <c r="A555" s="9" t="s">
        <v>2519</v>
      </c>
      <c r="B555" s="9" t="s">
        <v>2520</v>
      </c>
      <c r="D555" s="9" t="s">
        <v>2521</v>
      </c>
      <c r="G555" s="6" t="s">
        <v>2521</v>
      </c>
      <c r="J555" s="9" t="s">
        <v>2522</v>
      </c>
      <c r="O555" s="10">
        <f>IFERROR(__xludf.DUMMYFUNCTION("VALUE(REGEXEXTRACT(A555, ""\d+""))"),686.0)</f>
        <v>686</v>
      </c>
    </row>
    <row r="556">
      <c r="A556" s="9" t="s">
        <v>2523</v>
      </c>
      <c r="B556" s="9" t="s">
        <v>2524</v>
      </c>
      <c r="D556" s="9" t="s">
        <v>2525</v>
      </c>
      <c r="G556" s="6" t="s">
        <v>2526</v>
      </c>
      <c r="J556" s="9" t="s">
        <v>2527</v>
      </c>
      <c r="O556" s="10">
        <f>IFERROR(__xludf.DUMMYFUNCTION("VALUE(REGEXEXTRACT(A556, ""\d+""))"),687.0)</f>
        <v>687</v>
      </c>
    </row>
    <row r="557">
      <c r="A557" s="9" t="s">
        <v>2528</v>
      </c>
      <c r="B557" s="9" t="s">
        <v>2529</v>
      </c>
      <c r="D557" s="9" t="s">
        <v>2530</v>
      </c>
      <c r="G557" s="6" t="s">
        <v>2530</v>
      </c>
      <c r="J557" s="9" t="s">
        <v>2531</v>
      </c>
      <c r="O557" s="10">
        <f>IFERROR(__xludf.DUMMYFUNCTION("VALUE(REGEXEXTRACT(A557, ""\d+""))"),688.0)</f>
        <v>688</v>
      </c>
    </row>
    <row r="558">
      <c r="A558" s="9" t="s">
        <v>2532</v>
      </c>
      <c r="B558" s="9" t="s">
        <v>2533</v>
      </c>
      <c r="D558" s="9" t="s">
        <v>2534</v>
      </c>
      <c r="G558" s="6" t="s">
        <v>2535</v>
      </c>
      <c r="J558" s="9" t="s">
        <v>2536</v>
      </c>
      <c r="O558" s="10">
        <f>IFERROR(__xludf.DUMMYFUNCTION("VALUE(REGEXEXTRACT(A558, ""\d+""))"),689.0)</f>
        <v>689</v>
      </c>
    </row>
    <row r="559">
      <c r="A559" s="9" t="s">
        <v>2537</v>
      </c>
      <c r="B559" s="9" t="s">
        <v>2538</v>
      </c>
      <c r="D559" s="9" t="s">
        <v>2539</v>
      </c>
      <c r="G559" s="6" t="s">
        <v>2540</v>
      </c>
      <c r="J559" s="9" t="s">
        <v>2541</v>
      </c>
      <c r="O559" s="10">
        <f>IFERROR(__xludf.DUMMYFUNCTION("VALUE(REGEXEXTRACT(A559, ""\d+""))"),690.0)</f>
        <v>690</v>
      </c>
    </row>
    <row r="560">
      <c r="A560" s="9" t="s">
        <v>2542</v>
      </c>
      <c r="B560" s="9" t="s">
        <v>2543</v>
      </c>
      <c r="D560" s="9" t="s">
        <v>2544</v>
      </c>
      <c r="G560" s="6" t="s">
        <v>2545</v>
      </c>
      <c r="J560" s="9" t="s">
        <v>2546</v>
      </c>
      <c r="O560" s="10">
        <f>IFERROR(__xludf.DUMMYFUNCTION("VALUE(REGEXEXTRACT(A560, ""\d+""))"),691.0)</f>
        <v>691</v>
      </c>
    </row>
    <row r="561">
      <c r="A561" s="9" t="s">
        <v>2547</v>
      </c>
      <c r="B561" s="9" t="s">
        <v>2548</v>
      </c>
      <c r="D561" s="9" t="s">
        <v>2549</v>
      </c>
      <c r="G561" s="6" t="s">
        <v>2550</v>
      </c>
      <c r="J561" s="9" t="s">
        <v>2551</v>
      </c>
      <c r="O561" s="10">
        <f>IFERROR(__xludf.DUMMYFUNCTION("VALUE(REGEXEXTRACT(A561, ""\d+""))"),692.0)</f>
        <v>692</v>
      </c>
    </row>
    <row r="562">
      <c r="A562" s="9" t="s">
        <v>2552</v>
      </c>
      <c r="B562" s="9" t="s">
        <v>2553</v>
      </c>
      <c r="D562" s="9" t="s">
        <v>2554</v>
      </c>
      <c r="G562" s="6" t="s">
        <v>2555</v>
      </c>
      <c r="J562" s="9" t="s">
        <v>2556</v>
      </c>
      <c r="O562" s="10">
        <f>IFERROR(__xludf.DUMMYFUNCTION("VALUE(REGEXEXTRACT(A562, ""\d+""))"),693.0)</f>
        <v>693</v>
      </c>
    </row>
    <row r="563">
      <c r="A563" s="9" t="s">
        <v>2557</v>
      </c>
      <c r="B563" s="9" t="s">
        <v>2558</v>
      </c>
      <c r="D563" s="9" t="s">
        <v>2559</v>
      </c>
      <c r="G563" s="6" t="s">
        <v>2560</v>
      </c>
      <c r="J563" s="9" t="s">
        <v>2561</v>
      </c>
      <c r="O563" s="10">
        <f>IFERROR(__xludf.DUMMYFUNCTION("VALUE(REGEXEXTRACT(A563, ""\d+""))"),694.0)</f>
        <v>694</v>
      </c>
    </row>
    <row r="564">
      <c r="A564" s="9" t="s">
        <v>2562</v>
      </c>
      <c r="B564" s="9" t="s">
        <v>2563</v>
      </c>
      <c r="D564" s="9" t="s">
        <v>2564</v>
      </c>
      <c r="G564" s="6" t="s">
        <v>2564</v>
      </c>
      <c r="J564" s="9" t="s">
        <v>2565</v>
      </c>
      <c r="O564" s="10">
        <f>IFERROR(__xludf.DUMMYFUNCTION("VALUE(REGEXEXTRACT(A564, ""\d+""))"),695.0)</f>
        <v>695</v>
      </c>
    </row>
    <row r="565">
      <c r="A565" s="9" t="s">
        <v>2566</v>
      </c>
      <c r="B565" s="9" t="s">
        <v>2567</v>
      </c>
      <c r="D565" s="9" t="s">
        <v>2567</v>
      </c>
      <c r="G565" s="6" t="s">
        <v>2567</v>
      </c>
      <c r="J565" s="9" t="s">
        <v>2567</v>
      </c>
      <c r="O565" s="10">
        <f>IFERROR(__xludf.DUMMYFUNCTION("VALUE(REGEXEXTRACT(A565, ""\d+""))"),696.0)</f>
        <v>696</v>
      </c>
    </row>
    <row r="566">
      <c r="A566" s="9" t="s">
        <v>2568</v>
      </c>
      <c r="B566" s="9" t="s">
        <v>2569</v>
      </c>
      <c r="D566" s="9" t="s">
        <v>2570</v>
      </c>
      <c r="G566" s="6" t="s">
        <v>2571</v>
      </c>
      <c r="J566" s="9" t="s">
        <v>2572</v>
      </c>
      <c r="O566" s="10">
        <f>IFERROR(__xludf.DUMMYFUNCTION("VALUE(REGEXEXTRACT(A566, ""\d+""))"),697.0)</f>
        <v>697</v>
      </c>
    </row>
    <row r="567">
      <c r="A567" s="9" t="s">
        <v>2573</v>
      </c>
      <c r="B567" s="9" t="s">
        <v>2574</v>
      </c>
      <c r="D567" s="9" t="s">
        <v>2575</v>
      </c>
      <c r="G567" s="6" t="s">
        <v>2576</v>
      </c>
      <c r="J567" s="9" t="s">
        <v>2577</v>
      </c>
      <c r="O567" s="10">
        <f>IFERROR(__xludf.DUMMYFUNCTION("VALUE(REGEXEXTRACT(A567, ""\d+""))"),698.0)</f>
        <v>698</v>
      </c>
    </row>
    <row r="568">
      <c r="A568" s="9" t="s">
        <v>2578</v>
      </c>
      <c r="B568" s="9" t="s">
        <v>2579</v>
      </c>
      <c r="D568" s="9" t="s">
        <v>2580</v>
      </c>
      <c r="G568" s="6" t="s">
        <v>2581</v>
      </c>
      <c r="J568" s="9" t="s">
        <v>2582</v>
      </c>
      <c r="O568" s="10">
        <f>IFERROR(__xludf.DUMMYFUNCTION("VALUE(REGEXEXTRACT(A568, ""\d+""))"),699.0)</f>
        <v>699</v>
      </c>
    </row>
    <row r="569">
      <c r="A569" s="9" t="s">
        <v>2583</v>
      </c>
      <c r="B569" s="9" t="s">
        <v>2584</v>
      </c>
      <c r="D569" s="9" t="s">
        <v>2585</v>
      </c>
      <c r="G569" s="6" t="s">
        <v>2586</v>
      </c>
      <c r="J569" s="9" t="s">
        <v>2587</v>
      </c>
      <c r="O569" s="10">
        <f>IFERROR(__xludf.DUMMYFUNCTION("VALUE(REGEXEXTRACT(A569, ""\d+""))"),700.0)</f>
        <v>700</v>
      </c>
    </row>
    <row r="570">
      <c r="A570" s="9" t="s">
        <v>2588</v>
      </c>
      <c r="B570" s="9" t="s">
        <v>2589</v>
      </c>
      <c r="D570" s="9" t="s">
        <v>2590</v>
      </c>
      <c r="G570" s="6" t="s">
        <v>2591</v>
      </c>
      <c r="J570" s="9" t="s">
        <v>2592</v>
      </c>
      <c r="O570" s="10">
        <f>IFERROR(__xludf.DUMMYFUNCTION("VALUE(REGEXEXTRACT(A570, ""\d+""))"),701.0)</f>
        <v>701</v>
      </c>
    </row>
    <row r="571">
      <c r="A571" s="9" t="s">
        <v>2593</v>
      </c>
      <c r="B571" s="9" t="s">
        <v>2594</v>
      </c>
      <c r="D571" s="9" t="s">
        <v>2595</v>
      </c>
      <c r="G571" s="6" t="s">
        <v>2595</v>
      </c>
      <c r="J571" s="9" t="s">
        <v>2596</v>
      </c>
      <c r="O571" s="10">
        <f>IFERROR(__xludf.DUMMYFUNCTION("VALUE(REGEXEXTRACT(A571, ""\d+""))"),702.0)</f>
        <v>702</v>
      </c>
    </row>
    <row r="572">
      <c r="A572" s="9" t="s">
        <v>2597</v>
      </c>
      <c r="B572" s="9" t="s">
        <v>2598</v>
      </c>
      <c r="D572" s="9" t="s">
        <v>2599</v>
      </c>
      <c r="G572" s="6" t="s">
        <v>2600</v>
      </c>
      <c r="J572" s="9" t="s">
        <v>2601</v>
      </c>
      <c r="O572" s="10">
        <f>IFERROR(__xludf.DUMMYFUNCTION("VALUE(REGEXEXTRACT(A572, ""\d+""))"),703.0)</f>
        <v>703</v>
      </c>
    </row>
    <row r="573">
      <c r="A573" s="9" t="s">
        <v>2602</v>
      </c>
      <c r="B573" s="9" t="s">
        <v>2603</v>
      </c>
      <c r="D573" s="9" t="s">
        <v>2604</v>
      </c>
      <c r="G573" s="6" t="s">
        <v>2605</v>
      </c>
      <c r="J573" s="9" t="s">
        <v>2606</v>
      </c>
      <c r="O573" s="10">
        <f>IFERROR(__xludf.DUMMYFUNCTION("VALUE(REGEXEXTRACT(A573, ""\d+""))"),705.0)</f>
        <v>705</v>
      </c>
    </row>
    <row r="574">
      <c r="A574" s="9" t="s">
        <v>2607</v>
      </c>
      <c r="B574" s="9" t="s">
        <v>2608</v>
      </c>
      <c r="D574" s="9" t="s">
        <v>2609</v>
      </c>
      <c r="G574" s="6" t="s">
        <v>2609</v>
      </c>
      <c r="J574" s="9" t="s">
        <v>2610</v>
      </c>
      <c r="O574" s="10">
        <f>IFERROR(__xludf.DUMMYFUNCTION("VALUE(REGEXEXTRACT(A574, ""\d+""))"),706.0)</f>
        <v>706</v>
      </c>
    </row>
    <row r="575">
      <c r="A575" s="9" t="s">
        <v>2611</v>
      </c>
      <c r="B575" s="9" t="s">
        <v>2612</v>
      </c>
      <c r="D575" s="9" t="s">
        <v>2613</v>
      </c>
      <c r="G575" s="6" t="s">
        <v>2614</v>
      </c>
      <c r="J575" s="9" t="s">
        <v>2615</v>
      </c>
      <c r="O575" s="10">
        <f>IFERROR(__xludf.DUMMYFUNCTION("VALUE(REGEXEXTRACT(A575, ""\d+""))"),707.0)</f>
        <v>707</v>
      </c>
    </row>
    <row r="576">
      <c r="A576" s="9" t="s">
        <v>2616</v>
      </c>
      <c r="B576" s="9" t="s">
        <v>2617</v>
      </c>
      <c r="D576" s="9" t="s">
        <v>2618</v>
      </c>
      <c r="G576" s="6" t="s">
        <v>2619</v>
      </c>
      <c r="J576" s="9" t="s">
        <v>2620</v>
      </c>
      <c r="O576" s="10">
        <f>IFERROR(__xludf.DUMMYFUNCTION("VALUE(REGEXEXTRACT(A576, ""\d+""))"),708.0)</f>
        <v>708</v>
      </c>
    </row>
    <row r="577">
      <c r="A577" s="9" t="s">
        <v>2621</v>
      </c>
      <c r="B577" s="9" t="s">
        <v>2622</v>
      </c>
      <c r="D577" s="9" t="s">
        <v>2623</v>
      </c>
      <c r="G577" s="6" t="s">
        <v>2624</v>
      </c>
      <c r="J577" s="9" t="s">
        <v>2625</v>
      </c>
      <c r="O577" s="10">
        <f>IFERROR(__xludf.DUMMYFUNCTION("VALUE(REGEXEXTRACT(A577, ""\d+""))"),709.0)</f>
        <v>709</v>
      </c>
    </row>
    <row r="578">
      <c r="A578" s="9" t="s">
        <v>2626</v>
      </c>
      <c r="B578" s="9" t="s">
        <v>2627</v>
      </c>
      <c r="D578" s="9" t="s">
        <v>2628</v>
      </c>
      <c r="G578" s="6" t="s">
        <v>2629</v>
      </c>
      <c r="J578" s="9" t="s">
        <v>2630</v>
      </c>
      <c r="O578" s="10">
        <f>IFERROR(__xludf.DUMMYFUNCTION("VALUE(REGEXEXTRACT(A578, ""\d+""))"),710.0)</f>
        <v>710</v>
      </c>
    </row>
    <row r="579">
      <c r="A579" s="9" t="s">
        <v>2631</v>
      </c>
      <c r="B579" s="9" t="s">
        <v>2632</v>
      </c>
      <c r="D579" s="9" t="s">
        <v>2633</v>
      </c>
      <c r="G579" s="6" t="s">
        <v>2633</v>
      </c>
      <c r="J579" s="9" t="s">
        <v>2634</v>
      </c>
      <c r="O579" s="10">
        <f>IFERROR(__xludf.DUMMYFUNCTION("VALUE(REGEXEXTRACT(A579, ""\d+""))"),711.0)</f>
        <v>711</v>
      </c>
    </row>
    <row r="580">
      <c r="A580" s="9" t="s">
        <v>2635</v>
      </c>
      <c r="B580" s="9" t="s">
        <v>2636</v>
      </c>
      <c r="D580" s="9" t="s">
        <v>2637</v>
      </c>
      <c r="G580" s="6" t="s">
        <v>2638</v>
      </c>
      <c r="J580" s="9" t="s">
        <v>2639</v>
      </c>
      <c r="O580" s="10">
        <f>IFERROR(__xludf.DUMMYFUNCTION("VALUE(REGEXEXTRACT(A580, ""\d+""))"),712.0)</f>
        <v>712</v>
      </c>
    </row>
    <row r="581">
      <c r="A581" s="9" t="s">
        <v>2640</v>
      </c>
      <c r="B581" s="9" t="s">
        <v>2641</v>
      </c>
      <c r="D581" s="9" t="s">
        <v>2642</v>
      </c>
      <c r="G581" s="6" t="s">
        <v>2643</v>
      </c>
      <c r="J581" s="9" t="s">
        <v>2644</v>
      </c>
      <c r="O581" s="10">
        <f>IFERROR(__xludf.DUMMYFUNCTION("VALUE(REGEXEXTRACT(A581, ""\d+""))"),713.0)</f>
        <v>713</v>
      </c>
    </row>
    <row r="582">
      <c r="A582" s="9" t="s">
        <v>2645</v>
      </c>
      <c r="B582" s="9" t="s">
        <v>2646</v>
      </c>
      <c r="D582" s="9" t="s">
        <v>2647</v>
      </c>
      <c r="G582" s="6" t="s">
        <v>2647</v>
      </c>
      <c r="J582" s="9" t="s">
        <v>2648</v>
      </c>
      <c r="O582" s="10">
        <f>IFERROR(__xludf.DUMMYFUNCTION("VALUE(REGEXEXTRACT(A582, ""\d+""))"),714.0)</f>
        <v>714</v>
      </c>
    </row>
    <row r="583">
      <c r="A583" s="9" t="s">
        <v>2649</v>
      </c>
      <c r="B583" s="9" t="s">
        <v>2650</v>
      </c>
      <c r="D583" s="9" t="s">
        <v>2651</v>
      </c>
      <c r="G583" s="6" t="s">
        <v>2651</v>
      </c>
      <c r="J583" s="9" t="s">
        <v>2652</v>
      </c>
      <c r="O583" s="10">
        <f>IFERROR(__xludf.DUMMYFUNCTION("VALUE(REGEXEXTRACT(A583, ""\d+""))"),715.0)</f>
        <v>715</v>
      </c>
    </row>
    <row r="584">
      <c r="A584" s="9" t="s">
        <v>2653</v>
      </c>
      <c r="B584" s="9" t="s">
        <v>2654</v>
      </c>
      <c r="D584" s="9" t="s">
        <v>2655</v>
      </c>
      <c r="G584" s="6" t="s">
        <v>2656</v>
      </c>
      <c r="J584" s="9" t="s">
        <v>2657</v>
      </c>
      <c r="O584" s="10">
        <f>IFERROR(__xludf.DUMMYFUNCTION("VALUE(REGEXEXTRACT(A584, ""\d+""))"),716.0)</f>
        <v>716</v>
      </c>
    </row>
    <row r="585">
      <c r="A585" s="9" t="s">
        <v>2658</v>
      </c>
      <c r="B585" s="9" t="s">
        <v>2659</v>
      </c>
      <c r="D585" s="9" t="s">
        <v>2660</v>
      </c>
      <c r="G585" s="6" t="s">
        <v>2661</v>
      </c>
      <c r="J585" s="9" t="s">
        <v>2662</v>
      </c>
      <c r="O585" s="10">
        <f>IFERROR(__xludf.DUMMYFUNCTION("VALUE(REGEXEXTRACT(A585, ""\d+""))"),717.0)</f>
        <v>717</v>
      </c>
    </row>
    <row r="586">
      <c r="A586" s="9" t="s">
        <v>2663</v>
      </c>
      <c r="B586" s="9" t="s">
        <v>2664</v>
      </c>
      <c r="D586" s="9" t="s">
        <v>2665</v>
      </c>
      <c r="G586" s="6" t="s">
        <v>2666</v>
      </c>
      <c r="J586" s="9" t="s">
        <v>2667</v>
      </c>
      <c r="O586" s="10">
        <f>IFERROR(__xludf.DUMMYFUNCTION("VALUE(REGEXEXTRACT(A586, ""\d+""))"),718.0)</f>
        <v>718</v>
      </c>
    </row>
    <row r="587">
      <c r="A587" s="9" t="s">
        <v>2668</v>
      </c>
      <c r="B587" s="9" t="s">
        <v>2669</v>
      </c>
      <c r="D587" s="9" t="s">
        <v>2670</v>
      </c>
      <c r="G587" s="6" t="s">
        <v>2670</v>
      </c>
      <c r="J587" s="9" t="s">
        <v>2671</v>
      </c>
      <c r="O587" s="10">
        <f>IFERROR(__xludf.DUMMYFUNCTION("VALUE(REGEXEXTRACT(A587, ""\d+""))"),719.0)</f>
        <v>719</v>
      </c>
    </row>
    <row r="588">
      <c r="A588" s="9" t="s">
        <v>2672</v>
      </c>
      <c r="B588" s="9" t="s">
        <v>2673</v>
      </c>
      <c r="D588" s="9" t="s">
        <v>2674</v>
      </c>
      <c r="G588" s="6" t="s">
        <v>2674</v>
      </c>
      <c r="J588" s="9" t="s">
        <v>2675</v>
      </c>
      <c r="O588" s="10">
        <f>IFERROR(__xludf.DUMMYFUNCTION("VALUE(REGEXEXTRACT(A588, ""\d+""))"),720.0)</f>
        <v>720</v>
      </c>
    </row>
    <row r="589">
      <c r="A589" s="9" t="s">
        <v>2676</v>
      </c>
      <c r="B589" s="9" t="s">
        <v>2677</v>
      </c>
      <c r="D589" s="9" t="s">
        <v>2678</v>
      </c>
      <c r="G589" s="6" t="s">
        <v>2678</v>
      </c>
      <c r="J589" s="9" t="s">
        <v>2679</v>
      </c>
      <c r="O589" s="10">
        <f>IFERROR(__xludf.DUMMYFUNCTION("VALUE(REGEXEXTRACT(A589, ""\d+""))"),721.0)</f>
        <v>721</v>
      </c>
    </row>
    <row r="590">
      <c r="A590" s="9" t="s">
        <v>2680</v>
      </c>
      <c r="B590" s="9" t="s">
        <v>2681</v>
      </c>
      <c r="D590" s="9" t="s">
        <v>2681</v>
      </c>
      <c r="G590" s="6" t="s">
        <v>2681</v>
      </c>
      <c r="J590" s="9" t="s">
        <v>2681</v>
      </c>
      <c r="O590" s="10">
        <f>IFERROR(__xludf.DUMMYFUNCTION("VALUE(REGEXEXTRACT(A590, ""\d+""))"),722.0)</f>
        <v>722</v>
      </c>
    </row>
    <row r="591">
      <c r="A591" s="9" t="s">
        <v>2682</v>
      </c>
      <c r="B591" s="9" t="s">
        <v>2683</v>
      </c>
      <c r="D591" s="9" t="s">
        <v>2683</v>
      </c>
      <c r="G591" s="6" t="s">
        <v>2683</v>
      </c>
      <c r="J591" s="9" t="s">
        <v>2683</v>
      </c>
      <c r="O591" s="10">
        <f>IFERROR(__xludf.DUMMYFUNCTION("VALUE(REGEXEXTRACT(A591, ""\d+""))"),723.0)</f>
        <v>723</v>
      </c>
    </row>
    <row r="592">
      <c r="A592" s="9" t="s">
        <v>2684</v>
      </c>
      <c r="B592" s="9" t="s">
        <v>2685</v>
      </c>
      <c r="D592" s="9" t="s">
        <v>2686</v>
      </c>
      <c r="G592" s="6" t="s">
        <v>2687</v>
      </c>
      <c r="J592" s="9" t="s">
        <v>2688</v>
      </c>
      <c r="O592" s="10">
        <f>IFERROR(__xludf.DUMMYFUNCTION("VALUE(REGEXEXTRACT(A592, ""\d+""))"),724.0)</f>
        <v>724</v>
      </c>
    </row>
    <row r="593">
      <c r="A593" s="9" t="s">
        <v>2689</v>
      </c>
      <c r="B593" s="9" t="s">
        <v>2690</v>
      </c>
      <c r="D593" s="9" t="s">
        <v>2691</v>
      </c>
      <c r="G593" s="6" t="s">
        <v>2692</v>
      </c>
      <c r="J593" s="9" t="s">
        <v>2693</v>
      </c>
      <c r="O593" s="10">
        <f>IFERROR(__xludf.DUMMYFUNCTION("VALUE(REGEXEXTRACT(A593, ""\d+""))"),725.0)</f>
        <v>725</v>
      </c>
    </row>
    <row r="594">
      <c r="A594" s="9" t="s">
        <v>2694</v>
      </c>
      <c r="B594" s="9" t="s">
        <v>2695</v>
      </c>
      <c r="D594" s="9" t="s">
        <v>2696</v>
      </c>
      <c r="G594" s="6" t="s">
        <v>2697</v>
      </c>
      <c r="J594" s="9" t="s">
        <v>2698</v>
      </c>
      <c r="O594" s="10">
        <f>IFERROR(__xludf.DUMMYFUNCTION("VALUE(REGEXEXTRACT(A594, ""\d+""))"),726.0)</f>
        <v>726</v>
      </c>
    </row>
    <row r="595">
      <c r="A595" s="9" t="s">
        <v>2699</v>
      </c>
      <c r="B595" s="9" t="s">
        <v>2700</v>
      </c>
      <c r="D595" s="9" t="s">
        <v>2701</v>
      </c>
      <c r="G595" s="6" t="s">
        <v>2702</v>
      </c>
      <c r="J595" s="9" t="s">
        <v>2703</v>
      </c>
      <c r="O595" s="10">
        <f>IFERROR(__xludf.DUMMYFUNCTION("VALUE(REGEXEXTRACT(A595, ""\d+""))"),729.0)</f>
        <v>729</v>
      </c>
    </row>
    <row r="596">
      <c r="A596" s="9" t="s">
        <v>2704</v>
      </c>
      <c r="B596" s="9" t="s">
        <v>2705</v>
      </c>
      <c r="D596" s="9" t="s">
        <v>2706</v>
      </c>
      <c r="G596" s="6" t="s">
        <v>2706</v>
      </c>
      <c r="J596" s="9" t="s">
        <v>2707</v>
      </c>
      <c r="O596" s="10">
        <f>IFERROR(__xludf.DUMMYFUNCTION("VALUE(REGEXEXTRACT(A596, ""\d+""))"),730.0)</f>
        <v>730</v>
      </c>
    </row>
    <row r="597">
      <c r="A597" s="9" t="s">
        <v>2708</v>
      </c>
      <c r="B597" s="9" t="s">
        <v>2709</v>
      </c>
      <c r="D597" s="9" t="s">
        <v>2710</v>
      </c>
      <c r="G597" s="6" t="s">
        <v>2711</v>
      </c>
      <c r="J597" s="9" t="s">
        <v>2712</v>
      </c>
      <c r="O597" s="10">
        <f>IFERROR(__xludf.DUMMYFUNCTION("VALUE(REGEXEXTRACT(A597, ""\d+""))"),731.0)</f>
        <v>731</v>
      </c>
    </row>
    <row r="598">
      <c r="A598" s="9" t="s">
        <v>2713</v>
      </c>
      <c r="B598" s="9" t="s">
        <v>2714</v>
      </c>
      <c r="D598" s="9" t="s">
        <v>2715</v>
      </c>
      <c r="G598" s="6" t="s">
        <v>2716</v>
      </c>
      <c r="J598" s="9" t="s">
        <v>2717</v>
      </c>
      <c r="O598" s="10">
        <f>IFERROR(__xludf.DUMMYFUNCTION("VALUE(REGEXEXTRACT(A598, ""\d+""))"),732.0)</f>
        <v>732</v>
      </c>
    </row>
    <row r="599">
      <c r="A599" s="9" t="s">
        <v>2718</v>
      </c>
      <c r="B599" s="9" t="s">
        <v>2719</v>
      </c>
      <c r="D599" s="9" t="s">
        <v>2720</v>
      </c>
      <c r="G599" s="6" t="s">
        <v>2721</v>
      </c>
      <c r="J599" s="9" t="s">
        <v>2722</v>
      </c>
      <c r="O599" s="10">
        <f>IFERROR(__xludf.DUMMYFUNCTION("VALUE(REGEXEXTRACT(A599, ""\d+""))"),733.0)</f>
        <v>733</v>
      </c>
    </row>
    <row r="600">
      <c r="A600" s="9" t="s">
        <v>2723</v>
      </c>
      <c r="B600" s="9" t="s">
        <v>2724</v>
      </c>
      <c r="D600" s="9" t="s">
        <v>2725</v>
      </c>
      <c r="G600" s="6" t="s">
        <v>2726</v>
      </c>
      <c r="J600" s="9" t="s">
        <v>2727</v>
      </c>
      <c r="O600" s="10">
        <f>IFERROR(__xludf.DUMMYFUNCTION("VALUE(REGEXEXTRACT(A600, ""\d+""))"),734.0)</f>
        <v>734</v>
      </c>
    </row>
    <row r="601">
      <c r="A601" s="9" t="s">
        <v>2728</v>
      </c>
      <c r="B601" s="9" t="s">
        <v>2729</v>
      </c>
      <c r="D601" s="9" t="s">
        <v>2729</v>
      </c>
      <c r="G601" s="6" t="s">
        <v>2729</v>
      </c>
      <c r="J601" s="9" t="s">
        <v>2729</v>
      </c>
      <c r="O601" s="10">
        <f>IFERROR(__xludf.DUMMYFUNCTION("VALUE(REGEXEXTRACT(A601, ""\d+""))"),735.0)</f>
        <v>735</v>
      </c>
    </row>
    <row r="602">
      <c r="A602" s="9" t="s">
        <v>2730</v>
      </c>
      <c r="B602" s="9" t="s">
        <v>2731</v>
      </c>
      <c r="D602" s="9" t="s">
        <v>2732</v>
      </c>
      <c r="G602" s="6" t="s">
        <v>2733</v>
      </c>
      <c r="J602" s="9" t="s">
        <v>2734</v>
      </c>
      <c r="O602" s="10">
        <f>IFERROR(__xludf.DUMMYFUNCTION("VALUE(REGEXEXTRACT(A602, ""\d+""))"),736.0)</f>
        <v>736</v>
      </c>
    </row>
    <row r="603">
      <c r="A603" s="9" t="s">
        <v>2735</v>
      </c>
      <c r="B603" s="9" t="s">
        <v>2736</v>
      </c>
      <c r="D603" s="9" t="s">
        <v>2737</v>
      </c>
      <c r="G603" s="6" t="s">
        <v>2738</v>
      </c>
      <c r="J603" s="9" t="s">
        <v>2739</v>
      </c>
      <c r="O603" s="10">
        <f>IFERROR(__xludf.DUMMYFUNCTION("VALUE(REGEXEXTRACT(A603, ""\d+""))"),737.0)</f>
        <v>737</v>
      </c>
    </row>
    <row r="604">
      <c r="A604" s="9" t="s">
        <v>2740</v>
      </c>
      <c r="B604" s="9" t="s">
        <v>2741</v>
      </c>
      <c r="D604" s="9" t="s">
        <v>2742</v>
      </c>
      <c r="G604" s="6" t="s">
        <v>2743</v>
      </c>
      <c r="J604" s="9" t="s">
        <v>2744</v>
      </c>
      <c r="O604" s="10">
        <f>IFERROR(__xludf.DUMMYFUNCTION("VALUE(REGEXEXTRACT(A604, ""\d+""))"),738.0)</f>
        <v>738</v>
      </c>
    </row>
    <row r="605">
      <c r="A605" s="9" t="s">
        <v>2745</v>
      </c>
      <c r="B605" s="9" t="s">
        <v>2746</v>
      </c>
      <c r="D605" s="9" t="s">
        <v>2747</v>
      </c>
      <c r="G605" s="6" t="s">
        <v>2748</v>
      </c>
      <c r="J605" s="9" t="s">
        <v>2746</v>
      </c>
      <c r="O605" s="10">
        <f>IFERROR(__xludf.DUMMYFUNCTION("VALUE(REGEXEXTRACT(A605, ""\d+""))"),739.0)</f>
        <v>739</v>
      </c>
    </row>
    <row r="606">
      <c r="A606" s="9" t="s">
        <v>2749</v>
      </c>
      <c r="B606" s="9" t="s">
        <v>2750</v>
      </c>
      <c r="D606" s="9" t="s">
        <v>2751</v>
      </c>
      <c r="G606" s="6" t="s">
        <v>2752</v>
      </c>
      <c r="J606" s="9" t="s">
        <v>2753</v>
      </c>
      <c r="O606" s="10">
        <f>IFERROR(__xludf.DUMMYFUNCTION("VALUE(REGEXEXTRACT(A606, ""\d+""))"),740.0)</f>
        <v>740</v>
      </c>
    </row>
    <row r="607">
      <c r="A607" s="9" t="s">
        <v>2754</v>
      </c>
      <c r="B607" s="9" t="s">
        <v>2755</v>
      </c>
      <c r="D607" s="9" t="s">
        <v>2756</v>
      </c>
      <c r="G607" s="6" t="s">
        <v>2757</v>
      </c>
      <c r="J607" s="9" t="s">
        <v>2758</v>
      </c>
      <c r="O607" s="10">
        <f>IFERROR(__xludf.DUMMYFUNCTION("VALUE(REGEXEXTRACT(A607, ""\d+""))"),741.0)</f>
        <v>741</v>
      </c>
    </row>
    <row r="608">
      <c r="A608" s="9" t="s">
        <v>2759</v>
      </c>
      <c r="B608" s="9" t="s">
        <v>2760</v>
      </c>
      <c r="D608" s="9" t="s">
        <v>2761</v>
      </c>
      <c r="G608" s="6" t="s">
        <v>2762</v>
      </c>
      <c r="J608" s="9" t="s">
        <v>2763</v>
      </c>
      <c r="O608" s="10">
        <f>IFERROR(__xludf.DUMMYFUNCTION("VALUE(REGEXEXTRACT(A608, ""\d+""))"),742.0)</f>
        <v>742</v>
      </c>
    </row>
    <row r="609">
      <c r="A609" s="9" t="s">
        <v>2764</v>
      </c>
      <c r="B609" s="9" t="s">
        <v>2765</v>
      </c>
      <c r="D609" s="9" t="s">
        <v>2766</v>
      </c>
      <c r="G609" s="6" t="s">
        <v>2767</v>
      </c>
      <c r="J609" s="9" t="s">
        <v>2768</v>
      </c>
      <c r="O609" s="10">
        <f>IFERROR(__xludf.DUMMYFUNCTION("VALUE(REGEXEXTRACT(A609, ""\d+""))"),749.0)</f>
        <v>749</v>
      </c>
    </row>
    <row r="610">
      <c r="A610" s="9" t="s">
        <v>2769</v>
      </c>
      <c r="B610" s="9" t="s">
        <v>2770</v>
      </c>
      <c r="G610" s="6" t="s">
        <v>2771</v>
      </c>
      <c r="O610" s="10">
        <f>IFERROR(__xludf.DUMMYFUNCTION("VALUE(REGEXEXTRACT(A610, ""\d+""))"),750.0)</f>
        <v>750</v>
      </c>
    </row>
    <row r="611">
      <c r="A611" s="9" t="s">
        <v>2772</v>
      </c>
      <c r="B611" s="9" t="s">
        <v>2773</v>
      </c>
      <c r="D611" s="9" t="s">
        <v>2774</v>
      </c>
      <c r="G611" s="6" t="s">
        <v>2775</v>
      </c>
      <c r="J611" s="9" t="s">
        <v>2776</v>
      </c>
      <c r="O611" s="10">
        <f>IFERROR(__xludf.DUMMYFUNCTION("VALUE(REGEXEXTRACT(A611, ""\d+""))"),752.0)</f>
        <v>752</v>
      </c>
    </row>
    <row r="612">
      <c r="A612" s="9" t="s">
        <v>2777</v>
      </c>
      <c r="B612" s="9" t="s">
        <v>2778</v>
      </c>
      <c r="D612" s="9" t="s">
        <v>2779</v>
      </c>
      <c r="G612" s="6" t="s">
        <v>2780</v>
      </c>
      <c r="J612" s="9" t="s">
        <v>2781</v>
      </c>
      <c r="O612" s="10">
        <f>IFERROR(__xludf.DUMMYFUNCTION("VALUE(REGEXEXTRACT(A612, ""\d+""))"),753.0)</f>
        <v>753</v>
      </c>
    </row>
    <row r="613">
      <c r="A613" s="9" t="s">
        <v>2782</v>
      </c>
      <c r="B613" s="9" t="s">
        <v>2783</v>
      </c>
      <c r="G613" s="9" t="s">
        <v>2784</v>
      </c>
      <c r="O613" s="10">
        <f>IFERROR(__xludf.DUMMYFUNCTION("VALUE(REGEXEXTRACT(A613, ""\d+""))"),754.0)</f>
        <v>754</v>
      </c>
    </row>
    <row r="614">
      <c r="A614" s="9" t="s">
        <v>2785</v>
      </c>
      <c r="B614" s="9" t="s">
        <v>2786</v>
      </c>
      <c r="G614" s="9" t="s">
        <v>2787</v>
      </c>
      <c r="O614" s="10">
        <f>IFERROR(__xludf.DUMMYFUNCTION("VALUE(REGEXEXTRACT(A614, ""\d+""))"),755.0)</f>
        <v>755</v>
      </c>
    </row>
    <row r="615">
      <c r="A615" s="9" t="s">
        <v>2788</v>
      </c>
      <c r="B615" s="9" t="s">
        <v>2783</v>
      </c>
      <c r="G615" s="9" t="s">
        <v>2784</v>
      </c>
      <c r="O615" s="10">
        <f>IFERROR(__xludf.DUMMYFUNCTION("VALUE(REGEXEXTRACT(A615, ""\d+""))"),756.0)</f>
        <v>756</v>
      </c>
    </row>
    <row r="616">
      <c r="A616" s="9" t="s">
        <v>2789</v>
      </c>
      <c r="B616" s="9" t="s">
        <v>2783</v>
      </c>
      <c r="G616" s="9" t="s">
        <v>2784</v>
      </c>
      <c r="O616" s="10">
        <f>IFERROR(__xludf.DUMMYFUNCTION("VALUE(REGEXEXTRACT(A616, ""\d+""))"),757.0)</f>
        <v>757</v>
      </c>
    </row>
    <row r="617">
      <c r="A617" s="9" t="s">
        <v>2790</v>
      </c>
      <c r="B617" s="9" t="s">
        <v>2786</v>
      </c>
      <c r="G617" s="9" t="s">
        <v>2787</v>
      </c>
      <c r="O617" s="10">
        <f>IFERROR(__xludf.DUMMYFUNCTION("VALUE(REGEXEXTRACT(A617, ""\d+""))"),758.0)</f>
        <v>758</v>
      </c>
    </row>
    <row r="618">
      <c r="A618" s="9" t="s">
        <v>2791</v>
      </c>
      <c r="B618" s="9" t="s">
        <v>2786</v>
      </c>
      <c r="G618" s="9" t="s">
        <v>2787</v>
      </c>
      <c r="O618" s="10">
        <f>IFERROR(__xludf.DUMMYFUNCTION("VALUE(REGEXEXTRACT(A618, ""\d+""))"),759.0)</f>
        <v>759</v>
      </c>
    </row>
    <row r="619">
      <c r="A619" s="9" t="s">
        <v>2792</v>
      </c>
      <c r="B619" s="9" t="s">
        <v>2793</v>
      </c>
      <c r="D619" s="9" t="s">
        <v>2794</v>
      </c>
      <c r="G619" s="6" t="s">
        <v>2795</v>
      </c>
      <c r="J619" s="9" t="s">
        <v>2796</v>
      </c>
      <c r="O619" s="10">
        <f>IFERROR(__xludf.DUMMYFUNCTION("VALUE(REGEXEXTRACT(A619, ""\d+""))"),760.0)</f>
        <v>760</v>
      </c>
    </row>
    <row r="620">
      <c r="A620" s="9" t="s">
        <v>2797</v>
      </c>
      <c r="B620" s="9" t="s">
        <v>2798</v>
      </c>
      <c r="D620" s="9" t="s">
        <v>2799</v>
      </c>
      <c r="G620" s="6" t="s">
        <v>2799</v>
      </c>
      <c r="J620" s="9" t="s">
        <v>2800</v>
      </c>
      <c r="O620" s="10">
        <f>IFERROR(__xludf.DUMMYFUNCTION("VALUE(REGEXEXTRACT(A620, ""\d+""))"),761.0)</f>
        <v>761</v>
      </c>
    </row>
    <row r="621">
      <c r="A621" s="9" t="s">
        <v>2801</v>
      </c>
      <c r="B621" s="9" t="s">
        <v>2802</v>
      </c>
      <c r="D621" s="9" t="s">
        <v>2803</v>
      </c>
      <c r="G621" s="6" t="s">
        <v>2804</v>
      </c>
      <c r="J621" s="9" t="s">
        <v>2805</v>
      </c>
      <c r="O621" s="10">
        <f>IFERROR(__xludf.DUMMYFUNCTION("VALUE(REGEXEXTRACT(A621, ""\d+""))"),762.0)</f>
        <v>762</v>
      </c>
    </row>
    <row r="622">
      <c r="A622" s="9" t="s">
        <v>2806</v>
      </c>
      <c r="B622" s="9" t="s">
        <v>2807</v>
      </c>
      <c r="D622" s="9" t="s">
        <v>2808</v>
      </c>
      <c r="G622" s="6" t="s">
        <v>2809</v>
      </c>
      <c r="J622" s="9" t="s">
        <v>2810</v>
      </c>
      <c r="O622" s="10">
        <f>IFERROR(__xludf.DUMMYFUNCTION("VALUE(REGEXEXTRACT(A622, ""\d+""))"),763.0)</f>
        <v>763</v>
      </c>
    </row>
    <row r="623">
      <c r="A623" s="9" t="s">
        <v>2811</v>
      </c>
      <c r="B623" s="9" t="s">
        <v>2812</v>
      </c>
      <c r="D623" s="9" t="s">
        <v>2813</v>
      </c>
      <c r="G623" s="6" t="s">
        <v>2814</v>
      </c>
      <c r="J623" s="9" t="s">
        <v>2815</v>
      </c>
      <c r="O623" s="10">
        <f>IFERROR(__xludf.DUMMYFUNCTION("VALUE(REGEXEXTRACT(A623, ""\d+""))"),764.0)</f>
        <v>764</v>
      </c>
    </row>
    <row r="624">
      <c r="A624" s="9" t="s">
        <v>2816</v>
      </c>
      <c r="B624" s="9" t="s">
        <v>2817</v>
      </c>
      <c r="D624" s="9" t="s">
        <v>2818</v>
      </c>
      <c r="G624" s="6" t="s">
        <v>2818</v>
      </c>
      <c r="J624" s="9" t="s">
        <v>2819</v>
      </c>
      <c r="O624" s="10">
        <f>IFERROR(__xludf.DUMMYFUNCTION("VALUE(REGEXEXTRACT(A624, ""\d+""))"),765.0)</f>
        <v>765</v>
      </c>
    </row>
    <row r="625">
      <c r="A625" s="9" t="s">
        <v>2820</v>
      </c>
      <c r="B625" s="9" t="s">
        <v>2821</v>
      </c>
      <c r="D625" s="9" t="s">
        <v>2822</v>
      </c>
      <c r="G625" s="6" t="s">
        <v>2822</v>
      </c>
      <c r="J625" s="9" t="s">
        <v>2823</v>
      </c>
      <c r="O625" s="10">
        <f>IFERROR(__xludf.DUMMYFUNCTION("VALUE(REGEXEXTRACT(A625, ""\d+""))"),766.0)</f>
        <v>766</v>
      </c>
    </row>
    <row r="626">
      <c r="A626" s="9" t="s">
        <v>2824</v>
      </c>
      <c r="B626" s="9" t="s">
        <v>2825</v>
      </c>
      <c r="G626" s="6" t="s">
        <v>2826</v>
      </c>
      <c r="O626" s="10">
        <f>IFERROR(__xludf.DUMMYFUNCTION("VALUE(REGEXEXTRACT(A626, ""\d+""))"),767.0)</f>
        <v>767</v>
      </c>
    </row>
    <row r="627">
      <c r="A627" s="9" t="s">
        <v>2827</v>
      </c>
      <c r="B627" s="9" t="s">
        <v>2828</v>
      </c>
      <c r="D627" s="9" t="s">
        <v>2829</v>
      </c>
      <c r="G627" s="6" t="s">
        <v>2829</v>
      </c>
      <c r="J627" s="9" t="s">
        <v>2830</v>
      </c>
      <c r="O627" s="10">
        <f>IFERROR(__xludf.DUMMYFUNCTION("VALUE(REGEXEXTRACT(A627, ""\d+""))"),768.0)</f>
        <v>768</v>
      </c>
    </row>
    <row r="628">
      <c r="A628" s="9" t="s">
        <v>2831</v>
      </c>
      <c r="B628" s="9" t="s">
        <v>2832</v>
      </c>
      <c r="G628" s="6" t="s">
        <v>2833</v>
      </c>
      <c r="O628" s="10">
        <f>IFERROR(__xludf.DUMMYFUNCTION("VALUE(REGEXEXTRACT(A628, ""\d+""))"),769.0)</f>
        <v>769</v>
      </c>
    </row>
    <row r="629">
      <c r="A629" s="9" t="s">
        <v>2834</v>
      </c>
      <c r="B629" s="9" t="s">
        <v>2835</v>
      </c>
      <c r="G629" s="6" t="s">
        <v>2836</v>
      </c>
      <c r="O629" s="10">
        <f>IFERROR(__xludf.DUMMYFUNCTION("VALUE(REGEXEXTRACT(A629, ""\d+""))"),770.0)</f>
        <v>770</v>
      </c>
    </row>
    <row r="630">
      <c r="A630" s="9" t="s">
        <v>2837</v>
      </c>
      <c r="B630" s="9" t="s">
        <v>2838</v>
      </c>
      <c r="G630" s="6" t="s">
        <v>2839</v>
      </c>
      <c r="O630" s="10">
        <f>IFERROR(__xludf.DUMMYFUNCTION("VALUE(REGEXEXTRACT(A630, ""\d+""))"),771.0)</f>
        <v>771</v>
      </c>
    </row>
    <row r="631">
      <c r="A631" s="9" t="s">
        <v>2840</v>
      </c>
      <c r="B631" s="9" t="s">
        <v>2841</v>
      </c>
      <c r="G631" s="6" t="s">
        <v>2842</v>
      </c>
      <c r="J631" s="9" t="s">
        <v>2843</v>
      </c>
      <c r="O631" s="10">
        <f>IFERROR(__xludf.DUMMYFUNCTION("VALUE(REGEXEXTRACT(A631, ""\d+""))"),772.0)</f>
        <v>772</v>
      </c>
    </row>
    <row r="632">
      <c r="A632" s="9" t="s">
        <v>2844</v>
      </c>
      <c r="B632" s="9" t="s">
        <v>2845</v>
      </c>
      <c r="G632" s="6" t="s">
        <v>2846</v>
      </c>
      <c r="O632" s="10">
        <f>IFERROR(__xludf.DUMMYFUNCTION("VALUE(REGEXEXTRACT(A632, ""\d+""))"),773.0)</f>
        <v>773</v>
      </c>
    </row>
    <row r="633">
      <c r="A633" s="9" t="s">
        <v>2847</v>
      </c>
      <c r="B633" s="9" t="s">
        <v>2848</v>
      </c>
      <c r="G633" s="6" t="s">
        <v>2849</v>
      </c>
      <c r="J633" s="9" t="s">
        <v>2850</v>
      </c>
      <c r="O633" s="10">
        <f>IFERROR(__xludf.DUMMYFUNCTION("VALUE(REGEXEXTRACT(A633, ""\d+""))"),774.0)</f>
        <v>774</v>
      </c>
    </row>
    <row r="634">
      <c r="A634" s="9" t="s">
        <v>2851</v>
      </c>
      <c r="B634" s="9" t="s">
        <v>2852</v>
      </c>
      <c r="G634" s="6" t="s">
        <v>2853</v>
      </c>
      <c r="J634" s="9" t="s">
        <v>2854</v>
      </c>
      <c r="O634" s="10">
        <f>IFERROR(__xludf.DUMMYFUNCTION("VALUE(REGEXEXTRACT(A634, ""\d+""))"),775.0)</f>
        <v>775</v>
      </c>
    </row>
    <row r="635">
      <c r="A635" s="9" t="s">
        <v>2855</v>
      </c>
      <c r="B635" s="9" t="s">
        <v>2856</v>
      </c>
      <c r="D635" s="9" t="s">
        <v>2857</v>
      </c>
      <c r="G635" s="6" t="s">
        <v>2858</v>
      </c>
      <c r="J635" s="9" t="s">
        <v>2859</v>
      </c>
      <c r="O635" s="10">
        <f>IFERROR(__xludf.DUMMYFUNCTION("VALUE(REGEXEXTRACT(A635, ""\d+""))"),776.0)</f>
        <v>776</v>
      </c>
    </row>
    <row r="636">
      <c r="A636" s="9" t="s">
        <v>2860</v>
      </c>
      <c r="B636" s="9" t="s">
        <v>2861</v>
      </c>
      <c r="G636" s="6" t="s">
        <v>2862</v>
      </c>
      <c r="O636" s="10">
        <f>IFERROR(__xludf.DUMMYFUNCTION("VALUE(REGEXEXTRACT(A636, ""\d+""))"),778.0)</f>
        <v>778</v>
      </c>
    </row>
    <row r="637">
      <c r="A637" s="9" t="s">
        <v>2863</v>
      </c>
      <c r="B637" s="9" t="s">
        <v>2864</v>
      </c>
      <c r="G637" s="6" t="s">
        <v>2865</v>
      </c>
      <c r="J637" s="9" t="s">
        <v>2866</v>
      </c>
      <c r="O637" s="10">
        <f>IFERROR(__xludf.DUMMYFUNCTION("VALUE(REGEXEXTRACT(A637, ""\d+""))"),779.0)</f>
        <v>779</v>
      </c>
    </row>
    <row r="638">
      <c r="A638" s="9" t="s">
        <v>2867</v>
      </c>
      <c r="B638" s="9" t="s">
        <v>2868</v>
      </c>
      <c r="G638" s="6" t="s">
        <v>2869</v>
      </c>
      <c r="J638" s="9" t="s">
        <v>2870</v>
      </c>
      <c r="O638" s="10">
        <f>IFERROR(__xludf.DUMMYFUNCTION("VALUE(REGEXEXTRACT(A638, ""\d+""))"),780.0)</f>
        <v>780</v>
      </c>
    </row>
    <row r="639">
      <c r="A639" s="9" t="s">
        <v>2871</v>
      </c>
      <c r="B639" s="9" t="s">
        <v>2872</v>
      </c>
      <c r="D639" s="9" t="s">
        <v>2873</v>
      </c>
      <c r="G639" s="6" t="s">
        <v>2874</v>
      </c>
      <c r="J639" s="9" t="s">
        <v>2875</v>
      </c>
      <c r="O639" s="10">
        <f>IFERROR(__xludf.DUMMYFUNCTION("VALUE(REGEXEXTRACT(A639, ""\d+""))"),782.0)</f>
        <v>782</v>
      </c>
    </row>
    <row r="640">
      <c r="A640" s="9" t="s">
        <v>2876</v>
      </c>
      <c r="B640" s="9" t="s">
        <v>2877</v>
      </c>
      <c r="D640" s="9" t="s">
        <v>2877</v>
      </c>
      <c r="G640" s="6" t="s">
        <v>2877</v>
      </c>
      <c r="J640" s="9" t="s">
        <v>2877</v>
      </c>
      <c r="O640" s="10">
        <f>IFERROR(__xludf.DUMMYFUNCTION("VALUE(REGEXEXTRACT(A640, ""\d+""))"),783.0)</f>
        <v>783</v>
      </c>
    </row>
    <row r="641">
      <c r="A641" s="9" t="s">
        <v>2878</v>
      </c>
      <c r="B641" s="9" t="s">
        <v>2879</v>
      </c>
      <c r="D641" s="9" t="s">
        <v>2880</v>
      </c>
      <c r="G641" s="6" t="s">
        <v>2881</v>
      </c>
      <c r="J641" s="9" t="s">
        <v>2882</v>
      </c>
      <c r="O641" s="10">
        <f>IFERROR(__xludf.DUMMYFUNCTION("VALUE(REGEXEXTRACT(A641, ""\d+""))"),784.0)</f>
        <v>784</v>
      </c>
    </row>
    <row r="642">
      <c r="A642" s="9" t="s">
        <v>2883</v>
      </c>
      <c r="B642" s="9" t="s">
        <v>2884</v>
      </c>
      <c r="D642" s="9" t="s">
        <v>2884</v>
      </c>
      <c r="G642" s="6" t="s">
        <v>2884</v>
      </c>
      <c r="J642" s="9" t="s">
        <v>2884</v>
      </c>
      <c r="O642" s="10">
        <f>IFERROR(__xludf.DUMMYFUNCTION("VALUE(REGEXEXTRACT(A642, ""\d+""))"),785.0)</f>
        <v>785</v>
      </c>
    </row>
    <row r="643">
      <c r="A643" s="9" t="s">
        <v>2885</v>
      </c>
      <c r="B643" s="9" t="s">
        <v>2886</v>
      </c>
      <c r="D643" s="9" t="s">
        <v>2887</v>
      </c>
      <c r="G643" s="6" t="s">
        <v>2888</v>
      </c>
      <c r="J643" s="9" t="s">
        <v>2889</v>
      </c>
      <c r="O643" s="10">
        <f>IFERROR(__xludf.DUMMYFUNCTION("VALUE(REGEXEXTRACT(A643, ""\d+""))"),787.0)</f>
        <v>787</v>
      </c>
    </row>
    <row r="644">
      <c r="A644" s="9" t="s">
        <v>2890</v>
      </c>
      <c r="B644" s="9" t="s">
        <v>2891</v>
      </c>
      <c r="D644" s="9" t="s">
        <v>2892</v>
      </c>
      <c r="G644" s="6" t="s">
        <v>2893</v>
      </c>
      <c r="J644" s="9" t="s">
        <v>2894</v>
      </c>
      <c r="O644" s="10">
        <f>IFERROR(__xludf.DUMMYFUNCTION("VALUE(REGEXEXTRACT(A644, ""\d+""))"),788.0)</f>
        <v>788</v>
      </c>
    </row>
    <row r="645">
      <c r="A645" s="9" t="s">
        <v>2895</v>
      </c>
      <c r="B645" s="9" t="s">
        <v>2896</v>
      </c>
      <c r="D645" s="9" t="s">
        <v>2897</v>
      </c>
      <c r="G645" s="6" t="s">
        <v>2898</v>
      </c>
      <c r="J645" s="9" t="s">
        <v>2899</v>
      </c>
      <c r="O645" s="10">
        <f>IFERROR(__xludf.DUMMYFUNCTION("VALUE(REGEXEXTRACT(A645, ""\d+""))"),789.0)</f>
        <v>789</v>
      </c>
    </row>
    <row r="646">
      <c r="A646" s="9" t="s">
        <v>2900</v>
      </c>
      <c r="B646" s="9" t="s">
        <v>2901</v>
      </c>
      <c r="D646" s="9" t="s">
        <v>2902</v>
      </c>
      <c r="G646" s="6" t="s">
        <v>2902</v>
      </c>
      <c r="J646" s="9" t="s">
        <v>2903</v>
      </c>
      <c r="O646" s="10">
        <f>IFERROR(__xludf.DUMMYFUNCTION("VALUE(REGEXEXTRACT(A646, ""\d+""))"),790.0)</f>
        <v>790</v>
      </c>
    </row>
    <row r="647">
      <c r="A647" s="9" t="s">
        <v>2904</v>
      </c>
      <c r="B647" s="9" t="s">
        <v>2905</v>
      </c>
      <c r="D647" s="9" t="s">
        <v>2906</v>
      </c>
      <c r="G647" s="6" t="s">
        <v>2906</v>
      </c>
      <c r="J647" s="9" t="s">
        <v>2907</v>
      </c>
      <c r="O647" s="10">
        <f>IFERROR(__xludf.DUMMYFUNCTION("VALUE(REGEXEXTRACT(A647, ""\d+""))"),791.0)</f>
        <v>791</v>
      </c>
    </row>
    <row r="648">
      <c r="A648" s="9" t="s">
        <v>2908</v>
      </c>
      <c r="B648" s="9" t="s">
        <v>2909</v>
      </c>
      <c r="D648" s="9" t="s">
        <v>2910</v>
      </c>
      <c r="G648" s="6" t="s">
        <v>2911</v>
      </c>
      <c r="J648" s="9" t="s">
        <v>2912</v>
      </c>
      <c r="O648" s="10">
        <f>IFERROR(__xludf.DUMMYFUNCTION("VALUE(REGEXEXTRACT(A648, ""\d+""))"),792.0)</f>
        <v>792</v>
      </c>
    </row>
    <row r="649">
      <c r="A649" s="9" t="s">
        <v>2913</v>
      </c>
      <c r="B649" s="9" t="s">
        <v>2914</v>
      </c>
      <c r="D649" s="9" t="s">
        <v>2915</v>
      </c>
      <c r="G649" s="6" t="s">
        <v>2916</v>
      </c>
      <c r="J649" s="9" t="s">
        <v>2917</v>
      </c>
      <c r="O649" s="10">
        <f>IFERROR(__xludf.DUMMYFUNCTION("VALUE(REGEXEXTRACT(A649, ""\d+""))"),793.0)</f>
        <v>793</v>
      </c>
    </row>
    <row r="650">
      <c r="A650" s="9" t="s">
        <v>2918</v>
      </c>
      <c r="B650" s="9" t="s">
        <v>2919</v>
      </c>
      <c r="D650" s="9" t="s">
        <v>2920</v>
      </c>
      <c r="G650" s="6" t="s">
        <v>2921</v>
      </c>
      <c r="J650" s="9" t="s">
        <v>2922</v>
      </c>
      <c r="O650" s="10">
        <f>IFERROR(__xludf.DUMMYFUNCTION("VALUE(REGEXEXTRACT(A650, ""\d+""))"),794.0)</f>
        <v>794</v>
      </c>
    </row>
    <row r="651">
      <c r="A651" s="9" t="s">
        <v>2923</v>
      </c>
      <c r="B651" s="9" t="s">
        <v>2924</v>
      </c>
      <c r="D651" s="9" t="s">
        <v>2925</v>
      </c>
      <c r="G651" s="6" t="s">
        <v>2926</v>
      </c>
      <c r="J651" s="9" t="s">
        <v>2927</v>
      </c>
      <c r="O651" s="10">
        <f>IFERROR(__xludf.DUMMYFUNCTION("VALUE(REGEXEXTRACT(A651, ""\d+""))"),795.0)</f>
        <v>795</v>
      </c>
    </row>
    <row r="652">
      <c r="A652" s="9" t="s">
        <v>2928</v>
      </c>
      <c r="B652" s="9" t="s">
        <v>2919</v>
      </c>
      <c r="D652" s="9" t="s">
        <v>2929</v>
      </c>
      <c r="G652" s="6" t="s">
        <v>2921</v>
      </c>
      <c r="J652" s="9" t="s">
        <v>2930</v>
      </c>
      <c r="O652" s="10">
        <f>IFERROR(__xludf.DUMMYFUNCTION("VALUE(REGEXEXTRACT(A652, ""\d+""))"),796.0)</f>
        <v>796</v>
      </c>
    </row>
    <row r="653">
      <c r="A653" s="9" t="s">
        <v>2931</v>
      </c>
      <c r="B653" s="9" t="s">
        <v>2932</v>
      </c>
      <c r="D653" s="9" t="s">
        <v>2933</v>
      </c>
      <c r="G653" s="6" t="s">
        <v>2934</v>
      </c>
      <c r="J653" s="9" t="s">
        <v>2935</v>
      </c>
      <c r="O653" s="10">
        <f>IFERROR(__xludf.DUMMYFUNCTION("VALUE(REGEXEXTRACT(A653, ""\d+""))"),797.0)</f>
        <v>797</v>
      </c>
    </row>
    <row r="654">
      <c r="A654" s="9" t="s">
        <v>2936</v>
      </c>
      <c r="B654" s="9" t="s">
        <v>2937</v>
      </c>
      <c r="D654" s="9" t="s">
        <v>2938</v>
      </c>
      <c r="G654" s="6" t="s">
        <v>2939</v>
      </c>
      <c r="J654" s="9" t="s">
        <v>2940</v>
      </c>
      <c r="O654" s="10">
        <f>IFERROR(__xludf.DUMMYFUNCTION("VALUE(REGEXEXTRACT(A654, ""\d+""))"),798.0)</f>
        <v>798</v>
      </c>
    </row>
    <row r="655">
      <c r="A655" s="9" t="s">
        <v>2941</v>
      </c>
      <c r="B655" s="9" t="s">
        <v>2942</v>
      </c>
      <c r="D655" s="9" t="s">
        <v>2943</v>
      </c>
      <c r="G655" s="6" t="s">
        <v>2944</v>
      </c>
      <c r="J655" s="9" t="s">
        <v>2945</v>
      </c>
      <c r="O655" s="10">
        <f>IFERROR(__xludf.DUMMYFUNCTION("VALUE(REGEXEXTRACT(A655, ""\d+""))"),799.0)</f>
        <v>799</v>
      </c>
    </row>
    <row r="656">
      <c r="A656" s="9" t="s">
        <v>2946</v>
      </c>
      <c r="B656" s="9" t="s">
        <v>2947</v>
      </c>
      <c r="G656" s="9" t="s">
        <v>2948</v>
      </c>
      <c r="O656" s="10">
        <f>IFERROR(__xludf.DUMMYFUNCTION("VALUE(REGEXEXTRACT(A656, ""\d+""))"),800.0)</f>
        <v>800</v>
      </c>
    </row>
    <row r="657">
      <c r="A657" s="9" t="s">
        <v>2949</v>
      </c>
      <c r="B657" s="9" t="s">
        <v>2950</v>
      </c>
      <c r="D657" s="9" t="s">
        <v>2951</v>
      </c>
      <c r="G657" s="6" t="s">
        <v>2952</v>
      </c>
      <c r="J657" s="9" t="s">
        <v>2953</v>
      </c>
      <c r="O657" s="10">
        <f>IFERROR(__xludf.DUMMYFUNCTION("VALUE(REGEXEXTRACT(A657, ""\d+""))"),801.0)</f>
        <v>801</v>
      </c>
    </row>
    <row r="658">
      <c r="A658" s="9" t="s">
        <v>2954</v>
      </c>
      <c r="B658" s="9" t="s">
        <v>2955</v>
      </c>
      <c r="D658" s="9" t="s">
        <v>2956</v>
      </c>
      <c r="G658" s="6" t="s">
        <v>2957</v>
      </c>
      <c r="J658" s="9" t="s">
        <v>2958</v>
      </c>
      <c r="O658" s="10">
        <f>IFERROR(__xludf.DUMMYFUNCTION("VALUE(REGEXEXTRACT(A658, ""\d+""))"),802.0)</f>
        <v>802</v>
      </c>
    </row>
    <row r="659">
      <c r="A659" s="9" t="s">
        <v>2959</v>
      </c>
      <c r="B659" s="9" t="s">
        <v>2960</v>
      </c>
      <c r="D659" s="9" t="s">
        <v>2961</v>
      </c>
      <c r="G659" s="6" t="s">
        <v>2962</v>
      </c>
      <c r="J659" s="9" t="s">
        <v>2963</v>
      </c>
      <c r="O659" s="10">
        <f>IFERROR(__xludf.DUMMYFUNCTION("VALUE(REGEXEXTRACT(A659, ""\d+""))"),803.0)</f>
        <v>803</v>
      </c>
    </row>
    <row r="660">
      <c r="A660" s="9" t="s">
        <v>2964</v>
      </c>
      <c r="B660" s="9" t="s">
        <v>2965</v>
      </c>
      <c r="D660" s="9" t="s">
        <v>2966</v>
      </c>
      <c r="G660" s="6" t="s">
        <v>2967</v>
      </c>
      <c r="J660" s="9" t="s">
        <v>2968</v>
      </c>
      <c r="O660" s="10">
        <f>IFERROR(__xludf.DUMMYFUNCTION("VALUE(REGEXEXTRACT(A660, ""\d+""))"),804.0)</f>
        <v>804</v>
      </c>
    </row>
    <row r="661">
      <c r="A661" s="9" t="s">
        <v>2969</v>
      </c>
      <c r="B661" s="9" t="s">
        <v>2970</v>
      </c>
      <c r="D661" s="9" t="s">
        <v>2971</v>
      </c>
      <c r="G661" s="6" t="s">
        <v>2972</v>
      </c>
      <c r="J661" s="9" t="s">
        <v>2973</v>
      </c>
      <c r="O661" s="10">
        <f>IFERROR(__xludf.DUMMYFUNCTION("VALUE(REGEXEXTRACT(A661, ""\d+""))"),805.0)</f>
        <v>805</v>
      </c>
    </row>
    <row r="662">
      <c r="A662" s="9" t="s">
        <v>2974</v>
      </c>
      <c r="B662" s="9" t="s">
        <v>2975</v>
      </c>
      <c r="D662" s="9" t="s">
        <v>2976</v>
      </c>
      <c r="G662" s="6" t="s">
        <v>2976</v>
      </c>
      <c r="J662" s="9" t="s">
        <v>2977</v>
      </c>
      <c r="O662" s="10">
        <f>IFERROR(__xludf.DUMMYFUNCTION("VALUE(REGEXEXTRACT(A662, ""\d+""))"),806.0)</f>
        <v>806</v>
      </c>
    </row>
    <row r="663">
      <c r="A663" s="9" t="s">
        <v>2978</v>
      </c>
      <c r="B663" s="9" t="s">
        <v>2979</v>
      </c>
      <c r="D663" s="9" t="s">
        <v>2980</v>
      </c>
      <c r="G663" s="6" t="s">
        <v>2967</v>
      </c>
      <c r="J663" s="9" t="s">
        <v>2981</v>
      </c>
      <c r="O663" s="10">
        <f>IFERROR(__xludf.DUMMYFUNCTION("VALUE(REGEXEXTRACT(A663, ""\d+""))"),807.0)</f>
        <v>807</v>
      </c>
    </row>
    <row r="664">
      <c r="A664" s="9" t="s">
        <v>2982</v>
      </c>
      <c r="B664" s="9" t="s">
        <v>2970</v>
      </c>
      <c r="D664" s="9" t="s">
        <v>2971</v>
      </c>
      <c r="G664" s="6" t="s">
        <v>2972</v>
      </c>
      <c r="J664" s="9" t="s">
        <v>2973</v>
      </c>
      <c r="O664" s="10">
        <f>IFERROR(__xludf.DUMMYFUNCTION("VALUE(REGEXEXTRACT(A664, ""\d+""))"),808.0)</f>
        <v>808</v>
      </c>
    </row>
    <row r="665">
      <c r="A665" s="9" t="s">
        <v>2983</v>
      </c>
      <c r="B665" s="9" t="s">
        <v>2984</v>
      </c>
      <c r="D665" s="9" t="s">
        <v>2985</v>
      </c>
      <c r="G665" s="6" t="s">
        <v>2986</v>
      </c>
      <c r="J665" s="9" t="s">
        <v>2987</v>
      </c>
      <c r="O665" s="10">
        <f>IFERROR(__xludf.DUMMYFUNCTION("VALUE(REGEXEXTRACT(A665, ""\d+""))"),809.0)</f>
        <v>809</v>
      </c>
    </row>
    <row r="666">
      <c r="A666" s="9" t="s">
        <v>2988</v>
      </c>
      <c r="B666" s="9" t="s">
        <v>2989</v>
      </c>
      <c r="D666" s="9" t="s">
        <v>2990</v>
      </c>
      <c r="G666" s="6" t="s">
        <v>2991</v>
      </c>
      <c r="J666" s="9" t="s">
        <v>2992</v>
      </c>
      <c r="O666" s="10">
        <f>IFERROR(__xludf.DUMMYFUNCTION("VALUE(REGEXEXTRACT(A666, ""\d+""))"),810.0)</f>
        <v>810</v>
      </c>
    </row>
    <row r="667">
      <c r="A667" s="9" t="s">
        <v>2993</v>
      </c>
      <c r="B667" s="9" t="s">
        <v>2994</v>
      </c>
      <c r="D667" s="9" t="s">
        <v>2995</v>
      </c>
      <c r="G667" s="6" t="s">
        <v>2996</v>
      </c>
      <c r="J667" s="9" t="s">
        <v>2997</v>
      </c>
      <c r="O667" s="10">
        <f>IFERROR(__xludf.DUMMYFUNCTION("VALUE(REGEXEXTRACT(A667, ""\d+""))"),811.0)</f>
        <v>811</v>
      </c>
    </row>
    <row r="668">
      <c r="A668" s="9" t="s">
        <v>2998</v>
      </c>
      <c r="B668" s="9" t="s">
        <v>2999</v>
      </c>
      <c r="D668" s="9" t="s">
        <v>3000</v>
      </c>
      <c r="G668" s="6" t="s">
        <v>3001</v>
      </c>
      <c r="J668" s="9" t="s">
        <v>3002</v>
      </c>
      <c r="O668" s="10">
        <f>IFERROR(__xludf.DUMMYFUNCTION("VALUE(REGEXEXTRACT(A668, ""\d+""))"),812.0)</f>
        <v>812</v>
      </c>
    </row>
    <row r="669">
      <c r="A669" s="9" t="s">
        <v>3003</v>
      </c>
      <c r="B669" s="9" t="s">
        <v>3004</v>
      </c>
      <c r="D669" s="9" t="s">
        <v>3005</v>
      </c>
      <c r="G669" s="6" t="s">
        <v>3006</v>
      </c>
      <c r="J669" s="9" t="s">
        <v>3007</v>
      </c>
      <c r="O669" s="10">
        <f>IFERROR(__xludf.DUMMYFUNCTION("VALUE(REGEXEXTRACT(A669, ""\d+""))"),813.0)</f>
        <v>813</v>
      </c>
    </row>
    <row r="670">
      <c r="A670" s="9" t="s">
        <v>3008</v>
      </c>
      <c r="B670" s="9" t="s">
        <v>3009</v>
      </c>
      <c r="D670" s="9" t="s">
        <v>3010</v>
      </c>
      <c r="G670" s="6" t="s">
        <v>3011</v>
      </c>
      <c r="J670" s="9" t="s">
        <v>3012</v>
      </c>
      <c r="O670" s="10">
        <f>IFERROR(__xludf.DUMMYFUNCTION("VALUE(REGEXEXTRACT(A670, ""\d+""))"),814.0)</f>
        <v>814</v>
      </c>
    </row>
    <row r="671">
      <c r="A671" s="9" t="s">
        <v>3013</v>
      </c>
      <c r="B671" s="9" t="s">
        <v>3014</v>
      </c>
      <c r="D671" s="9" t="s">
        <v>3015</v>
      </c>
      <c r="G671" s="6" t="s">
        <v>3016</v>
      </c>
      <c r="J671" s="9" t="s">
        <v>3017</v>
      </c>
      <c r="O671" s="10">
        <f>IFERROR(__xludf.DUMMYFUNCTION("VALUE(REGEXEXTRACT(A671, ""\d+""))"),815.0)</f>
        <v>815</v>
      </c>
    </row>
    <row r="672">
      <c r="A672" s="9" t="s">
        <v>3018</v>
      </c>
      <c r="B672" s="9" t="s">
        <v>3019</v>
      </c>
      <c r="D672" s="9" t="s">
        <v>3020</v>
      </c>
      <c r="G672" s="6" t="s">
        <v>3021</v>
      </c>
      <c r="J672" s="9" t="s">
        <v>3022</v>
      </c>
      <c r="O672" s="10">
        <f>IFERROR(__xludf.DUMMYFUNCTION("VALUE(REGEXEXTRACT(A672, ""\d+""))"),816.0)</f>
        <v>816</v>
      </c>
    </row>
    <row r="673">
      <c r="A673" s="9" t="s">
        <v>3023</v>
      </c>
      <c r="B673" s="9" t="s">
        <v>3024</v>
      </c>
      <c r="D673" s="9" t="s">
        <v>3025</v>
      </c>
      <c r="G673" s="6" t="s">
        <v>3026</v>
      </c>
      <c r="J673" s="9" t="s">
        <v>3027</v>
      </c>
      <c r="O673" s="10">
        <f>IFERROR(__xludf.DUMMYFUNCTION("VALUE(REGEXEXTRACT(A673, ""\d+""))"),818.0)</f>
        <v>818</v>
      </c>
    </row>
    <row r="674">
      <c r="A674" s="9" t="s">
        <v>3028</v>
      </c>
      <c r="B674" s="9" t="s">
        <v>3029</v>
      </c>
      <c r="D674" s="9" t="s">
        <v>3030</v>
      </c>
      <c r="G674" s="6" t="s">
        <v>3031</v>
      </c>
      <c r="J674" s="9" t="s">
        <v>3032</v>
      </c>
      <c r="O674" s="10">
        <f>IFERROR(__xludf.DUMMYFUNCTION("VALUE(REGEXEXTRACT(A674, ""\d+""))"),819.0)</f>
        <v>819</v>
      </c>
    </row>
    <row r="675">
      <c r="A675" s="9" t="s">
        <v>3033</v>
      </c>
      <c r="B675" s="9" t="s">
        <v>3034</v>
      </c>
      <c r="D675" s="9" t="s">
        <v>3035</v>
      </c>
      <c r="G675" s="6" t="s">
        <v>3036</v>
      </c>
      <c r="J675" s="9" t="s">
        <v>3037</v>
      </c>
      <c r="O675" s="10">
        <f>IFERROR(__xludf.DUMMYFUNCTION("VALUE(REGEXEXTRACT(A675, ""\d+""))"),820.0)</f>
        <v>820</v>
      </c>
    </row>
    <row r="676">
      <c r="A676" s="9" t="s">
        <v>3038</v>
      </c>
      <c r="B676" s="9" t="s">
        <v>3039</v>
      </c>
      <c r="D676" s="9" t="s">
        <v>3040</v>
      </c>
      <c r="G676" s="6" t="s">
        <v>3041</v>
      </c>
      <c r="J676" s="9" t="s">
        <v>3042</v>
      </c>
      <c r="O676" s="10">
        <f>IFERROR(__xludf.DUMMYFUNCTION("VALUE(REGEXEXTRACT(A676, ""\d+""))"),822.0)</f>
        <v>822</v>
      </c>
    </row>
    <row r="677">
      <c r="A677" s="9" t="s">
        <v>3043</v>
      </c>
      <c r="B677" s="9" t="s">
        <v>3044</v>
      </c>
      <c r="D677" s="9" t="s">
        <v>3045</v>
      </c>
      <c r="G677" s="6" t="s">
        <v>3046</v>
      </c>
      <c r="J677" s="9" t="s">
        <v>3047</v>
      </c>
      <c r="O677" s="10">
        <f>IFERROR(__xludf.DUMMYFUNCTION("VALUE(REGEXEXTRACT(A677, ""\d+""))"),823.0)</f>
        <v>823</v>
      </c>
    </row>
    <row r="678">
      <c r="A678" s="9" t="s">
        <v>3048</v>
      </c>
      <c r="B678" s="9" t="s">
        <v>3049</v>
      </c>
      <c r="D678" s="9" t="s">
        <v>3050</v>
      </c>
      <c r="G678" s="6" t="s">
        <v>3051</v>
      </c>
      <c r="J678" s="9" t="s">
        <v>3052</v>
      </c>
      <c r="O678" s="10">
        <f>IFERROR(__xludf.DUMMYFUNCTION("VALUE(REGEXEXTRACT(A678, ""\d+""))"),824.0)</f>
        <v>824</v>
      </c>
    </row>
    <row r="679">
      <c r="A679" s="9" t="s">
        <v>3053</v>
      </c>
      <c r="B679" s="9" t="s">
        <v>3054</v>
      </c>
      <c r="D679" s="9" t="s">
        <v>3055</v>
      </c>
      <c r="G679" s="6" t="s">
        <v>3056</v>
      </c>
      <c r="J679" s="9" t="s">
        <v>3057</v>
      </c>
      <c r="O679" s="10">
        <f>IFERROR(__xludf.DUMMYFUNCTION("VALUE(REGEXEXTRACT(A679, ""\d+""))"),825.0)</f>
        <v>825</v>
      </c>
    </row>
    <row r="680">
      <c r="A680" s="9" t="s">
        <v>3058</v>
      </c>
      <c r="B680" s="9" t="s">
        <v>3059</v>
      </c>
      <c r="D680" s="9" t="s">
        <v>3060</v>
      </c>
      <c r="G680" s="6" t="s">
        <v>3061</v>
      </c>
      <c r="J680" s="9" t="s">
        <v>3062</v>
      </c>
      <c r="O680" s="10">
        <f>IFERROR(__xludf.DUMMYFUNCTION("VALUE(REGEXEXTRACT(A680, ""\d+""))"),826.0)</f>
        <v>826</v>
      </c>
    </row>
    <row r="681">
      <c r="A681" s="9" t="s">
        <v>3063</v>
      </c>
      <c r="B681" s="9" t="s">
        <v>3064</v>
      </c>
      <c r="D681" s="9" t="s">
        <v>3065</v>
      </c>
      <c r="G681" s="6" t="s">
        <v>3066</v>
      </c>
      <c r="J681" s="9" t="s">
        <v>3067</v>
      </c>
      <c r="O681" s="10">
        <f>IFERROR(__xludf.DUMMYFUNCTION("VALUE(REGEXEXTRACT(A681, ""\d+""))"),827.0)</f>
        <v>827</v>
      </c>
    </row>
    <row r="682">
      <c r="A682" s="9" t="s">
        <v>3068</v>
      </c>
      <c r="B682" s="9" t="s">
        <v>3069</v>
      </c>
      <c r="D682" s="9" t="s">
        <v>3070</v>
      </c>
      <c r="G682" s="6" t="s">
        <v>3071</v>
      </c>
      <c r="J682" s="9" t="s">
        <v>3072</v>
      </c>
      <c r="O682" s="10">
        <f>IFERROR(__xludf.DUMMYFUNCTION("VALUE(REGEXEXTRACT(A682, ""\d+""))"),828.0)</f>
        <v>828</v>
      </c>
    </row>
    <row r="683">
      <c r="A683" s="9" t="s">
        <v>3073</v>
      </c>
      <c r="B683" s="9" t="s">
        <v>3074</v>
      </c>
      <c r="D683" s="9" t="s">
        <v>3075</v>
      </c>
      <c r="G683" s="6" t="s">
        <v>3076</v>
      </c>
      <c r="J683" s="9" t="s">
        <v>3077</v>
      </c>
      <c r="O683" s="10">
        <f>IFERROR(__xludf.DUMMYFUNCTION("VALUE(REGEXEXTRACT(A683, ""\d+""))"),829.0)</f>
        <v>829</v>
      </c>
    </row>
    <row r="684">
      <c r="A684" s="9" t="s">
        <v>3078</v>
      </c>
      <c r="B684" s="9" t="s">
        <v>3079</v>
      </c>
      <c r="D684" s="9" t="s">
        <v>3080</v>
      </c>
      <c r="G684" s="6" t="s">
        <v>3081</v>
      </c>
      <c r="J684" s="9" t="s">
        <v>3082</v>
      </c>
      <c r="O684" s="10">
        <f>IFERROR(__xludf.DUMMYFUNCTION("VALUE(REGEXEXTRACT(A684, ""\d+""))"),830.0)</f>
        <v>830</v>
      </c>
    </row>
    <row r="685">
      <c r="A685" s="9" t="s">
        <v>3083</v>
      </c>
      <c r="B685" s="9" t="s">
        <v>3084</v>
      </c>
      <c r="D685" s="9" t="s">
        <v>3085</v>
      </c>
      <c r="G685" s="6" t="s">
        <v>3086</v>
      </c>
      <c r="J685" s="9" t="s">
        <v>3087</v>
      </c>
      <c r="O685" s="10">
        <f>IFERROR(__xludf.DUMMYFUNCTION("VALUE(REGEXEXTRACT(A685, ""\d+""))"),831.0)</f>
        <v>831</v>
      </c>
    </row>
    <row r="686">
      <c r="A686" s="9" t="s">
        <v>3088</v>
      </c>
      <c r="B686" s="9" t="s">
        <v>3089</v>
      </c>
      <c r="D686" s="9" t="s">
        <v>3090</v>
      </c>
      <c r="G686" s="6" t="s">
        <v>3091</v>
      </c>
      <c r="J686" s="9" t="s">
        <v>3092</v>
      </c>
      <c r="O686" s="10">
        <f>IFERROR(__xludf.DUMMYFUNCTION("VALUE(REGEXEXTRACT(A686, ""\d+""))"),832.0)</f>
        <v>832</v>
      </c>
    </row>
    <row r="687">
      <c r="A687" s="9" t="s">
        <v>3093</v>
      </c>
      <c r="B687" s="9" t="s">
        <v>3094</v>
      </c>
      <c r="D687" s="9" t="s">
        <v>3095</v>
      </c>
      <c r="G687" s="6" t="s">
        <v>3096</v>
      </c>
      <c r="J687" s="9" t="s">
        <v>3097</v>
      </c>
      <c r="O687" s="10">
        <f>IFERROR(__xludf.DUMMYFUNCTION("VALUE(REGEXEXTRACT(A687, ""\d+""))"),833.0)</f>
        <v>833</v>
      </c>
    </row>
    <row r="688">
      <c r="A688" s="9" t="s">
        <v>3098</v>
      </c>
      <c r="B688" s="9" t="s">
        <v>3099</v>
      </c>
      <c r="D688" s="9" t="s">
        <v>3100</v>
      </c>
      <c r="G688" s="6" t="s">
        <v>3101</v>
      </c>
      <c r="J688" s="9" t="s">
        <v>3102</v>
      </c>
      <c r="O688" s="10">
        <f>IFERROR(__xludf.DUMMYFUNCTION("VALUE(REGEXEXTRACT(A688, ""\d+""))"),834.0)</f>
        <v>834</v>
      </c>
    </row>
    <row r="689">
      <c r="A689" s="9" t="s">
        <v>3103</v>
      </c>
      <c r="B689" s="9" t="s">
        <v>3104</v>
      </c>
      <c r="D689" s="9" t="s">
        <v>3105</v>
      </c>
      <c r="G689" s="6" t="s">
        <v>3106</v>
      </c>
      <c r="J689" s="9" t="s">
        <v>3107</v>
      </c>
      <c r="O689" s="10">
        <f>IFERROR(__xludf.DUMMYFUNCTION("VALUE(REGEXEXTRACT(A689, ""\d+""))"),835.0)</f>
        <v>835</v>
      </c>
    </row>
    <row r="690">
      <c r="A690" s="9" t="s">
        <v>3108</v>
      </c>
      <c r="B690" s="9" t="s">
        <v>3109</v>
      </c>
      <c r="D690" s="9" t="s">
        <v>3110</v>
      </c>
      <c r="G690" s="6" t="s">
        <v>3111</v>
      </c>
      <c r="J690" s="9" t="s">
        <v>3112</v>
      </c>
      <c r="O690" s="10">
        <f>IFERROR(__xludf.DUMMYFUNCTION("VALUE(REGEXEXTRACT(A690, ""\d+""))"),836.0)</f>
        <v>836</v>
      </c>
    </row>
    <row r="691">
      <c r="A691" s="9" t="s">
        <v>3113</v>
      </c>
      <c r="B691" s="9" t="s">
        <v>3114</v>
      </c>
      <c r="D691" s="9" t="s">
        <v>3115</v>
      </c>
      <c r="G691" s="6" t="s">
        <v>3116</v>
      </c>
      <c r="J691" s="9" t="s">
        <v>3117</v>
      </c>
      <c r="O691" s="10">
        <f>IFERROR(__xludf.DUMMYFUNCTION("VALUE(REGEXEXTRACT(A691, ""\d+""))"),837.0)</f>
        <v>837</v>
      </c>
    </row>
    <row r="692">
      <c r="A692" s="9" t="s">
        <v>3118</v>
      </c>
      <c r="B692" s="9" t="s">
        <v>3119</v>
      </c>
      <c r="D692" s="9" t="s">
        <v>3120</v>
      </c>
      <c r="G692" s="6" t="s">
        <v>3121</v>
      </c>
      <c r="J692" s="9" t="s">
        <v>3122</v>
      </c>
      <c r="O692" s="10">
        <f>IFERROR(__xludf.DUMMYFUNCTION("VALUE(REGEXEXTRACT(A692, ""\d+""))"),838.0)</f>
        <v>838</v>
      </c>
    </row>
    <row r="693">
      <c r="A693" s="9" t="s">
        <v>3123</v>
      </c>
      <c r="B693" s="9" t="s">
        <v>3124</v>
      </c>
      <c r="D693" s="9" t="s">
        <v>3125</v>
      </c>
      <c r="G693" s="6" t="s">
        <v>3126</v>
      </c>
      <c r="J693" s="9" t="s">
        <v>3127</v>
      </c>
      <c r="O693" s="10">
        <f>IFERROR(__xludf.DUMMYFUNCTION("VALUE(REGEXEXTRACT(A693, ""\d+""))"),839.0)</f>
        <v>839</v>
      </c>
    </row>
    <row r="694">
      <c r="A694" s="9" t="s">
        <v>3128</v>
      </c>
      <c r="B694" s="9" t="s">
        <v>3129</v>
      </c>
      <c r="D694" s="9" t="s">
        <v>3130</v>
      </c>
      <c r="G694" s="6" t="s">
        <v>3131</v>
      </c>
      <c r="J694" s="9" t="s">
        <v>3132</v>
      </c>
      <c r="O694" s="10">
        <f>IFERROR(__xludf.DUMMYFUNCTION("VALUE(REGEXEXTRACT(A694, ""\d+""))"),840.0)</f>
        <v>840</v>
      </c>
    </row>
    <row r="695">
      <c r="A695" s="9" t="s">
        <v>3133</v>
      </c>
      <c r="B695" s="9" t="s">
        <v>3134</v>
      </c>
      <c r="D695" s="9" t="s">
        <v>3135</v>
      </c>
      <c r="G695" s="6" t="s">
        <v>3136</v>
      </c>
      <c r="J695" s="9" t="s">
        <v>3137</v>
      </c>
      <c r="O695" s="10">
        <f>IFERROR(__xludf.DUMMYFUNCTION("VALUE(REGEXEXTRACT(A695, ""\d+""))"),841.0)</f>
        <v>841</v>
      </c>
    </row>
    <row r="696">
      <c r="A696" s="9" t="s">
        <v>3138</v>
      </c>
      <c r="B696" s="9" t="s">
        <v>3139</v>
      </c>
      <c r="D696" s="9" t="s">
        <v>3140</v>
      </c>
      <c r="G696" s="6" t="s">
        <v>3141</v>
      </c>
      <c r="J696" s="9" t="s">
        <v>3142</v>
      </c>
      <c r="O696" s="10">
        <f>IFERROR(__xludf.DUMMYFUNCTION("VALUE(REGEXEXTRACT(A696, ""\d+""))"),842.0)</f>
        <v>842</v>
      </c>
    </row>
    <row r="697">
      <c r="A697" s="9" t="s">
        <v>3143</v>
      </c>
      <c r="B697" s="9" t="s">
        <v>3144</v>
      </c>
      <c r="D697" s="9" t="s">
        <v>3145</v>
      </c>
      <c r="G697" s="6" t="s">
        <v>3146</v>
      </c>
      <c r="J697" s="9" t="s">
        <v>3147</v>
      </c>
      <c r="O697" s="10">
        <f>IFERROR(__xludf.DUMMYFUNCTION("VALUE(REGEXEXTRACT(A697, ""\d+""))"),843.0)</f>
        <v>843</v>
      </c>
    </row>
    <row r="698">
      <c r="A698" s="9" t="s">
        <v>3148</v>
      </c>
      <c r="B698" s="9" t="s">
        <v>3149</v>
      </c>
      <c r="D698" s="9" t="s">
        <v>3150</v>
      </c>
      <c r="G698" s="6" t="s">
        <v>3150</v>
      </c>
      <c r="J698" s="9" t="s">
        <v>3151</v>
      </c>
      <c r="O698" s="10">
        <f>IFERROR(__xludf.DUMMYFUNCTION("VALUE(REGEXEXTRACT(A698, ""\d+""))"),844.0)</f>
        <v>844</v>
      </c>
    </row>
    <row r="699">
      <c r="A699" s="9" t="s">
        <v>3152</v>
      </c>
      <c r="B699" s="9" t="s">
        <v>3153</v>
      </c>
      <c r="D699" s="9" t="s">
        <v>3154</v>
      </c>
      <c r="G699" s="6" t="s">
        <v>3155</v>
      </c>
      <c r="J699" s="9" t="s">
        <v>3156</v>
      </c>
      <c r="O699" s="10">
        <f>IFERROR(__xludf.DUMMYFUNCTION("VALUE(REGEXEXTRACT(A699, ""\d+""))"),845.0)</f>
        <v>845</v>
      </c>
    </row>
    <row r="700">
      <c r="A700" s="9" t="s">
        <v>3157</v>
      </c>
      <c r="B700" s="9" t="s">
        <v>3158</v>
      </c>
      <c r="D700" s="9" t="s">
        <v>3159</v>
      </c>
      <c r="G700" s="6" t="s">
        <v>3160</v>
      </c>
      <c r="J700" s="9" t="s">
        <v>3161</v>
      </c>
      <c r="O700" s="10">
        <f>IFERROR(__xludf.DUMMYFUNCTION("VALUE(REGEXEXTRACT(A700, ""\d+""))"),846.0)</f>
        <v>846</v>
      </c>
    </row>
    <row r="701">
      <c r="A701" s="9" t="s">
        <v>3162</v>
      </c>
      <c r="B701" s="9" t="s">
        <v>3163</v>
      </c>
      <c r="D701" s="9" t="s">
        <v>3164</v>
      </c>
      <c r="G701" s="6" t="s">
        <v>3164</v>
      </c>
      <c r="J701" s="9" t="s">
        <v>3165</v>
      </c>
      <c r="O701" s="10">
        <f>IFERROR(__xludf.DUMMYFUNCTION("VALUE(REGEXEXTRACT(A701, ""\d+""))"),847.0)</f>
        <v>847</v>
      </c>
    </row>
    <row r="702">
      <c r="A702" s="9" t="s">
        <v>3166</v>
      </c>
      <c r="B702" s="9" t="s">
        <v>3167</v>
      </c>
      <c r="D702" s="9" t="s">
        <v>3168</v>
      </c>
      <c r="G702" s="6" t="s">
        <v>3169</v>
      </c>
      <c r="J702" s="9" t="s">
        <v>3170</v>
      </c>
      <c r="O702" s="10">
        <f>IFERROR(__xludf.DUMMYFUNCTION("VALUE(REGEXEXTRACT(A702, ""\d+""))"),848.0)</f>
        <v>848</v>
      </c>
    </row>
    <row r="703">
      <c r="A703" s="9" t="s">
        <v>3171</v>
      </c>
      <c r="B703" s="9" t="s">
        <v>3172</v>
      </c>
      <c r="D703" s="9" t="s">
        <v>3172</v>
      </c>
      <c r="G703" s="6" t="s">
        <v>3172</v>
      </c>
      <c r="J703" s="9" t="s">
        <v>3172</v>
      </c>
      <c r="O703" s="10">
        <f>IFERROR(__xludf.DUMMYFUNCTION("VALUE(REGEXEXTRACT(A703, ""\d+""))"),849.0)</f>
        <v>849</v>
      </c>
    </row>
    <row r="704">
      <c r="A704" s="9" t="s">
        <v>3173</v>
      </c>
      <c r="B704" s="9" t="s">
        <v>3174</v>
      </c>
      <c r="D704" s="9" t="s">
        <v>3175</v>
      </c>
      <c r="G704" s="6" t="s">
        <v>3175</v>
      </c>
      <c r="J704" s="9" t="s">
        <v>3176</v>
      </c>
      <c r="O704" s="10">
        <f>IFERROR(__xludf.DUMMYFUNCTION("VALUE(REGEXEXTRACT(A704, ""\d+""))"),850.0)</f>
        <v>850</v>
      </c>
    </row>
    <row r="705">
      <c r="A705" s="9" t="s">
        <v>3177</v>
      </c>
      <c r="B705" s="9" t="s">
        <v>3178</v>
      </c>
      <c r="D705" s="9" t="s">
        <v>3179</v>
      </c>
      <c r="G705" s="6" t="s">
        <v>3180</v>
      </c>
      <c r="J705" s="9" t="s">
        <v>3181</v>
      </c>
      <c r="O705" s="10">
        <f>IFERROR(__xludf.DUMMYFUNCTION("VALUE(REGEXEXTRACT(A705, ""\d+""))"),851.0)</f>
        <v>851</v>
      </c>
    </row>
    <row r="706">
      <c r="A706" s="9" t="s">
        <v>3182</v>
      </c>
      <c r="B706" s="9" t="s">
        <v>3183</v>
      </c>
      <c r="D706" s="9" t="s">
        <v>3184</v>
      </c>
      <c r="G706" s="6" t="s">
        <v>3184</v>
      </c>
      <c r="J706" s="9" t="s">
        <v>3185</v>
      </c>
      <c r="O706" s="10">
        <f>IFERROR(__xludf.DUMMYFUNCTION("VALUE(REGEXEXTRACT(A706, ""\d+""))"),852.0)</f>
        <v>852</v>
      </c>
    </row>
    <row r="707">
      <c r="A707" s="9" t="s">
        <v>3186</v>
      </c>
      <c r="B707" s="9" t="s">
        <v>3187</v>
      </c>
      <c r="D707" s="9" t="s">
        <v>3187</v>
      </c>
      <c r="G707" s="6" t="s">
        <v>3187</v>
      </c>
      <c r="J707" s="9" t="s">
        <v>3188</v>
      </c>
      <c r="O707" s="10">
        <f>IFERROR(__xludf.DUMMYFUNCTION("VALUE(REGEXEXTRACT(A707, ""\d+""))"),853.0)</f>
        <v>853</v>
      </c>
    </row>
    <row r="708">
      <c r="A708" s="9" t="s">
        <v>3189</v>
      </c>
      <c r="B708" s="9" t="s">
        <v>3190</v>
      </c>
      <c r="D708" s="9" t="s">
        <v>3191</v>
      </c>
      <c r="G708" s="6" t="s">
        <v>3192</v>
      </c>
      <c r="J708" s="9" t="s">
        <v>3193</v>
      </c>
      <c r="O708" s="10">
        <f>IFERROR(__xludf.DUMMYFUNCTION("VALUE(REGEXEXTRACT(A708, ""\d+""))"),854.0)</f>
        <v>854</v>
      </c>
    </row>
    <row r="709">
      <c r="A709" s="9" t="s">
        <v>3194</v>
      </c>
      <c r="B709" s="9" t="s">
        <v>3195</v>
      </c>
      <c r="D709" s="9" t="s">
        <v>3196</v>
      </c>
      <c r="G709" s="6" t="s">
        <v>3197</v>
      </c>
      <c r="J709" s="9" t="s">
        <v>3198</v>
      </c>
      <c r="O709" s="10">
        <f>IFERROR(__xludf.DUMMYFUNCTION("VALUE(REGEXEXTRACT(A709, ""\d+""))"),855.0)</f>
        <v>855</v>
      </c>
    </row>
    <row r="710">
      <c r="A710" s="9" t="s">
        <v>3199</v>
      </c>
      <c r="B710" s="9" t="s">
        <v>3200</v>
      </c>
      <c r="D710" s="9" t="s">
        <v>3201</v>
      </c>
      <c r="G710" s="6" t="s">
        <v>3202</v>
      </c>
      <c r="J710" s="9" t="s">
        <v>3203</v>
      </c>
      <c r="O710" s="10">
        <f>IFERROR(__xludf.DUMMYFUNCTION("VALUE(REGEXEXTRACT(A710, ""\d+""))"),856.0)</f>
        <v>856</v>
      </c>
    </row>
    <row r="711">
      <c r="A711" s="9" t="s">
        <v>3204</v>
      </c>
      <c r="B711" s="9" t="s">
        <v>3205</v>
      </c>
      <c r="D711" s="9" t="s">
        <v>3206</v>
      </c>
      <c r="G711" s="6" t="s">
        <v>3207</v>
      </c>
      <c r="J711" s="9" t="s">
        <v>3208</v>
      </c>
      <c r="O711" s="10">
        <f>IFERROR(__xludf.DUMMYFUNCTION("VALUE(REGEXEXTRACT(A711, ""\d+""))"),857.0)</f>
        <v>857</v>
      </c>
    </row>
    <row r="712">
      <c r="A712" s="9" t="s">
        <v>3209</v>
      </c>
      <c r="B712" s="9" t="s">
        <v>3210</v>
      </c>
      <c r="D712" s="9" t="s">
        <v>3211</v>
      </c>
      <c r="G712" s="6" t="s">
        <v>3212</v>
      </c>
      <c r="J712" s="9" t="s">
        <v>3213</v>
      </c>
      <c r="O712" s="10">
        <f>IFERROR(__xludf.DUMMYFUNCTION("VALUE(REGEXEXTRACT(A712, ""\d+""))"),858.0)</f>
        <v>858</v>
      </c>
    </row>
    <row r="713">
      <c r="A713" s="9" t="s">
        <v>3214</v>
      </c>
      <c r="B713" s="9" t="s">
        <v>3215</v>
      </c>
      <c r="D713" s="9" t="s">
        <v>3216</v>
      </c>
      <c r="G713" s="6" t="s">
        <v>3217</v>
      </c>
      <c r="J713" s="9" t="s">
        <v>3218</v>
      </c>
      <c r="O713" s="10">
        <f>IFERROR(__xludf.DUMMYFUNCTION("VALUE(REGEXEXTRACT(A713, ""\d+""))"),859.0)</f>
        <v>859</v>
      </c>
    </row>
    <row r="714">
      <c r="A714" s="9" t="s">
        <v>3219</v>
      </c>
      <c r="B714" s="9" t="s">
        <v>3220</v>
      </c>
      <c r="D714" s="9" t="s">
        <v>3221</v>
      </c>
      <c r="G714" s="6" t="s">
        <v>3222</v>
      </c>
      <c r="J714" s="9" t="s">
        <v>3223</v>
      </c>
      <c r="O714" s="10">
        <f>IFERROR(__xludf.DUMMYFUNCTION("VALUE(REGEXEXTRACT(A714, ""\d+""))"),860.0)</f>
        <v>860</v>
      </c>
    </row>
    <row r="715">
      <c r="A715" s="9" t="s">
        <v>3224</v>
      </c>
      <c r="B715" s="9" t="s">
        <v>3225</v>
      </c>
      <c r="D715" s="9" t="s">
        <v>3226</v>
      </c>
      <c r="G715" s="6" t="s">
        <v>3227</v>
      </c>
      <c r="J715" s="9" t="s">
        <v>3228</v>
      </c>
      <c r="O715" s="10">
        <f>IFERROR(__xludf.DUMMYFUNCTION("VALUE(REGEXEXTRACT(A715, ""\d+""))"),861.0)</f>
        <v>861</v>
      </c>
    </row>
    <row r="716">
      <c r="A716" s="9" t="s">
        <v>3229</v>
      </c>
      <c r="B716" s="9" t="s">
        <v>3230</v>
      </c>
      <c r="D716" s="9" t="s">
        <v>3231</v>
      </c>
      <c r="G716" s="6" t="s">
        <v>3231</v>
      </c>
      <c r="J716" s="9" t="s">
        <v>3232</v>
      </c>
      <c r="O716" s="10">
        <f>IFERROR(__xludf.DUMMYFUNCTION("VALUE(REGEXEXTRACT(A716, ""\d+""))"),862.0)</f>
        <v>862</v>
      </c>
    </row>
    <row r="717">
      <c r="A717" s="9" t="s">
        <v>3233</v>
      </c>
      <c r="B717" s="9" t="s">
        <v>3234</v>
      </c>
      <c r="D717" s="9" t="s">
        <v>3235</v>
      </c>
      <c r="G717" s="6" t="s">
        <v>3236</v>
      </c>
      <c r="J717" s="9" t="s">
        <v>3237</v>
      </c>
      <c r="O717" s="10">
        <f>IFERROR(__xludf.DUMMYFUNCTION("VALUE(REGEXEXTRACT(A717, ""\d+""))"),863.0)</f>
        <v>863</v>
      </c>
    </row>
    <row r="718">
      <c r="A718" s="9" t="s">
        <v>3238</v>
      </c>
      <c r="B718" s="9" t="s">
        <v>3239</v>
      </c>
      <c r="D718" s="9" t="s">
        <v>3240</v>
      </c>
      <c r="G718" s="6" t="s">
        <v>3241</v>
      </c>
      <c r="J718" s="9" t="s">
        <v>3242</v>
      </c>
      <c r="O718" s="10">
        <f>IFERROR(__xludf.DUMMYFUNCTION("VALUE(REGEXEXTRACT(A718, ""\d+""))"),864.0)</f>
        <v>864</v>
      </c>
    </row>
    <row r="719">
      <c r="A719" s="9" t="s">
        <v>3243</v>
      </c>
      <c r="B719" s="9" t="s">
        <v>3244</v>
      </c>
      <c r="D719" s="9" t="s">
        <v>3245</v>
      </c>
      <c r="G719" s="6" t="s">
        <v>3246</v>
      </c>
      <c r="J719" s="9" t="s">
        <v>3247</v>
      </c>
      <c r="O719" s="10">
        <f>IFERROR(__xludf.DUMMYFUNCTION("VALUE(REGEXEXTRACT(A719, ""\d+""))"),865.0)</f>
        <v>865</v>
      </c>
    </row>
    <row r="720">
      <c r="A720" s="9" t="s">
        <v>3248</v>
      </c>
      <c r="B720" s="9" t="s">
        <v>3249</v>
      </c>
      <c r="D720" s="9" t="s">
        <v>3250</v>
      </c>
      <c r="G720" s="6" t="s">
        <v>3251</v>
      </c>
      <c r="J720" s="9" t="s">
        <v>3252</v>
      </c>
      <c r="O720" s="10">
        <f>IFERROR(__xludf.DUMMYFUNCTION("VALUE(REGEXEXTRACT(A720, ""\d+""))"),866.0)</f>
        <v>866</v>
      </c>
    </row>
    <row r="721">
      <c r="A721" s="9" t="s">
        <v>3253</v>
      </c>
      <c r="B721" s="9" t="s">
        <v>3254</v>
      </c>
      <c r="D721" s="9" t="s">
        <v>3255</v>
      </c>
      <c r="G721" s="6" t="s">
        <v>3256</v>
      </c>
      <c r="J721" s="9" t="s">
        <v>3257</v>
      </c>
      <c r="O721" s="10">
        <f>IFERROR(__xludf.DUMMYFUNCTION("VALUE(REGEXEXTRACT(A721, ""\d+""))"),869.0)</f>
        <v>869</v>
      </c>
    </row>
    <row r="722">
      <c r="A722" s="9" t="s">
        <v>3258</v>
      </c>
      <c r="B722" s="9" t="s">
        <v>3259</v>
      </c>
      <c r="D722" s="9" t="s">
        <v>3259</v>
      </c>
      <c r="G722" s="6" t="s">
        <v>3259</v>
      </c>
      <c r="J722" s="9" t="s">
        <v>3259</v>
      </c>
      <c r="O722" s="10">
        <f>IFERROR(__xludf.DUMMYFUNCTION("VALUE(REGEXEXTRACT(A722, ""\d+""))"),870.0)</f>
        <v>870</v>
      </c>
    </row>
    <row r="723">
      <c r="A723" s="9" t="s">
        <v>3260</v>
      </c>
      <c r="B723" s="9" t="s">
        <v>3261</v>
      </c>
      <c r="D723" s="9" t="s">
        <v>3261</v>
      </c>
      <c r="G723" s="6" t="s">
        <v>3261</v>
      </c>
      <c r="J723" s="9" t="s">
        <v>3261</v>
      </c>
      <c r="O723" s="10">
        <f>IFERROR(__xludf.DUMMYFUNCTION("VALUE(REGEXEXTRACT(A723, ""\d+""))"),871.0)</f>
        <v>871</v>
      </c>
    </row>
    <row r="724">
      <c r="A724" s="9" t="s">
        <v>3262</v>
      </c>
      <c r="B724" s="9" t="s">
        <v>3263</v>
      </c>
      <c r="D724" s="9" t="s">
        <v>3263</v>
      </c>
      <c r="G724" s="6" t="s">
        <v>3263</v>
      </c>
      <c r="J724" s="9" t="s">
        <v>3263</v>
      </c>
      <c r="O724" s="10">
        <f>IFERROR(__xludf.DUMMYFUNCTION("VALUE(REGEXEXTRACT(A724, ""\d+""))"),872.0)</f>
        <v>872</v>
      </c>
    </row>
    <row r="725">
      <c r="A725" s="9" t="s">
        <v>3264</v>
      </c>
      <c r="B725" s="9" t="s">
        <v>3265</v>
      </c>
      <c r="D725" s="9" t="s">
        <v>3265</v>
      </c>
      <c r="G725" s="6" t="s">
        <v>3265</v>
      </c>
      <c r="J725" s="9" t="s">
        <v>3265</v>
      </c>
      <c r="O725" s="10">
        <f>IFERROR(__xludf.DUMMYFUNCTION("VALUE(REGEXEXTRACT(A725, ""\d+""))"),873.0)</f>
        <v>873</v>
      </c>
    </row>
    <row r="726">
      <c r="A726" s="9" t="s">
        <v>3266</v>
      </c>
      <c r="B726" s="9" t="s">
        <v>3267</v>
      </c>
      <c r="D726" s="9" t="s">
        <v>3268</v>
      </c>
      <c r="G726" s="6" t="s">
        <v>3269</v>
      </c>
      <c r="J726" s="9" t="s">
        <v>3270</v>
      </c>
      <c r="O726" s="10">
        <f>IFERROR(__xludf.DUMMYFUNCTION("VALUE(REGEXEXTRACT(A726, ""\d+""))"),874.0)</f>
        <v>874</v>
      </c>
    </row>
    <row r="727">
      <c r="A727" s="9" t="s">
        <v>3271</v>
      </c>
      <c r="B727" s="9" t="s">
        <v>3272</v>
      </c>
      <c r="D727" s="9" t="s">
        <v>3273</v>
      </c>
      <c r="G727" s="6" t="s">
        <v>3274</v>
      </c>
      <c r="J727" s="9" t="s">
        <v>3275</v>
      </c>
      <c r="O727" s="10">
        <f>IFERROR(__xludf.DUMMYFUNCTION("VALUE(REGEXEXTRACT(A727, ""\d+""))"),875.0)</f>
        <v>875</v>
      </c>
    </row>
    <row r="728">
      <c r="A728" s="9" t="s">
        <v>3276</v>
      </c>
      <c r="B728" s="9" t="s">
        <v>3277</v>
      </c>
      <c r="D728" s="9" t="s">
        <v>3278</v>
      </c>
      <c r="G728" s="6" t="s">
        <v>3279</v>
      </c>
      <c r="J728" s="9" t="s">
        <v>3280</v>
      </c>
      <c r="O728" s="10">
        <f>IFERROR(__xludf.DUMMYFUNCTION("VALUE(REGEXEXTRACT(A728, ""\d+""))"),876.0)</f>
        <v>876</v>
      </c>
    </row>
    <row r="729">
      <c r="A729" s="9" t="s">
        <v>3281</v>
      </c>
      <c r="B729" s="9" t="s">
        <v>3282</v>
      </c>
      <c r="D729" s="9" t="s">
        <v>3283</v>
      </c>
      <c r="G729" s="6" t="s">
        <v>3284</v>
      </c>
      <c r="J729" s="9" t="s">
        <v>3285</v>
      </c>
      <c r="O729" s="10">
        <f>IFERROR(__xludf.DUMMYFUNCTION("VALUE(REGEXEXTRACT(A729, ""\d+""))"),877.0)</f>
        <v>877</v>
      </c>
    </row>
    <row r="730">
      <c r="A730" s="9" t="s">
        <v>3286</v>
      </c>
      <c r="B730" s="9" t="s">
        <v>3287</v>
      </c>
      <c r="D730" s="9" t="s">
        <v>3288</v>
      </c>
      <c r="G730" s="6" t="s">
        <v>3289</v>
      </c>
      <c r="J730" s="9" t="s">
        <v>3290</v>
      </c>
      <c r="O730" s="10">
        <f>IFERROR(__xludf.DUMMYFUNCTION("VALUE(REGEXEXTRACT(A730, ""\d+""))"),878.0)</f>
        <v>878</v>
      </c>
    </row>
    <row r="731">
      <c r="A731" s="9" t="s">
        <v>3291</v>
      </c>
      <c r="B731" s="9" t="s">
        <v>3292</v>
      </c>
      <c r="D731" s="9" t="s">
        <v>3293</v>
      </c>
      <c r="G731" s="6" t="s">
        <v>3294</v>
      </c>
      <c r="J731" s="9" t="s">
        <v>3295</v>
      </c>
      <c r="O731" s="10">
        <f>IFERROR(__xludf.DUMMYFUNCTION("VALUE(REGEXEXTRACT(A731, ""\d+""))"),879.0)</f>
        <v>879</v>
      </c>
    </row>
    <row r="732">
      <c r="A732" s="9" t="s">
        <v>3296</v>
      </c>
      <c r="B732" s="9" t="s">
        <v>3297</v>
      </c>
      <c r="D732" s="9" t="s">
        <v>3298</v>
      </c>
      <c r="G732" s="6" t="s">
        <v>3299</v>
      </c>
      <c r="J732" s="9" t="s">
        <v>3300</v>
      </c>
      <c r="O732" s="10">
        <f>IFERROR(__xludf.DUMMYFUNCTION("VALUE(REGEXEXTRACT(A732, ""\d+""))"),880.0)</f>
        <v>880</v>
      </c>
    </row>
    <row r="733">
      <c r="A733" s="9" t="s">
        <v>3301</v>
      </c>
      <c r="B733" s="9" t="s">
        <v>3302</v>
      </c>
      <c r="D733" s="9" t="s">
        <v>3303</v>
      </c>
      <c r="G733" s="6" t="s">
        <v>3304</v>
      </c>
      <c r="J733" s="9" t="s">
        <v>3305</v>
      </c>
      <c r="O733" s="10">
        <f>IFERROR(__xludf.DUMMYFUNCTION("VALUE(REGEXEXTRACT(A733, ""\d+""))"),881.0)</f>
        <v>881</v>
      </c>
    </row>
    <row r="734">
      <c r="A734" s="9" t="s">
        <v>3306</v>
      </c>
      <c r="B734" s="9" t="s">
        <v>2994</v>
      </c>
      <c r="D734" s="9" t="s">
        <v>2995</v>
      </c>
      <c r="G734" s="6" t="s">
        <v>3307</v>
      </c>
      <c r="J734" s="9" t="s">
        <v>2997</v>
      </c>
      <c r="O734" s="10">
        <f>IFERROR(__xludf.DUMMYFUNCTION("VALUE(REGEXEXTRACT(A734, ""\d+""))"),882.0)</f>
        <v>882</v>
      </c>
    </row>
    <row r="735">
      <c r="A735" s="9" t="s">
        <v>3308</v>
      </c>
      <c r="B735" s="9" t="s">
        <v>3309</v>
      </c>
      <c r="D735" s="9" t="s">
        <v>3310</v>
      </c>
      <c r="G735" s="6" t="s">
        <v>3311</v>
      </c>
      <c r="J735" s="9" t="s">
        <v>3312</v>
      </c>
      <c r="O735" s="10">
        <f>IFERROR(__xludf.DUMMYFUNCTION("VALUE(REGEXEXTRACT(A735, ""\d+""))"),883.0)</f>
        <v>883</v>
      </c>
    </row>
    <row r="736">
      <c r="A736" s="9" t="s">
        <v>3313</v>
      </c>
      <c r="B736" s="9" t="s">
        <v>3314</v>
      </c>
      <c r="D736" s="9" t="s">
        <v>3315</v>
      </c>
      <c r="G736" s="6" t="s">
        <v>3315</v>
      </c>
      <c r="J736" s="9" t="s">
        <v>3316</v>
      </c>
      <c r="O736" s="10">
        <f>IFERROR(__xludf.DUMMYFUNCTION("VALUE(REGEXEXTRACT(A736, ""\d+""))"),884.0)</f>
        <v>884</v>
      </c>
    </row>
    <row r="737">
      <c r="A737" s="9" t="s">
        <v>3317</v>
      </c>
      <c r="B737" s="9" t="s">
        <v>3318</v>
      </c>
      <c r="D737" s="9" t="s">
        <v>3319</v>
      </c>
      <c r="G737" s="6" t="s">
        <v>3320</v>
      </c>
      <c r="J737" s="9" t="s">
        <v>3321</v>
      </c>
      <c r="O737" s="10">
        <f>IFERROR(__xludf.DUMMYFUNCTION("VALUE(REGEXEXTRACT(A737, ""\d+""))"),885.0)</f>
        <v>885</v>
      </c>
    </row>
    <row r="738">
      <c r="A738" s="9" t="s">
        <v>3322</v>
      </c>
      <c r="B738" s="9" t="s">
        <v>3318</v>
      </c>
      <c r="D738" s="9" t="s">
        <v>3323</v>
      </c>
      <c r="G738" s="6" t="s">
        <v>3320</v>
      </c>
      <c r="J738" s="9" t="s">
        <v>3324</v>
      </c>
      <c r="O738" s="10">
        <f>IFERROR(__xludf.DUMMYFUNCTION("VALUE(REGEXEXTRACT(A738, ""\d+""))"),886.0)</f>
        <v>886</v>
      </c>
    </row>
    <row r="739">
      <c r="A739" s="9" t="s">
        <v>3325</v>
      </c>
      <c r="B739" s="9" t="s">
        <v>3326</v>
      </c>
      <c r="D739" s="9" t="s">
        <v>3327</v>
      </c>
      <c r="G739" s="6" t="s">
        <v>3328</v>
      </c>
      <c r="J739" s="9" t="s">
        <v>3329</v>
      </c>
      <c r="O739" s="10">
        <f>IFERROR(__xludf.DUMMYFUNCTION("VALUE(REGEXEXTRACT(A739, ""\d+""))"),887.0)</f>
        <v>887</v>
      </c>
    </row>
    <row r="740">
      <c r="A740" s="9" t="s">
        <v>3330</v>
      </c>
      <c r="B740" s="9" t="s">
        <v>3331</v>
      </c>
      <c r="D740" s="9" t="s">
        <v>3332</v>
      </c>
      <c r="G740" s="6" t="s">
        <v>3332</v>
      </c>
      <c r="J740" s="9" t="s">
        <v>3333</v>
      </c>
      <c r="O740" s="10">
        <f>IFERROR(__xludf.DUMMYFUNCTION("VALUE(REGEXEXTRACT(A740, ""\d+""))"),888.0)</f>
        <v>888</v>
      </c>
    </row>
    <row r="741">
      <c r="A741" s="9" t="s">
        <v>3334</v>
      </c>
      <c r="B741" s="9" t="s">
        <v>3335</v>
      </c>
      <c r="D741" s="9" t="s">
        <v>3336</v>
      </c>
      <c r="G741" s="6" t="s">
        <v>3337</v>
      </c>
      <c r="J741" s="9" t="s">
        <v>3338</v>
      </c>
      <c r="O741" s="10">
        <f>IFERROR(__xludf.DUMMYFUNCTION("VALUE(REGEXEXTRACT(A741, ""\d+""))"),889.0)</f>
        <v>889</v>
      </c>
    </row>
    <row r="742">
      <c r="A742" s="9" t="s">
        <v>3339</v>
      </c>
      <c r="B742" s="9" t="s">
        <v>3335</v>
      </c>
      <c r="D742" s="9" t="s">
        <v>3336</v>
      </c>
      <c r="G742" s="6" t="s">
        <v>3337</v>
      </c>
      <c r="J742" s="9" t="s">
        <v>3338</v>
      </c>
      <c r="O742" s="10">
        <f>IFERROR(__xludf.DUMMYFUNCTION("VALUE(REGEXEXTRACT(A742, ""\d+""))"),890.0)</f>
        <v>890</v>
      </c>
    </row>
    <row r="743">
      <c r="A743" s="9" t="s">
        <v>3340</v>
      </c>
      <c r="B743" s="9" t="s">
        <v>3335</v>
      </c>
      <c r="D743" s="9" t="s">
        <v>3336</v>
      </c>
      <c r="G743" s="6" t="s">
        <v>3337</v>
      </c>
      <c r="J743" s="9" t="s">
        <v>3338</v>
      </c>
      <c r="O743" s="10">
        <f>IFERROR(__xludf.DUMMYFUNCTION("VALUE(REGEXEXTRACT(A743, ""\d+""))"),891.0)</f>
        <v>891</v>
      </c>
    </row>
    <row r="744">
      <c r="A744" s="9" t="s">
        <v>3341</v>
      </c>
      <c r="B744" s="9" t="s">
        <v>3342</v>
      </c>
      <c r="D744" s="9" t="s">
        <v>3343</v>
      </c>
      <c r="G744" s="6" t="s">
        <v>3344</v>
      </c>
      <c r="J744" s="9" t="s">
        <v>3345</v>
      </c>
      <c r="O744" s="10">
        <f>IFERROR(__xludf.DUMMYFUNCTION("VALUE(REGEXEXTRACT(A744, ""\d+""))"),892.0)</f>
        <v>892</v>
      </c>
    </row>
    <row r="745">
      <c r="A745" s="9" t="s">
        <v>3346</v>
      </c>
      <c r="B745" s="9" t="s">
        <v>3342</v>
      </c>
      <c r="D745" s="9" t="s">
        <v>3343</v>
      </c>
      <c r="G745" s="6" t="s">
        <v>3344</v>
      </c>
      <c r="J745" s="9" t="s">
        <v>3345</v>
      </c>
      <c r="O745" s="10">
        <f>IFERROR(__xludf.DUMMYFUNCTION("VALUE(REGEXEXTRACT(A745, ""\d+""))"),893.0)</f>
        <v>893</v>
      </c>
    </row>
    <row r="746">
      <c r="A746" s="9" t="s">
        <v>3347</v>
      </c>
      <c r="B746" s="9" t="s">
        <v>3342</v>
      </c>
      <c r="D746" s="9" t="s">
        <v>3343</v>
      </c>
      <c r="G746" s="6" t="s">
        <v>3344</v>
      </c>
      <c r="J746" s="9" t="s">
        <v>3345</v>
      </c>
      <c r="O746" s="10">
        <f>IFERROR(__xludf.DUMMYFUNCTION("VALUE(REGEXEXTRACT(A746, ""\d+""))"),894.0)</f>
        <v>894</v>
      </c>
    </row>
    <row r="747">
      <c r="A747" s="9" t="s">
        <v>3348</v>
      </c>
      <c r="B747" s="9" t="s">
        <v>3349</v>
      </c>
      <c r="G747" s="6" t="s">
        <v>3350</v>
      </c>
      <c r="J747" s="9" t="s">
        <v>3351</v>
      </c>
      <c r="O747" s="10">
        <f>IFERROR(__xludf.DUMMYFUNCTION("VALUE(REGEXEXTRACT(A747, ""\d+""))"),895.0)</f>
        <v>895</v>
      </c>
    </row>
    <row r="748">
      <c r="A748" s="9" t="s">
        <v>3352</v>
      </c>
      <c r="B748" s="9" t="s">
        <v>3353</v>
      </c>
      <c r="G748" s="9" t="s">
        <v>3354</v>
      </c>
      <c r="O748" s="10">
        <f>IFERROR(__xludf.DUMMYFUNCTION("VALUE(REGEXEXTRACT(A748, ""\d+""))"),896.0)</f>
        <v>896</v>
      </c>
    </row>
    <row r="749">
      <c r="A749" s="9" t="s">
        <v>3355</v>
      </c>
      <c r="B749" s="9" t="s">
        <v>3349</v>
      </c>
      <c r="G749" s="11" t="s">
        <v>3350</v>
      </c>
      <c r="O749" s="10">
        <f>IFERROR(__xludf.DUMMYFUNCTION("VALUE(REGEXEXTRACT(A749, ""\d+""))"),897.0)</f>
        <v>897</v>
      </c>
    </row>
    <row r="750">
      <c r="A750" s="9" t="s">
        <v>3356</v>
      </c>
      <c r="B750" s="9" t="s">
        <v>3357</v>
      </c>
      <c r="G750" s="6" t="s">
        <v>3358</v>
      </c>
      <c r="O750" s="10">
        <f>IFERROR(__xludf.DUMMYFUNCTION("VALUE(REGEXEXTRACT(A750, ""\d+""))"),898.0)</f>
        <v>898</v>
      </c>
    </row>
    <row r="751">
      <c r="A751" s="9" t="s">
        <v>3359</v>
      </c>
      <c r="B751" s="9" t="s">
        <v>3360</v>
      </c>
      <c r="G751" s="6" t="s">
        <v>3361</v>
      </c>
      <c r="O751" s="10">
        <f>IFERROR(__xludf.DUMMYFUNCTION("VALUE(REGEXEXTRACT(A751, ""\d+""))"),899.0)</f>
        <v>899</v>
      </c>
    </row>
    <row r="752">
      <c r="A752" s="9" t="s">
        <v>3362</v>
      </c>
      <c r="B752" s="9" t="s">
        <v>3363</v>
      </c>
      <c r="D752" s="9" t="s">
        <v>3364</v>
      </c>
      <c r="G752" s="6" t="s">
        <v>3365</v>
      </c>
      <c r="J752" s="9" t="s">
        <v>3366</v>
      </c>
      <c r="O752" s="10">
        <f>IFERROR(__xludf.DUMMYFUNCTION("VALUE(REGEXEXTRACT(A752, ""\d+""))"),900.0)</f>
        <v>900</v>
      </c>
    </row>
    <row r="753">
      <c r="A753" s="9" t="s">
        <v>3367</v>
      </c>
      <c r="B753" s="9" t="s">
        <v>3368</v>
      </c>
      <c r="G753" s="9" t="s">
        <v>3369</v>
      </c>
      <c r="O753" s="10">
        <f>IFERROR(__xludf.DUMMYFUNCTION("VALUE(REGEXEXTRACT(A753, ""\d+""))"),901.0)</f>
        <v>901</v>
      </c>
    </row>
    <row r="754">
      <c r="A754" s="9" t="s">
        <v>3370</v>
      </c>
      <c r="B754" s="9" t="s">
        <v>3371</v>
      </c>
      <c r="G754" s="9" t="s">
        <v>3372</v>
      </c>
      <c r="O754" s="10">
        <f>IFERROR(__xludf.DUMMYFUNCTION("VALUE(REGEXEXTRACT(A754, ""\d+""))"),902.0)</f>
        <v>902</v>
      </c>
    </row>
    <row r="755">
      <c r="A755" s="9" t="s">
        <v>3373</v>
      </c>
      <c r="B755" s="9" t="s">
        <v>3374</v>
      </c>
      <c r="D755" s="9" t="s">
        <v>3374</v>
      </c>
      <c r="G755" s="6" t="s">
        <v>3374</v>
      </c>
      <c r="J755" s="9" t="s">
        <v>3374</v>
      </c>
      <c r="O755" s="10">
        <f>IFERROR(__xludf.DUMMYFUNCTION("VALUE(REGEXEXTRACT(A755, ""\d+""))"),903.0)</f>
        <v>903</v>
      </c>
    </row>
    <row r="756">
      <c r="A756" s="9" t="s">
        <v>3375</v>
      </c>
      <c r="B756" s="9" t="s">
        <v>3376</v>
      </c>
      <c r="D756" s="9" t="s">
        <v>3377</v>
      </c>
      <c r="G756" s="6" t="s">
        <v>3378</v>
      </c>
      <c r="J756" s="9" t="s">
        <v>3379</v>
      </c>
      <c r="O756" s="10">
        <f>IFERROR(__xludf.DUMMYFUNCTION("VALUE(REGEXEXTRACT(A756, ""\d+""))"),904.0)</f>
        <v>904</v>
      </c>
    </row>
    <row r="757">
      <c r="A757" s="9" t="s">
        <v>3380</v>
      </c>
      <c r="B757" s="9" t="s">
        <v>3381</v>
      </c>
      <c r="D757" s="9" t="s">
        <v>3382</v>
      </c>
      <c r="G757" s="6" t="s">
        <v>3383</v>
      </c>
      <c r="J757" s="9" t="s">
        <v>3384</v>
      </c>
      <c r="O757" s="10">
        <f>IFERROR(__xludf.DUMMYFUNCTION("VALUE(REGEXEXTRACT(A757, ""\d+""))"),905.0)</f>
        <v>905</v>
      </c>
    </row>
    <row r="758">
      <c r="A758" s="9" t="s">
        <v>3385</v>
      </c>
      <c r="B758" s="9" t="s">
        <v>3386</v>
      </c>
      <c r="D758" s="9" t="s">
        <v>3387</v>
      </c>
      <c r="G758" s="6" t="s">
        <v>3388</v>
      </c>
      <c r="J758" s="9" t="s">
        <v>3389</v>
      </c>
      <c r="O758" s="10">
        <f>IFERROR(__xludf.DUMMYFUNCTION("VALUE(REGEXEXTRACT(A758, ""\d+""))"),906.0)</f>
        <v>906</v>
      </c>
    </row>
    <row r="759">
      <c r="A759" s="9" t="s">
        <v>3390</v>
      </c>
      <c r="B759" s="9" t="s">
        <v>3391</v>
      </c>
      <c r="D759" s="9" t="s">
        <v>3392</v>
      </c>
      <c r="G759" s="6" t="s">
        <v>3393</v>
      </c>
      <c r="J759" s="9" t="s">
        <v>3394</v>
      </c>
      <c r="O759" s="10">
        <f>IFERROR(__xludf.DUMMYFUNCTION("VALUE(REGEXEXTRACT(A759, ""\d+""))"),907.0)</f>
        <v>907</v>
      </c>
    </row>
    <row r="760">
      <c r="A760" s="9" t="s">
        <v>3395</v>
      </c>
      <c r="B760" s="9" t="s">
        <v>3396</v>
      </c>
      <c r="D760" s="9" t="s">
        <v>3397</v>
      </c>
      <c r="G760" s="6" t="s">
        <v>3398</v>
      </c>
      <c r="J760" s="9" t="s">
        <v>3399</v>
      </c>
      <c r="O760" s="10">
        <f>IFERROR(__xludf.DUMMYFUNCTION("VALUE(REGEXEXTRACT(A760, ""\d+""))"),908.0)</f>
        <v>908</v>
      </c>
    </row>
    <row r="761">
      <c r="A761" s="9" t="s">
        <v>3400</v>
      </c>
      <c r="B761" s="9" t="s">
        <v>3401</v>
      </c>
      <c r="D761" s="9" t="s">
        <v>3402</v>
      </c>
      <c r="G761" s="6" t="s">
        <v>3403</v>
      </c>
      <c r="J761" s="9" t="s">
        <v>3404</v>
      </c>
      <c r="O761" s="10">
        <f>IFERROR(__xludf.DUMMYFUNCTION("VALUE(REGEXEXTRACT(A761, ""\d+""))"),910.0)</f>
        <v>910</v>
      </c>
    </row>
    <row r="762">
      <c r="A762" s="9" t="s">
        <v>3405</v>
      </c>
      <c r="B762" s="9" t="s">
        <v>3406</v>
      </c>
      <c r="D762" s="9" t="s">
        <v>3407</v>
      </c>
      <c r="G762" s="6" t="s">
        <v>3408</v>
      </c>
      <c r="J762" s="9" t="s">
        <v>3409</v>
      </c>
      <c r="O762" s="10">
        <f>IFERROR(__xludf.DUMMYFUNCTION("VALUE(REGEXEXTRACT(A762, ""\d+""))"),911.0)</f>
        <v>911</v>
      </c>
    </row>
    <row r="763">
      <c r="A763" s="9" t="s">
        <v>3410</v>
      </c>
      <c r="B763" s="9" t="s">
        <v>3411</v>
      </c>
      <c r="D763" s="9" t="s">
        <v>3412</v>
      </c>
      <c r="G763" s="6" t="s">
        <v>3413</v>
      </c>
      <c r="J763" s="9" t="s">
        <v>3414</v>
      </c>
      <c r="O763" s="10">
        <f>IFERROR(__xludf.DUMMYFUNCTION("VALUE(REGEXEXTRACT(A763, ""\d+""))"),912.0)</f>
        <v>912</v>
      </c>
    </row>
    <row r="764">
      <c r="A764" s="9" t="s">
        <v>3415</v>
      </c>
      <c r="B764" s="9" t="s">
        <v>3416</v>
      </c>
      <c r="D764" s="9" t="s">
        <v>3417</v>
      </c>
      <c r="G764" s="6" t="s">
        <v>3418</v>
      </c>
      <c r="J764" s="9" t="s">
        <v>3419</v>
      </c>
      <c r="O764" s="10">
        <f>IFERROR(__xludf.DUMMYFUNCTION("VALUE(REGEXEXTRACT(A764, ""\d+""))"),917.0)</f>
        <v>917</v>
      </c>
    </row>
    <row r="765">
      <c r="A765" s="9" t="s">
        <v>3420</v>
      </c>
      <c r="B765" s="9" t="s">
        <v>3421</v>
      </c>
      <c r="D765" s="9" t="s">
        <v>3422</v>
      </c>
      <c r="G765" s="6" t="s">
        <v>3423</v>
      </c>
      <c r="J765" s="9" t="s">
        <v>3424</v>
      </c>
      <c r="O765" s="10">
        <f>IFERROR(__xludf.DUMMYFUNCTION("VALUE(REGEXEXTRACT(A765, ""\d+""))"),921.0)</f>
        <v>921</v>
      </c>
    </row>
    <row r="766">
      <c r="A766" s="9" t="s">
        <v>3425</v>
      </c>
      <c r="B766" s="9" t="s">
        <v>3426</v>
      </c>
      <c r="D766" s="9" t="s">
        <v>3427</v>
      </c>
      <c r="G766" s="6" t="s">
        <v>3428</v>
      </c>
      <c r="J766" s="9" t="s">
        <v>3429</v>
      </c>
      <c r="O766" s="10">
        <f>IFERROR(__xludf.DUMMYFUNCTION("VALUE(REGEXEXTRACT(A766, ""\d+""))"),922.0)</f>
        <v>922</v>
      </c>
    </row>
    <row r="767">
      <c r="A767" s="9" t="s">
        <v>3430</v>
      </c>
      <c r="B767" s="9" t="s">
        <v>3431</v>
      </c>
      <c r="D767" s="9" t="s">
        <v>3432</v>
      </c>
      <c r="G767" s="6" t="s">
        <v>3433</v>
      </c>
      <c r="J767" s="9" t="s">
        <v>3434</v>
      </c>
      <c r="O767" s="10">
        <f>IFERROR(__xludf.DUMMYFUNCTION("VALUE(REGEXEXTRACT(A767, ""\d+""))"),923.0)</f>
        <v>923</v>
      </c>
    </row>
    <row r="768">
      <c r="A768" s="9" t="s">
        <v>3435</v>
      </c>
      <c r="B768" s="9" t="s">
        <v>3436</v>
      </c>
      <c r="D768" s="9" t="s">
        <v>3437</v>
      </c>
      <c r="G768" s="6" t="s">
        <v>3438</v>
      </c>
      <c r="J768" s="9" t="s">
        <v>3439</v>
      </c>
      <c r="O768" s="10">
        <f>IFERROR(__xludf.DUMMYFUNCTION("VALUE(REGEXEXTRACT(A768, ""\d+""))"),924.0)</f>
        <v>924</v>
      </c>
    </row>
    <row r="769">
      <c r="A769" s="9" t="s">
        <v>3440</v>
      </c>
      <c r="B769" s="9" t="s">
        <v>3441</v>
      </c>
      <c r="D769" s="9" t="s">
        <v>3442</v>
      </c>
      <c r="G769" s="6" t="s">
        <v>3443</v>
      </c>
      <c r="J769" s="9" t="s">
        <v>3444</v>
      </c>
      <c r="O769" s="10">
        <f>IFERROR(__xludf.DUMMYFUNCTION("VALUE(REGEXEXTRACT(A769, ""\d+""))"),927.0)</f>
        <v>927</v>
      </c>
    </row>
    <row r="770">
      <c r="A770" s="9" t="s">
        <v>3445</v>
      </c>
      <c r="B770" s="9" t="s">
        <v>3446</v>
      </c>
      <c r="D770" s="9" t="s">
        <v>3447</v>
      </c>
      <c r="G770" s="6" t="s">
        <v>3448</v>
      </c>
      <c r="J770" s="9" t="s">
        <v>3449</v>
      </c>
      <c r="O770" s="10">
        <f>IFERROR(__xludf.DUMMYFUNCTION("VALUE(REGEXEXTRACT(A770, ""\d+""))"),928.0)</f>
        <v>928</v>
      </c>
    </row>
    <row r="771">
      <c r="A771" s="9" t="s">
        <v>3450</v>
      </c>
      <c r="B771" s="9" t="s">
        <v>3451</v>
      </c>
      <c r="D771" s="9" t="s">
        <v>3451</v>
      </c>
      <c r="G771" s="6" t="s">
        <v>3451</v>
      </c>
      <c r="J771" s="9" t="s">
        <v>3451</v>
      </c>
      <c r="O771" s="10">
        <f>IFERROR(__xludf.DUMMYFUNCTION("VALUE(REGEXEXTRACT(A771, ""\d+""))"),929.0)</f>
        <v>929</v>
      </c>
    </row>
    <row r="772">
      <c r="A772" s="9" t="s">
        <v>3452</v>
      </c>
      <c r="B772" s="9" t="s">
        <v>3453</v>
      </c>
      <c r="D772" s="9" t="s">
        <v>3454</v>
      </c>
      <c r="G772" s="6" t="s">
        <v>3455</v>
      </c>
      <c r="J772" s="9" t="s">
        <v>3456</v>
      </c>
      <c r="O772" s="10">
        <f>IFERROR(__xludf.DUMMYFUNCTION("VALUE(REGEXEXTRACT(A772, ""\d+""))"),930.0)</f>
        <v>930</v>
      </c>
    </row>
    <row r="773">
      <c r="A773" s="9" t="s">
        <v>3457</v>
      </c>
      <c r="B773" s="9" t="s">
        <v>3458</v>
      </c>
      <c r="D773" s="9" t="s">
        <v>3458</v>
      </c>
      <c r="G773" s="6" t="s">
        <v>3458</v>
      </c>
      <c r="J773" s="9" t="s">
        <v>3458</v>
      </c>
      <c r="O773" s="10">
        <f>IFERROR(__xludf.DUMMYFUNCTION("VALUE(REGEXEXTRACT(A773, ""\d+""))"),931.0)</f>
        <v>931</v>
      </c>
    </row>
    <row r="774">
      <c r="A774" s="9" t="s">
        <v>3459</v>
      </c>
      <c r="B774" s="9" t="s">
        <v>3460</v>
      </c>
      <c r="D774" s="9" t="s">
        <v>3460</v>
      </c>
      <c r="G774" s="6" t="s">
        <v>3460</v>
      </c>
      <c r="J774" s="9" t="s">
        <v>3460</v>
      </c>
      <c r="O774" s="10">
        <f>IFERROR(__xludf.DUMMYFUNCTION("VALUE(REGEXEXTRACT(A774, ""\d+""))"),932.0)</f>
        <v>932</v>
      </c>
    </row>
    <row r="775">
      <c r="A775" s="9" t="s">
        <v>3461</v>
      </c>
      <c r="B775" s="9" t="s">
        <v>3462</v>
      </c>
      <c r="G775" s="9" t="s">
        <v>3463</v>
      </c>
      <c r="O775" s="10">
        <f>IFERROR(__xludf.DUMMYFUNCTION("VALUE(REGEXEXTRACT(A775, ""\d+""))"),933.0)</f>
        <v>933</v>
      </c>
    </row>
    <row r="776">
      <c r="A776" s="9" t="s">
        <v>3464</v>
      </c>
      <c r="B776" s="9" t="s">
        <v>3465</v>
      </c>
      <c r="D776" s="9" t="s">
        <v>3466</v>
      </c>
      <c r="G776" s="6" t="s">
        <v>3467</v>
      </c>
      <c r="J776" s="9" t="s">
        <v>3468</v>
      </c>
      <c r="O776" s="10">
        <f>IFERROR(__xludf.DUMMYFUNCTION("VALUE(REGEXEXTRACT(A776, ""\d+""))"),934.0)</f>
        <v>934</v>
      </c>
    </row>
    <row r="777">
      <c r="A777" s="9" t="s">
        <v>3469</v>
      </c>
      <c r="B777" s="9" t="s">
        <v>3470</v>
      </c>
      <c r="D777" s="9" t="s">
        <v>3471</v>
      </c>
      <c r="G777" s="6" t="s">
        <v>3472</v>
      </c>
      <c r="J777" s="9" t="s">
        <v>3473</v>
      </c>
      <c r="O777" s="10">
        <f>IFERROR(__xludf.DUMMYFUNCTION("VALUE(REGEXEXTRACT(A777, ""\d+""))"),935.0)</f>
        <v>935</v>
      </c>
    </row>
    <row r="778">
      <c r="A778" s="9" t="s">
        <v>3474</v>
      </c>
      <c r="B778" s="9" t="s">
        <v>3475</v>
      </c>
      <c r="D778" s="9" t="s">
        <v>3476</v>
      </c>
      <c r="G778" s="6" t="s">
        <v>3477</v>
      </c>
      <c r="J778" s="9" t="s">
        <v>3478</v>
      </c>
      <c r="O778" s="10">
        <f>IFERROR(__xludf.DUMMYFUNCTION("VALUE(REGEXEXTRACT(A778, ""\d+""))"),936.0)</f>
        <v>936</v>
      </c>
    </row>
    <row r="779">
      <c r="A779" s="9" t="s">
        <v>3479</v>
      </c>
      <c r="B779" s="9" t="s">
        <v>3480</v>
      </c>
      <c r="D779" s="9" t="s">
        <v>3481</v>
      </c>
      <c r="G779" s="6" t="s">
        <v>3482</v>
      </c>
      <c r="J779" s="9" t="s">
        <v>3483</v>
      </c>
      <c r="O779" s="10">
        <f>IFERROR(__xludf.DUMMYFUNCTION("VALUE(REGEXEXTRACT(A779, ""\d+""))"),937.0)</f>
        <v>937</v>
      </c>
    </row>
    <row r="780">
      <c r="A780" s="9" t="s">
        <v>3484</v>
      </c>
      <c r="B780" s="9" t="s">
        <v>3485</v>
      </c>
      <c r="D780" s="9" t="s">
        <v>3486</v>
      </c>
      <c r="G780" s="6" t="s">
        <v>3487</v>
      </c>
      <c r="J780" s="9" t="s">
        <v>3488</v>
      </c>
      <c r="O780" s="10">
        <f>IFERROR(__xludf.DUMMYFUNCTION("VALUE(REGEXEXTRACT(A780, ""\d+""))"),938.0)</f>
        <v>938</v>
      </c>
    </row>
    <row r="781">
      <c r="A781" s="9" t="s">
        <v>3489</v>
      </c>
      <c r="B781" s="9" t="s">
        <v>3490</v>
      </c>
      <c r="D781" s="9" t="s">
        <v>3491</v>
      </c>
      <c r="G781" s="6" t="s">
        <v>3492</v>
      </c>
      <c r="J781" s="9" t="s">
        <v>3493</v>
      </c>
      <c r="O781" s="10">
        <f>IFERROR(__xludf.DUMMYFUNCTION("VALUE(REGEXEXTRACT(A781, ""\d+""))"),939.0)</f>
        <v>939</v>
      </c>
    </row>
    <row r="782">
      <c r="A782" s="9" t="s">
        <v>3494</v>
      </c>
      <c r="B782" s="9" t="s">
        <v>3495</v>
      </c>
      <c r="G782" s="6" t="s">
        <v>3496</v>
      </c>
      <c r="O782" s="10">
        <f>IFERROR(__xludf.DUMMYFUNCTION("VALUE(REGEXEXTRACT(A782, ""\d+""))"),940.0)</f>
        <v>940</v>
      </c>
    </row>
    <row r="783">
      <c r="A783" s="9" t="s">
        <v>3497</v>
      </c>
      <c r="B783" s="9" t="s">
        <v>3498</v>
      </c>
      <c r="D783" s="9" t="s">
        <v>3499</v>
      </c>
      <c r="G783" s="6" t="s">
        <v>3500</v>
      </c>
      <c r="J783" s="9" t="s">
        <v>3501</v>
      </c>
      <c r="O783" s="10">
        <f>IFERROR(__xludf.DUMMYFUNCTION("VALUE(REGEXEXTRACT(A783, ""\d+""))"),941.0)</f>
        <v>941</v>
      </c>
    </row>
    <row r="784">
      <c r="A784" s="9" t="s">
        <v>3502</v>
      </c>
      <c r="B784" s="9" t="s">
        <v>3503</v>
      </c>
      <c r="G784" s="6" t="s">
        <v>3504</v>
      </c>
      <c r="O784" s="10">
        <f>IFERROR(__xludf.DUMMYFUNCTION("VALUE(REGEXEXTRACT(A784, ""\d+""))"),942.0)</f>
        <v>942</v>
      </c>
    </row>
    <row r="785">
      <c r="A785" s="9" t="s">
        <v>3505</v>
      </c>
      <c r="B785" s="9" t="s">
        <v>3506</v>
      </c>
      <c r="G785" s="6" t="s">
        <v>3507</v>
      </c>
      <c r="O785" s="10">
        <f>IFERROR(__xludf.DUMMYFUNCTION("VALUE(REGEXEXTRACT(A785, ""\d+""))"),943.0)</f>
        <v>943</v>
      </c>
    </row>
    <row r="786">
      <c r="A786" s="9" t="s">
        <v>3508</v>
      </c>
      <c r="B786" s="9" t="s">
        <v>3509</v>
      </c>
      <c r="G786" s="6" t="s">
        <v>3510</v>
      </c>
      <c r="O786" s="10">
        <f>IFERROR(__xludf.DUMMYFUNCTION("VALUE(REGEXEXTRACT(A786, ""\d+""))"),944.0)</f>
        <v>944</v>
      </c>
    </row>
    <row r="787">
      <c r="A787" s="9" t="s">
        <v>3511</v>
      </c>
      <c r="B787" s="9" t="s">
        <v>3512</v>
      </c>
      <c r="G787" s="6" t="s">
        <v>3513</v>
      </c>
      <c r="O787" s="10">
        <f>IFERROR(__xludf.DUMMYFUNCTION("VALUE(REGEXEXTRACT(A787, ""\d+""))"),945.0)</f>
        <v>945</v>
      </c>
    </row>
    <row r="788">
      <c r="A788" s="9" t="s">
        <v>3514</v>
      </c>
      <c r="B788" s="9" t="s">
        <v>3515</v>
      </c>
      <c r="D788" s="9" t="s">
        <v>3516</v>
      </c>
      <c r="G788" s="6" t="s">
        <v>3516</v>
      </c>
      <c r="J788" s="9" t="s">
        <v>3515</v>
      </c>
      <c r="O788" s="10">
        <f>IFERROR(__xludf.DUMMYFUNCTION("VALUE(REGEXEXTRACT(A788, ""\d+""))"),946.0)</f>
        <v>946</v>
      </c>
    </row>
    <row r="789">
      <c r="A789" s="9" t="s">
        <v>3517</v>
      </c>
      <c r="B789" s="9" t="s">
        <v>3518</v>
      </c>
      <c r="D789" s="9" t="s">
        <v>3519</v>
      </c>
      <c r="G789" s="6" t="s">
        <v>3519</v>
      </c>
      <c r="J789" s="9" t="s">
        <v>3520</v>
      </c>
      <c r="O789" s="10">
        <f>IFERROR(__xludf.DUMMYFUNCTION("VALUE(REGEXEXTRACT(A789, ""\d+""))"),947.0)</f>
        <v>947</v>
      </c>
    </row>
    <row r="790">
      <c r="A790" s="9" t="s">
        <v>3521</v>
      </c>
      <c r="B790" s="9" t="s">
        <v>3522</v>
      </c>
      <c r="D790" s="9" t="s">
        <v>3523</v>
      </c>
      <c r="G790" s="6" t="s">
        <v>3524</v>
      </c>
      <c r="J790" s="9" t="s">
        <v>3525</v>
      </c>
      <c r="O790" s="10">
        <f>IFERROR(__xludf.DUMMYFUNCTION("VALUE(REGEXEXTRACT(A790, ""\d+""))"),948.0)</f>
        <v>948</v>
      </c>
    </row>
    <row r="791">
      <c r="A791" s="9" t="s">
        <v>3526</v>
      </c>
      <c r="B791" s="9" t="s">
        <v>3527</v>
      </c>
      <c r="D791" s="9" t="s">
        <v>3528</v>
      </c>
      <c r="G791" s="6" t="s">
        <v>3528</v>
      </c>
      <c r="J791" s="9" t="s">
        <v>3529</v>
      </c>
      <c r="O791" s="10">
        <f>IFERROR(__xludf.DUMMYFUNCTION("VALUE(REGEXEXTRACT(A791, ""\d+""))"),949.0)</f>
        <v>949</v>
      </c>
    </row>
    <row r="792">
      <c r="A792" s="9" t="s">
        <v>3530</v>
      </c>
      <c r="B792" s="9" t="s">
        <v>3531</v>
      </c>
      <c r="D792" s="9" t="s">
        <v>3532</v>
      </c>
      <c r="G792" s="6" t="s">
        <v>3532</v>
      </c>
      <c r="J792" s="9" t="s">
        <v>3531</v>
      </c>
      <c r="O792" s="10">
        <f>IFERROR(__xludf.DUMMYFUNCTION("VALUE(REGEXEXTRACT(A792, ""\d+""))"),950.0)</f>
        <v>950</v>
      </c>
    </row>
    <row r="793">
      <c r="A793" s="9" t="s">
        <v>3533</v>
      </c>
      <c r="B793" s="9" t="s">
        <v>3534</v>
      </c>
      <c r="D793" s="9" t="s">
        <v>3535</v>
      </c>
      <c r="G793" s="6" t="s">
        <v>3535</v>
      </c>
      <c r="J793" s="9" t="s">
        <v>3536</v>
      </c>
      <c r="O793" s="10">
        <f>IFERROR(__xludf.DUMMYFUNCTION("VALUE(REGEXEXTRACT(A793, ""\d+""))"),951.0)</f>
        <v>951</v>
      </c>
    </row>
    <row r="794">
      <c r="A794" s="9" t="s">
        <v>3537</v>
      </c>
      <c r="B794" s="9" t="s">
        <v>3538</v>
      </c>
      <c r="D794" s="9" t="s">
        <v>3539</v>
      </c>
      <c r="G794" s="6" t="s">
        <v>3539</v>
      </c>
      <c r="J794" s="9" t="s">
        <v>3540</v>
      </c>
      <c r="O794" s="10">
        <f>IFERROR(__xludf.DUMMYFUNCTION("VALUE(REGEXEXTRACT(A794, ""\d+""))"),952.0)</f>
        <v>952</v>
      </c>
    </row>
    <row r="795">
      <c r="A795" s="9" t="s">
        <v>3541</v>
      </c>
      <c r="B795" s="9" t="s">
        <v>3542</v>
      </c>
      <c r="D795" s="9" t="s">
        <v>3543</v>
      </c>
      <c r="G795" s="6" t="s">
        <v>3543</v>
      </c>
      <c r="J795" s="9" t="s">
        <v>3544</v>
      </c>
      <c r="O795" s="10">
        <f>IFERROR(__xludf.DUMMYFUNCTION("VALUE(REGEXEXTRACT(A795, ""\d+""))"),953.0)</f>
        <v>953</v>
      </c>
    </row>
    <row r="796">
      <c r="A796" s="9" t="s">
        <v>3545</v>
      </c>
      <c r="B796" s="9" t="s">
        <v>3546</v>
      </c>
      <c r="D796" s="9" t="s">
        <v>3547</v>
      </c>
      <c r="G796" s="6" t="s">
        <v>3547</v>
      </c>
      <c r="J796" s="9" t="s">
        <v>3548</v>
      </c>
      <c r="O796" s="10">
        <f>IFERROR(__xludf.DUMMYFUNCTION("VALUE(REGEXEXTRACT(A796, ""\d+""))"),955.0)</f>
        <v>955</v>
      </c>
    </row>
    <row r="797">
      <c r="A797" s="9" t="s">
        <v>3549</v>
      </c>
      <c r="B797" s="9" t="s">
        <v>3550</v>
      </c>
      <c r="D797" s="9" t="s">
        <v>3551</v>
      </c>
      <c r="G797" s="6" t="s">
        <v>3551</v>
      </c>
      <c r="J797" s="9" t="s">
        <v>3552</v>
      </c>
      <c r="O797" s="10">
        <f>IFERROR(__xludf.DUMMYFUNCTION("VALUE(REGEXEXTRACT(A797, ""\d+""))"),956.0)</f>
        <v>956</v>
      </c>
    </row>
    <row r="798">
      <c r="A798" s="9" t="s">
        <v>3553</v>
      </c>
      <c r="B798" s="9" t="s">
        <v>3554</v>
      </c>
      <c r="D798" s="9" t="s">
        <v>3555</v>
      </c>
      <c r="G798" s="6" t="s">
        <v>3555</v>
      </c>
      <c r="J798" s="9" t="s">
        <v>3556</v>
      </c>
      <c r="O798" s="10">
        <f>IFERROR(__xludf.DUMMYFUNCTION("VALUE(REGEXEXTRACT(A798, ""\d+""))"),957.0)</f>
        <v>957</v>
      </c>
    </row>
    <row r="799">
      <c r="A799" s="9" t="s">
        <v>3557</v>
      </c>
      <c r="B799" s="9" t="s">
        <v>3558</v>
      </c>
      <c r="D799" s="9" t="s">
        <v>3559</v>
      </c>
      <c r="G799" s="6" t="s">
        <v>3559</v>
      </c>
      <c r="J799" s="9" t="s">
        <v>3560</v>
      </c>
      <c r="O799" s="10">
        <f>IFERROR(__xludf.DUMMYFUNCTION("VALUE(REGEXEXTRACT(A799, ""\d+""))"),958.0)</f>
        <v>958</v>
      </c>
    </row>
    <row r="800">
      <c r="A800" s="9" t="s">
        <v>3561</v>
      </c>
      <c r="B800" s="9" t="s">
        <v>3562</v>
      </c>
      <c r="D800" s="9" t="s">
        <v>3563</v>
      </c>
      <c r="G800" s="6" t="s">
        <v>3563</v>
      </c>
      <c r="J800" s="9" t="s">
        <v>3564</v>
      </c>
      <c r="O800" s="10">
        <f>IFERROR(__xludf.DUMMYFUNCTION("VALUE(REGEXEXTRACT(A800, ""\d+""))"),959.0)</f>
        <v>959</v>
      </c>
    </row>
    <row r="801">
      <c r="A801" s="9" t="s">
        <v>3565</v>
      </c>
      <c r="B801" s="9" t="s">
        <v>3566</v>
      </c>
      <c r="D801" s="9" t="s">
        <v>3567</v>
      </c>
      <c r="G801" s="6" t="s">
        <v>3567</v>
      </c>
      <c r="J801" s="9" t="s">
        <v>3568</v>
      </c>
      <c r="O801" s="10">
        <f>IFERROR(__xludf.DUMMYFUNCTION("VALUE(REGEXEXTRACT(A801, ""\d+""))"),960.0)</f>
        <v>960</v>
      </c>
    </row>
    <row r="802">
      <c r="A802" s="9" t="s">
        <v>3569</v>
      </c>
      <c r="B802" s="9" t="s">
        <v>3570</v>
      </c>
      <c r="D802" s="9" t="s">
        <v>3571</v>
      </c>
      <c r="G802" s="6" t="s">
        <v>3571</v>
      </c>
      <c r="J802" s="9" t="s">
        <v>3572</v>
      </c>
      <c r="O802" s="10">
        <f>IFERROR(__xludf.DUMMYFUNCTION("VALUE(REGEXEXTRACT(A802, ""\d+""))"),961.0)</f>
        <v>961</v>
      </c>
    </row>
    <row r="803">
      <c r="A803" s="9" t="s">
        <v>3573</v>
      </c>
      <c r="B803" s="9" t="s">
        <v>3574</v>
      </c>
      <c r="D803" s="9" t="s">
        <v>3575</v>
      </c>
      <c r="G803" s="6" t="s">
        <v>3575</v>
      </c>
      <c r="J803" s="9" t="s">
        <v>3576</v>
      </c>
      <c r="O803" s="10">
        <f>IFERROR(__xludf.DUMMYFUNCTION("VALUE(REGEXEXTRACT(A803, ""\d+""))"),962.0)</f>
        <v>962</v>
      </c>
    </row>
    <row r="804">
      <c r="A804" s="9" t="s">
        <v>3577</v>
      </c>
      <c r="B804" s="9" t="s">
        <v>3578</v>
      </c>
      <c r="D804" s="9" t="s">
        <v>3579</v>
      </c>
      <c r="G804" s="6" t="s">
        <v>3579</v>
      </c>
      <c r="J804" s="9" t="s">
        <v>3580</v>
      </c>
      <c r="O804" s="10">
        <f>IFERROR(__xludf.DUMMYFUNCTION("VALUE(REGEXEXTRACT(A804, ""\d+""))"),963.0)</f>
        <v>963</v>
      </c>
    </row>
    <row r="805">
      <c r="A805" s="9" t="s">
        <v>3581</v>
      </c>
      <c r="B805" s="9" t="s">
        <v>3582</v>
      </c>
      <c r="D805" s="9" t="s">
        <v>3582</v>
      </c>
      <c r="G805" s="6" t="s">
        <v>3582</v>
      </c>
      <c r="J805" s="9" t="s">
        <v>3582</v>
      </c>
      <c r="O805" s="10">
        <f>IFERROR(__xludf.DUMMYFUNCTION("VALUE(REGEXEXTRACT(A805, ""\d+""))"),964.0)</f>
        <v>964</v>
      </c>
    </row>
    <row r="806">
      <c r="A806" s="9" t="s">
        <v>3583</v>
      </c>
      <c r="B806" s="9" t="s">
        <v>3584</v>
      </c>
      <c r="D806" s="9" t="s">
        <v>3585</v>
      </c>
      <c r="G806" s="6" t="s">
        <v>3585</v>
      </c>
      <c r="J806" s="9" t="s">
        <v>3586</v>
      </c>
      <c r="O806" s="10">
        <f>IFERROR(__xludf.DUMMYFUNCTION("VALUE(REGEXEXTRACT(A806, ""\d+""))"),965.0)</f>
        <v>965</v>
      </c>
    </row>
    <row r="807">
      <c r="A807" s="9" t="s">
        <v>3587</v>
      </c>
      <c r="B807" s="9" t="s">
        <v>3588</v>
      </c>
      <c r="D807" s="9" t="s">
        <v>3589</v>
      </c>
      <c r="G807" s="6" t="s">
        <v>3589</v>
      </c>
      <c r="J807" s="9" t="s">
        <v>3590</v>
      </c>
      <c r="O807" s="10">
        <f>IFERROR(__xludf.DUMMYFUNCTION("VALUE(REGEXEXTRACT(A807, ""\d+""))"),966.0)</f>
        <v>966</v>
      </c>
    </row>
    <row r="808">
      <c r="A808" s="9" t="s">
        <v>3591</v>
      </c>
      <c r="B808" s="9" t="s">
        <v>3592</v>
      </c>
      <c r="D808" s="9" t="s">
        <v>3593</v>
      </c>
      <c r="G808" s="6" t="s">
        <v>3593</v>
      </c>
      <c r="J808" s="9" t="s">
        <v>3594</v>
      </c>
      <c r="O808" s="10">
        <f>IFERROR(__xludf.DUMMYFUNCTION("VALUE(REGEXEXTRACT(A808, ""\d+""))"),967.0)</f>
        <v>967</v>
      </c>
    </row>
    <row r="809">
      <c r="A809" s="9" t="s">
        <v>3595</v>
      </c>
      <c r="B809" s="9" t="s">
        <v>3596</v>
      </c>
      <c r="D809" s="9" t="s">
        <v>3597</v>
      </c>
      <c r="G809" s="6" t="s">
        <v>3597</v>
      </c>
      <c r="J809" s="9" t="s">
        <v>3598</v>
      </c>
      <c r="O809" s="10">
        <f>IFERROR(__xludf.DUMMYFUNCTION("VALUE(REGEXEXTRACT(A809, ""\d+""))"),968.0)</f>
        <v>968</v>
      </c>
    </row>
    <row r="810">
      <c r="A810" s="9" t="s">
        <v>3599</v>
      </c>
      <c r="B810" s="9" t="s">
        <v>3600</v>
      </c>
      <c r="D810" s="9" t="s">
        <v>3601</v>
      </c>
      <c r="G810" s="6" t="s">
        <v>3601</v>
      </c>
      <c r="J810" s="9" t="s">
        <v>3602</v>
      </c>
      <c r="O810" s="10">
        <f>IFERROR(__xludf.DUMMYFUNCTION("VALUE(REGEXEXTRACT(A810, ""\d+""))"),969.0)</f>
        <v>969</v>
      </c>
    </row>
    <row r="811">
      <c r="A811" s="9" t="s">
        <v>3603</v>
      </c>
      <c r="B811" s="9" t="s">
        <v>3604</v>
      </c>
      <c r="D811" s="9" t="s">
        <v>3605</v>
      </c>
      <c r="G811" s="6" t="s">
        <v>3605</v>
      </c>
      <c r="J811" s="9" t="s">
        <v>3606</v>
      </c>
      <c r="O811" s="10">
        <f>IFERROR(__xludf.DUMMYFUNCTION("VALUE(REGEXEXTRACT(A811, ""\d+""))"),970.0)</f>
        <v>970</v>
      </c>
    </row>
    <row r="812">
      <c r="A812" s="9" t="s">
        <v>3607</v>
      </c>
      <c r="B812" s="9" t="s">
        <v>3608</v>
      </c>
      <c r="D812" s="9" t="s">
        <v>3609</v>
      </c>
      <c r="G812" s="6" t="s">
        <v>3609</v>
      </c>
      <c r="J812" s="9" t="s">
        <v>3610</v>
      </c>
      <c r="O812" s="10">
        <f>IFERROR(__xludf.DUMMYFUNCTION("VALUE(REGEXEXTRACT(A812, ""\d+""))"),971.0)</f>
        <v>971</v>
      </c>
    </row>
    <row r="813">
      <c r="A813" s="9" t="s">
        <v>3611</v>
      </c>
      <c r="B813" s="9" t="s">
        <v>3612</v>
      </c>
      <c r="D813" s="9" t="s">
        <v>3613</v>
      </c>
      <c r="G813" s="6" t="s">
        <v>3613</v>
      </c>
      <c r="J813" s="9" t="s">
        <v>3614</v>
      </c>
      <c r="O813" s="10">
        <f>IFERROR(__xludf.DUMMYFUNCTION("VALUE(REGEXEXTRACT(A813, ""\d+""))"),972.0)</f>
        <v>972</v>
      </c>
    </row>
    <row r="814">
      <c r="A814" s="9" t="s">
        <v>3615</v>
      </c>
      <c r="B814" s="9" t="s">
        <v>3616</v>
      </c>
      <c r="D814" s="9" t="s">
        <v>3617</v>
      </c>
      <c r="G814" s="6" t="s">
        <v>3617</v>
      </c>
      <c r="J814" s="9" t="s">
        <v>3540</v>
      </c>
      <c r="O814" s="10">
        <f>IFERROR(__xludf.DUMMYFUNCTION("VALUE(REGEXEXTRACT(A814, ""\d+""))"),973.0)</f>
        <v>973</v>
      </c>
    </row>
    <row r="815">
      <c r="A815" s="9" t="s">
        <v>3618</v>
      </c>
      <c r="B815" s="9" t="s">
        <v>3619</v>
      </c>
      <c r="D815" s="9" t="s">
        <v>3620</v>
      </c>
      <c r="G815" s="6" t="s">
        <v>3620</v>
      </c>
      <c r="J815" s="9" t="s">
        <v>3621</v>
      </c>
      <c r="O815" s="10">
        <f>IFERROR(__xludf.DUMMYFUNCTION("VALUE(REGEXEXTRACT(A815, ""\d+""))"),974.0)</f>
        <v>974</v>
      </c>
    </row>
    <row r="816">
      <c r="A816" s="9" t="s">
        <v>3622</v>
      </c>
      <c r="B816" s="9" t="s">
        <v>3623</v>
      </c>
      <c r="D816" s="9" t="s">
        <v>3624</v>
      </c>
      <c r="G816" s="6" t="s">
        <v>3624</v>
      </c>
      <c r="J816" s="9" t="s">
        <v>3625</v>
      </c>
      <c r="O816" s="10">
        <f>IFERROR(__xludf.DUMMYFUNCTION("VALUE(REGEXEXTRACT(A816, ""\d+""))"),975.0)</f>
        <v>975</v>
      </c>
    </row>
    <row r="817">
      <c r="A817" s="9" t="s">
        <v>3626</v>
      </c>
      <c r="B817" s="9" t="s">
        <v>3627</v>
      </c>
      <c r="D817" s="9" t="s">
        <v>3628</v>
      </c>
      <c r="G817" s="6" t="s">
        <v>3628</v>
      </c>
      <c r="J817" s="9" t="s">
        <v>3629</v>
      </c>
      <c r="O817" s="10">
        <f>IFERROR(__xludf.DUMMYFUNCTION("VALUE(REGEXEXTRACT(A817, ""\d+""))"),976.0)</f>
        <v>976</v>
      </c>
    </row>
    <row r="818">
      <c r="A818" s="9" t="s">
        <v>3630</v>
      </c>
      <c r="B818" s="9" t="s">
        <v>3631</v>
      </c>
      <c r="D818" s="9" t="s">
        <v>3632</v>
      </c>
      <c r="G818" s="6" t="s">
        <v>3632</v>
      </c>
      <c r="J818" s="9" t="s">
        <v>3633</v>
      </c>
      <c r="O818" s="10">
        <f>IFERROR(__xludf.DUMMYFUNCTION("VALUE(REGEXEXTRACT(A818, ""\d+""))"),977.0)</f>
        <v>977</v>
      </c>
    </row>
    <row r="819">
      <c r="A819" s="9" t="s">
        <v>3634</v>
      </c>
      <c r="B819" s="9" t="s">
        <v>3635</v>
      </c>
      <c r="D819" s="9" t="s">
        <v>3636</v>
      </c>
      <c r="G819" s="6" t="s">
        <v>3636</v>
      </c>
      <c r="J819" s="9" t="s">
        <v>3637</v>
      </c>
      <c r="O819" s="10">
        <f>IFERROR(__xludf.DUMMYFUNCTION("VALUE(REGEXEXTRACT(A819, ""\d+""))"),978.0)</f>
        <v>978</v>
      </c>
    </row>
    <row r="820">
      <c r="A820" s="9" t="s">
        <v>3638</v>
      </c>
      <c r="B820" s="9" t="s">
        <v>3639</v>
      </c>
      <c r="D820" s="9" t="s">
        <v>3640</v>
      </c>
      <c r="G820" s="6" t="s">
        <v>3641</v>
      </c>
      <c r="J820" s="9" t="s">
        <v>3642</v>
      </c>
      <c r="O820" s="10">
        <f>IFERROR(__xludf.DUMMYFUNCTION("VALUE(REGEXEXTRACT(A820, ""\d+""))"),979.0)</f>
        <v>979</v>
      </c>
    </row>
    <row r="821">
      <c r="A821" s="9" t="s">
        <v>3643</v>
      </c>
      <c r="B821" s="9" t="s">
        <v>3644</v>
      </c>
      <c r="D821" s="9" t="s">
        <v>3645</v>
      </c>
      <c r="G821" s="6" t="s">
        <v>3646</v>
      </c>
      <c r="J821" s="9" t="s">
        <v>3647</v>
      </c>
      <c r="O821" s="10">
        <f>IFERROR(__xludf.DUMMYFUNCTION("VALUE(REGEXEXTRACT(A821, ""\d+""))"),980.0)</f>
        <v>980</v>
      </c>
    </row>
    <row r="822">
      <c r="A822" s="9" t="s">
        <v>3648</v>
      </c>
      <c r="B822" s="9" t="s">
        <v>3649</v>
      </c>
      <c r="G822" s="6" t="s">
        <v>3650</v>
      </c>
      <c r="O822" s="10">
        <f>IFERROR(__xludf.DUMMYFUNCTION("VALUE(REGEXEXTRACT(A822, ""\d+""))"),981.0)</f>
        <v>981</v>
      </c>
    </row>
    <row r="823">
      <c r="A823" s="9" t="s">
        <v>3651</v>
      </c>
      <c r="B823" s="9" t="s">
        <v>3652</v>
      </c>
      <c r="G823" s="6" t="s">
        <v>3653</v>
      </c>
      <c r="O823" s="10">
        <f>IFERROR(__xludf.DUMMYFUNCTION("VALUE(REGEXEXTRACT(A823, ""\d+""))"),982.0)</f>
        <v>982</v>
      </c>
    </row>
    <row r="824">
      <c r="A824" s="9" t="s">
        <v>3654</v>
      </c>
      <c r="B824" s="9" t="s">
        <v>3655</v>
      </c>
      <c r="G824" s="6" t="s">
        <v>3656</v>
      </c>
      <c r="O824" s="10">
        <f>IFERROR(__xludf.DUMMYFUNCTION("VALUE(REGEXEXTRACT(A824, ""\d+""))"),983.0)</f>
        <v>983</v>
      </c>
    </row>
    <row r="825">
      <c r="A825" s="9" t="s">
        <v>3657</v>
      </c>
      <c r="B825" s="9" t="s">
        <v>3658</v>
      </c>
      <c r="G825" s="6" t="s">
        <v>3659</v>
      </c>
      <c r="O825" s="10">
        <f>IFERROR(__xludf.DUMMYFUNCTION("VALUE(REGEXEXTRACT(A825, ""\d+""))"),984.0)</f>
        <v>984</v>
      </c>
    </row>
    <row r="826">
      <c r="A826" s="9" t="s">
        <v>3660</v>
      </c>
      <c r="B826" s="9" t="s">
        <v>3661</v>
      </c>
      <c r="D826" s="9" t="s">
        <v>3661</v>
      </c>
      <c r="G826" s="6" t="s">
        <v>3661</v>
      </c>
      <c r="J826" s="9" t="s">
        <v>3662</v>
      </c>
      <c r="O826" s="10">
        <f>IFERROR(__xludf.DUMMYFUNCTION("VALUE(REGEXEXTRACT(A826, ""\d+""))"),985.0)</f>
        <v>985</v>
      </c>
    </row>
    <row r="827">
      <c r="A827" s="9" t="s">
        <v>3663</v>
      </c>
      <c r="B827" s="9" t="s">
        <v>3664</v>
      </c>
      <c r="D827" s="9" t="s">
        <v>3665</v>
      </c>
      <c r="G827" s="6" t="s">
        <v>3666</v>
      </c>
      <c r="J827" s="9" t="s">
        <v>3667</v>
      </c>
      <c r="O827" s="10">
        <f>IFERROR(__xludf.DUMMYFUNCTION("VALUE(REGEXEXTRACT(A827, ""\d+""))"),986.0)</f>
        <v>986</v>
      </c>
    </row>
    <row r="828">
      <c r="A828" s="9" t="s">
        <v>3668</v>
      </c>
      <c r="B828" s="9" t="s">
        <v>3669</v>
      </c>
      <c r="G828" s="6" t="s">
        <v>3670</v>
      </c>
      <c r="O828" s="10">
        <f>IFERROR(__xludf.DUMMYFUNCTION("VALUE(REGEXEXTRACT(A828, ""\d+""))"),987.0)</f>
        <v>987</v>
      </c>
    </row>
    <row r="829">
      <c r="A829" s="9" t="s">
        <v>3671</v>
      </c>
      <c r="B829" s="9" t="s">
        <v>3672</v>
      </c>
      <c r="G829" s="6" t="s">
        <v>3673</v>
      </c>
      <c r="O829" s="10">
        <f>IFERROR(__xludf.DUMMYFUNCTION("VALUE(REGEXEXTRACT(A829, ""\d+""))"),988.0)</f>
        <v>988</v>
      </c>
    </row>
    <row r="830">
      <c r="A830" s="9" t="s">
        <v>3674</v>
      </c>
      <c r="B830" s="9" t="s">
        <v>3675</v>
      </c>
      <c r="D830" s="9" t="s">
        <v>3676</v>
      </c>
      <c r="G830" s="6" t="s">
        <v>3677</v>
      </c>
      <c r="J830" s="9" t="s">
        <v>3678</v>
      </c>
      <c r="O830" s="10">
        <f>IFERROR(__xludf.DUMMYFUNCTION("VALUE(REGEXEXTRACT(A830, ""\d+""))"),989.0)</f>
        <v>989</v>
      </c>
    </row>
    <row r="831">
      <c r="A831" s="9" t="s">
        <v>3679</v>
      </c>
      <c r="B831" s="9" t="s">
        <v>3680</v>
      </c>
      <c r="D831" s="9" t="s">
        <v>3681</v>
      </c>
      <c r="G831" s="6" t="s">
        <v>3682</v>
      </c>
      <c r="J831" s="9" t="s">
        <v>3683</v>
      </c>
      <c r="O831" s="10">
        <f>IFERROR(__xludf.DUMMYFUNCTION("VALUE(REGEXEXTRACT(A831, ""\d+""))"),990.0)</f>
        <v>990</v>
      </c>
    </row>
    <row r="832">
      <c r="A832" s="9" t="s">
        <v>3684</v>
      </c>
      <c r="B832" s="9" t="s">
        <v>3685</v>
      </c>
      <c r="D832" s="9" t="s">
        <v>3686</v>
      </c>
      <c r="G832" s="6" t="s">
        <v>3687</v>
      </c>
      <c r="J832" s="9" t="s">
        <v>3688</v>
      </c>
      <c r="O832" s="10">
        <f>IFERROR(__xludf.DUMMYFUNCTION("VALUE(REGEXEXTRACT(A832, ""\d+""))"),991.0)</f>
        <v>991</v>
      </c>
    </row>
    <row r="833">
      <c r="A833" s="9" t="s">
        <v>3689</v>
      </c>
      <c r="B833" s="9" t="s">
        <v>3690</v>
      </c>
      <c r="D833" s="9" t="s">
        <v>3691</v>
      </c>
      <c r="G833" s="6" t="s">
        <v>3692</v>
      </c>
      <c r="J833" s="9" t="s">
        <v>3693</v>
      </c>
      <c r="O833" s="10">
        <f>IFERROR(__xludf.DUMMYFUNCTION("VALUE(REGEXEXTRACT(A833, ""\d+""))"),992.0)</f>
        <v>992</v>
      </c>
    </row>
    <row r="834">
      <c r="A834" s="9" t="s">
        <v>3694</v>
      </c>
      <c r="B834" s="9" t="s">
        <v>3695</v>
      </c>
      <c r="D834" s="9" t="s">
        <v>3696</v>
      </c>
      <c r="G834" s="6" t="s">
        <v>3697</v>
      </c>
      <c r="J834" s="9" t="s">
        <v>3698</v>
      </c>
      <c r="O834" s="10">
        <f>IFERROR(__xludf.DUMMYFUNCTION("VALUE(REGEXEXTRACT(A834, ""\d+""))"),993.0)</f>
        <v>993</v>
      </c>
    </row>
    <row r="835">
      <c r="A835" s="9" t="s">
        <v>3699</v>
      </c>
      <c r="B835" s="9" t="s">
        <v>3700</v>
      </c>
      <c r="G835" s="6" t="s">
        <v>3701</v>
      </c>
      <c r="O835" s="10">
        <f>IFERROR(__xludf.DUMMYFUNCTION("VALUE(REGEXEXTRACT(A835, ""\d+""))"),994.0)</f>
        <v>994</v>
      </c>
    </row>
    <row r="836">
      <c r="A836" s="9" t="s">
        <v>3702</v>
      </c>
      <c r="B836" s="9" t="s">
        <v>3703</v>
      </c>
      <c r="G836" s="6" t="s">
        <v>3704</v>
      </c>
      <c r="O836" s="10">
        <f>IFERROR(__xludf.DUMMYFUNCTION("VALUE(REGEXEXTRACT(A836, ""\d+""))"),995.0)</f>
        <v>995</v>
      </c>
    </row>
    <row r="837">
      <c r="A837" s="9" t="s">
        <v>3705</v>
      </c>
      <c r="B837" s="9" t="s">
        <v>3706</v>
      </c>
      <c r="G837" s="6" t="s">
        <v>3707</v>
      </c>
      <c r="O837" s="10">
        <f>IFERROR(__xludf.DUMMYFUNCTION("VALUE(REGEXEXTRACT(A837, ""\d+""))"),996.0)</f>
        <v>996</v>
      </c>
    </row>
    <row r="838">
      <c r="A838" s="9" t="s">
        <v>3708</v>
      </c>
      <c r="B838" s="9" t="s">
        <v>3709</v>
      </c>
      <c r="G838" s="6" t="s">
        <v>3710</v>
      </c>
      <c r="O838" s="10">
        <f>IFERROR(__xludf.DUMMYFUNCTION("VALUE(REGEXEXTRACT(A838, ""\d+""))"),997.0)</f>
        <v>997</v>
      </c>
    </row>
    <row r="839">
      <c r="A839" s="9" t="s">
        <v>3711</v>
      </c>
      <c r="B839" s="9" t="s">
        <v>3712</v>
      </c>
      <c r="D839" s="9" t="s">
        <v>3712</v>
      </c>
      <c r="G839" s="6" t="s">
        <v>3712</v>
      </c>
      <c r="J839" s="9" t="s">
        <v>3712</v>
      </c>
      <c r="O839" s="10">
        <f>IFERROR(__xludf.DUMMYFUNCTION("VALUE(REGEXEXTRACT(A839, ""\d+""))"),998.0)</f>
        <v>998</v>
      </c>
    </row>
    <row r="840">
      <c r="A840" s="9" t="s">
        <v>3713</v>
      </c>
      <c r="B840" s="9" t="s">
        <v>3714</v>
      </c>
      <c r="D840" s="9" t="s">
        <v>3714</v>
      </c>
      <c r="G840" s="6" t="s">
        <v>3714</v>
      </c>
      <c r="J840" s="9" t="s">
        <v>3714</v>
      </c>
      <c r="O840" s="10">
        <f>IFERROR(__xludf.DUMMYFUNCTION("VALUE(REGEXEXTRACT(A840, ""\d+""))"),999.0)</f>
        <v>999</v>
      </c>
    </row>
    <row r="841">
      <c r="A841" s="9" t="s">
        <v>3715</v>
      </c>
      <c r="B841" s="9" t="s">
        <v>3716</v>
      </c>
      <c r="D841" s="9" t="s">
        <v>3717</v>
      </c>
      <c r="G841" s="6" t="s">
        <v>3718</v>
      </c>
      <c r="J841" s="9" t="s">
        <v>3719</v>
      </c>
      <c r="O841" s="10">
        <f>IFERROR(__xludf.DUMMYFUNCTION("VALUE(REGEXEXTRACT(A841, ""\d+""))"),1000.0)</f>
        <v>1000</v>
      </c>
    </row>
    <row r="842">
      <c r="A842" s="9" t="s">
        <v>3720</v>
      </c>
      <c r="B842" s="9" t="s">
        <v>3721</v>
      </c>
      <c r="D842" s="9" t="s">
        <v>3721</v>
      </c>
      <c r="G842" s="6" t="s">
        <v>3721</v>
      </c>
      <c r="J842" s="9" t="s">
        <v>3721</v>
      </c>
      <c r="O842" s="10">
        <f>IFERROR(__xludf.DUMMYFUNCTION("VALUE(REGEXEXTRACT(A842, ""\d+""))"),1001.0)</f>
        <v>1001</v>
      </c>
    </row>
    <row r="843">
      <c r="A843" s="9" t="s">
        <v>3722</v>
      </c>
      <c r="B843" s="9" t="s">
        <v>3723</v>
      </c>
      <c r="D843" s="9" t="s">
        <v>3724</v>
      </c>
      <c r="G843" s="6" t="s">
        <v>3725</v>
      </c>
      <c r="J843" s="9" t="s">
        <v>3726</v>
      </c>
      <c r="O843" s="10">
        <f>IFERROR(__xludf.DUMMYFUNCTION("VALUE(REGEXEXTRACT(A843, ""\d+""))"),1002.0)</f>
        <v>1002</v>
      </c>
    </row>
    <row r="844">
      <c r="A844" s="9" t="s">
        <v>3727</v>
      </c>
      <c r="B844" s="9" t="s">
        <v>3728</v>
      </c>
      <c r="D844" s="9" t="s">
        <v>3729</v>
      </c>
      <c r="G844" s="6" t="s">
        <v>3730</v>
      </c>
      <c r="J844" s="9" t="s">
        <v>3731</v>
      </c>
      <c r="O844" s="10">
        <f>IFERROR(__xludf.DUMMYFUNCTION("VALUE(REGEXEXTRACT(A844, ""\d+""))"),1003.0)</f>
        <v>1003</v>
      </c>
    </row>
    <row r="845">
      <c r="A845" s="9" t="s">
        <v>3732</v>
      </c>
      <c r="B845" s="9" t="s">
        <v>3733</v>
      </c>
      <c r="D845" s="9" t="s">
        <v>3734</v>
      </c>
      <c r="G845" s="6" t="s">
        <v>3735</v>
      </c>
      <c r="J845" s="9" t="s">
        <v>3736</v>
      </c>
      <c r="O845" s="10">
        <f>IFERROR(__xludf.DUMMYFUNCTION("VALUE(REGEXEXTRACT(A845, ""\d+""))"),1006.0)</f>
        <v>1006</v>
      </c>
    </row>
    <row r="846">
      <c r="A846" s="9" t="s">
        <v>3737</v>
      </c>
      <c r="B846" s="9" t="s">
        <v>3738</v>
      </c>
      <c r="D846" s="9" t="s">
        <v>3739</v>
      </c>
      <c r="G846" s="6" t="s">
        <v>3739</v>
      </c>
      <c r="J846" s="9" t="s">
        <v>3740</v>
      </c>
      <c r="O846" s="10">
        <f>IFERROR(__xludf.DUMMYFUNCTION("VALUE(REGEXEXTRACT(A846, ""\d+""))"),1007.0)</f>
        <v>1007</v>
      </c>
    </row>
    <row r="847">
      <c r="A847" s="9" t="s">
        <v>3741</v>
      </c>
      <c r="B847" s="9" t="s">
        <v>3742</v>
      </c>
      <c r="D847" s="9" t="s">
        <v>3743</v>
      </c>
      <c r="G847" s="6" t="s">
        <v>3743</v>
      </c>
      <c r="J847" s="9" t="s">
        <v>3744</v>
      </c>
      <c r="O847" s="10">
        <f>IFERROR(__xludf.DUMMYFUNCTION("VALUE(REGEXEXTRACT(A847, ""\d+""))"),1008.0)</f>
        <v>1008</v>
      </c>
    </row>
    <row r="848">
      <c r="A848" s="9" t="s">
        <v>3745</v>
      </c>
      <c r="B848" s="9" t="s">
        <v>3746</v>
      </c>
      <c r="D848" s="9" t="s">
        <v>3747</v>
      </c>
      <c r="G848" s="6" t="s">
        <v>3747</v>
      </c>
      <c r="J848" s="9" t="s">
        <v>3748</v>
      </c>
      <c r="O848" s="10">
        <f>IFERROR(__xludf.DUMMYFUNCTION("VALUE(REGEXEXTRACT(A848, ""\d+""))"),1009.0)</f>
        <v>1009</v>
      </c>
    </row>
    <row r="849">
      <c r="A849" s="9" t="s">
        <v>3749</v>
      </c>
      <c r="B849" s="9" t="s">
        <v>3750</v>
      </c>
      <c r="D849" s="9" t="s">
        <v>3751</v>
      </c>
      <c r="G849" s="6" t="s">
        <v>3751</v>
      </c>
      <c r="J849" s="9" t="s">
        <v>3752</v>
      </c>
      <c r="O849" s="10">
        <f>IFERROR(__xludf.DUMMYFUNCTION("VALUE(REGEXEXTRACT(A849, ""\d+""))"),1010.0)</f>
        <v>1010</v>
      </c>
    </row>
    <row r="850">
      <c r="A850" s="9" t="s">
        <v>3753</v>
      </c>
      <c r="B850" s="9" t="s">
        <v>3754</v>
      </c>
      <c r="D850" s="9" t="s">
        <v>3755</v>
      </c>
      <c r="G850" s="6" t="s">
        <v>3756</v>
      </c>
      <c r="J850" s="9" t="s">
        <v>3757</v>
      </c>
      <c r="O850" s="10">
        <f>IFERROR(__xludf.DUMMYFUNCTION("VALUE(REGEXEXTRACT(A850, ""\d+""))"),1011.0)</f>
        <v>1011</v>
      </c>
    </row>
    <row r="851">
      <c r="A851" s="9" t="s">
        <v>3758</v>
      </c>
      <c r="B851" s="9" t="s">
        <v>3759</v>
      </c>
      <c r="D851" s="9" t="s">
        <v>3760</v>
      </c>
      <c r="G851" s="6" t="s">
        <v>3760</v>
      </c>
      <c r="J851" s="9" t="s">
        <v>3761</v>
      </c>
      <c r="O851" s="10">
        <f>IFERROR(__xludf.DUMMYFUNCTION("VALUE(REGEXEXTRACT(A851, ""\d+""))"),1012.0)</f>
        <v>1012</v>
      </c>
    </row>
    <row r="852">
      <c r="A852" s="9" t="s">
        <v>3762</v>
      </c>
      <c r="B852" s="9" t="s">
        <v>3763</v>
      </c>
      <c r="D852" s="9" t="s">
        <v>3764</v>
      </c>
      <c r="G852" s="6" t="s">
        <v>3765</v>
      </c>
      <c r="J852" s="9" t="s">
        <v>3766</v>
      </c>
      <c r="O852" s="10">
        <f>IFERROR(__xludf.DUMMYFUNCTION("VALUE(REGEXEXTRACT(A852, ""\d+""))"),1013.0)</f>
        <v>1013</v>
      </c>
    </row>
    <row r="853">
      <c r="A853" s="9" t="s">
        <v>3767</v>
      </c>
      <c r="B853" s="9" t="s">
        <v>3768</v>
      </c>
      <c r="D853" s="9" t="s">
        <v>3769</v>
      </c>
      <c r="G853" s="6" t="s">
        <v>3769</v>
      </c>
      <c r="J853" s="9" t="s">
        <v>3770</v>
      </c>
      <c r="O853" s="10">
        <f>IFERROR(__xludf.DUMMYFUNCTION("VALUE(REGEXEXTRACT(A853, ""\d+""))"),1014.0)</f>
        <v>1014</v>
      </c>
    </row>
    <row r="854">
      <c r="A854" s="9" t="s">
        <v>3771</v>
      </c>
      <c r="B854" s="9" t="s">
        <v>3772</v>
      </c>
      <c r="D854" s="9" t="s">
        <v>3773</v>
      </c>
      <c r="G854" s="6" t="s">
        <v>3773</v>
      </c>
      <c r="J854" s="9" t="s">
        <v>3774</v>
      </c>
      <c r="O854" s="10">
        <f>IFERROR(__xludf.DUMMYFUNCTION("VALUE(REGEXEXTRACT(A854, ""\d+""))"),1015.0)</f>
        <v>1015</v>
      </c>
    </row>
    <row r="855">
      <c r="A855" s="9" t="s">
        <v>3775</v>
      </c>
      <c r="B855" s="9" t="s">
        <v>3776</v>
      </c>
      <c r="D855" s="9" t="s">
        <v>3777</v>
      </c>
      <c r="G855" s="6" t="s">
        <v>3778</v>
      </c>
      <c r="J855" s="9" t="s">
        <v>3779</v>
      </c>
      <c r="O855" s="10">
        <f>IFERROR(__xludf.DUMMYFUNCTION("VALUE(REGEXEXTRACT(A855, ""\d+""))"),1016.0)</f>
        <v>1016</v>
      </c>
    </row>
    <row r="856">
      <c r="A856" s="9" t="s">
        <v>3780</v>
      </c>
      <c r="B856" s="9" t="s">
        <v>3781</v>
      </c>
      <c r="D856" s="9" t="s">
        <v>3782</v>
      </c>
      <c r="G856" s="6" t="s">
        <v>3783</v>
      </c>
      <c r="J856" s="9" t="s">
        <v>3784</v>
      </c>
      <c r="O856" s="10">
        <f>IFERROR(__xludf.DUMMYFUNCTION("VALUE(REGEXEXTRACT(A856, ""\d+""))"),1017.0)</f>
        <v>1017</v>
      </c>
    </row>
    <row r="857">
      <c r="A857" s="9" t="s">
        <v>3785</v>
      </c>
      <c r="B857" s="9" t="s">
        <v>3786</v>
      </c>
      <c r="D857" s="9" t="s">
        <v>3787</v>
      </c>
      <c r="G857" s="6" t="s">
        <v>3788</v>
      </c>
      <c r="J857" s="9" t="s">
        <v>3789</v>
      </c>
      <c r="O857" s="10">
        <f>IFERROR(__xludf.DUMMYFUNCTION("VALUE(REGEXEXTRACT(A857, ""\d+""))"),1018.0)</f>
        <v>1018</v>
      </c>
    </row>
    <row r="858">
      <c r="A858" s="9" t="s">
        <v>3790</v>
      </c>
      <c r="B858" s="9" t="s">
        <v>3791</v>
      </c>
      <c r="D858" s="9" t="s">
        <v>3792</v>
      </c>
      <c r="G858" s="6" t="s">
        <v>3792</v>
      </c>
      <c r="J858" s="9" t="s">
        <v>3791</v>
      </c>
      <c r="O858" s="10">
        <f>IFERROR(__xludf.DUMMYFUNCTION("VALUE(REGEXEXTRACT(A858, ""\d+""))"),1019.0)</f>
        <v>1019</v>
      </c>
    </row>
    <row r="859">
      <c r="A859" s="9" t="s">
        <v>3793</v>
      </c>
      <c r="B859" s="9" t="s">
        <v>3794</v>
      </c>
      <c r="D859" s="9" t="s">
        <v>3795</v>
      </c>
      <c r="G859" s="6" t="s">
        <v>3795</v>
      </c>
      <c r="J859" s="9" t="s">
        <v>3796</v>
      </c>
      <c r="O859" s="10">
        <f>IFERROR(__xludf.DUMMYFUNCTION("VALUE(REGEXEXTRACT(A859, ""\d+""))"),1020.0)</f>
        <v>1020</v>
      </c>
    </row>
    <row r="860">
      <c r="A860" s="9" t="s">
        <v>3797</v>
      </c>
      <c r="B860" s="9" t="s">
        <v>3798</v>
      </c>
      <c r="D860" s="9" t="s">
        <v>3799</v>
      </c>
      <c r="G860" s="6" t="s">
        <v>3799</v>
      </c>
      <c r="J860" s="9" t="s">
        <v>3800</v>
      </c>
      <c r="O860" s="10">
        <f>IFERROR(__xludf.DUMMYFUNCTION("VALUE(REGEXEXTRACT(A860, ""\d+""))"),1021.0)</f>
        <v>1021</v>
      </c>
    </row>
    <row r="861">
      <c r="A861" s="9" t="s">
        <v>3801</v>
      </c>
      <c r="B861" s="9" t="s">
        <v>3802</v>
      </c>
      <c r="D861" s="9" t="s">
        <v>3803</v>
      </c>
      <c r="G861" s="6" t="s">
        <v>3804</v>
      </c>
      <c r="J861" s="9" t="s">
        <v>3805</v>
      </c>
      <c r="O861" s="10">
        <f>IFERROR(__xludf.DUMMYFUNCTION("VALUE(REGEXEXTRACT(A861, ""\d+""))"),1022.0)</f>
        <v>1022</v>
      </c>
    </row>
    <row r="862">
      <c r="A862" s="9" t="s">
        <v>3806</v>
      </c>
      <c r="B862" s="9" t="s">
        <v>3807</v>
      </c>
      <c r="D862" s="9" t="s">
        <v>3808</v>
      </c>
      <c r="G862" s="6" t="s">
        <v>3809</v>
      </c>
      <c r="J862" s="9" t="s">
        <v>3810</v>
      </c>
      <c r="O862" s="10">
        <f>IFERROR(__xludf.DUMMYFUNCTION("VALUE(REGEXEXTRACT(A862, ""\d+""))"),1023.0)</f>
        <v>1023</v>
      </c>
    </row>
    <row r="863">
      <c r="A863" s="9" t="s">
        <v>3811</v>
      </c>
      <c r="B863" s="9" t="s">
        <v>3812</v>
      </c>
      <c r="D863" s="9" t="s">
        <v>3813</v>
      </c>
      <c r="G863" s="6" t="s">
        <v>3814</v>
      </c>
      <c r="J863" s="9" t="s">
        <v>3815</v>
      </c>
      <c r="O863" s="10">
        <f>IFERROR(__xludf.DUMMYFUNCTION("VALUE(REGEXEXTRACT(A863, ""\d+""))"),1024.0)</f>
        <v>1024</v>
      </c>
    </row>
    <row r="864">
      <c r="A864" s="9" t="s">
        <v>3816</v>
      </c>
      <c r="B864" s="9" t="s">
        <v>3817</v>
      </c>
      <c r="D864" s="9" t="s">
        <v>3818</v>
      </c>
      <c r="G864" s="6" t="s">
        <v>3819</v>
      </c>
      <c r="J864" s="9" t="s">
        <v>3820</v>
      </c>
      <c r="O864" s="10">
        <f>IFERROR(__xludf.DUMMYFUNCTION("VALUE(REGEXEXTRACT(A864, ""\d+""))"),1025.0)</f>
        <v>1025</v>
      </c>
    </row>
    <row r="865">
      <c r="A865" s="9" t="s">
        <v>3821</v>
      </c>
      <c r="B865" s="9" t="s">
        <v>3822</v>
      </c>
      <c r="D865" s="9" t="s">
        <v>3823</v>
      </c>
      <c r="G865" s="6" t="s">
        <v>3824</v>
      </c>
      <c r="J865" s="9" t="s">
        <v>3825</v>
      </c>
      <c r="O865" s="10">
        <f>IFERROR(__xludf.DUMMYFUNCTION("VALUE(REGEXEXTRACT(A865, ""\d+""))"),1026.0)</f>
        <v>1026</v>
      </c>
    </row>
    <row r="866">
      <c r="A866" s="9" t="s">
        <v>3826</v>
      </c>
      <c r="B866" s="9" t="s">
        <v>3827</v>
      </c>
      <c r="D866" s="9" t="s">
        <v>3828</v>
      </c>
      <c r="G866" s="6" t="s">
        <v>3829</v>
      </c>
      <c r="J866" s="9" t="s">
        <v>3830</v>
      </c>
      <c r="O866" s="10">
        <f>IFERROR(__xludf.DUMMYFUNCTION("VALUE(REGEXEXTRACT(A866, ""\d+""))"),1027.0)</f>
        <v>1027</v>
      </c>
    </row>
    <row r="867">
      <c r="A867" s="9" t="s">
        <v>3831</v>
      </c>
      <c r="B867" s="9" t="s">
        <v>3832</v>
      </c>
      <c r="D867" s="9" t="s">
        <v>3833</v>
      </c>
      <c r="G867" s="6" t="s">
        <v>3834</v>
      </c>
      <c r="J867" s="9" t="s">
        <v>3835</v>
      </c>
      <c r="O867" s="10">
        <f>IFERROR(__xludf.DUMMYFUNCTION("VALUE(REGEXEXTRACT(A867, ""\d+""))"),1028.0)</f>
        <v>1028</v>
      </c>
    </row>
    <row r="868">
      <c r="A868" s="9" t="s">
        <v>3836</v>
      </c>
      <c r="B868" s="9" t="s">
        <v>3837</v>
      </c>
      <c r="D868" s="9" t="s">
        <v>3838</v>
      </c>
      <c r="G868" s="6" t="s">
        <v>3839</v>
      </c>
      <c r="J868" s="9" t="s">
        <v>3840</v>
      </c>
      <c r="O868" s="10">
        <f>IFERROR(__xludf.DUMMYFUNCTION("VALUE(REGEXEXTRACT(A868, ""\d+""))"),1029.0)</f>
        <v>1029</v>
      </c>
    </row>
    <row r="869">
      <c r="A869" s="9" t="s">
        <v>3841</v>
      </c>
      <c r="B869" s="9" t="s">
        <v>3842</v>
      </c>
      <c r="D869" s="9" t="s">
        <v>3843</v>
      </c>
      <c r="G869" s="6" t="s">
        <v>3844</v>
      </c>
      <c r="J869" s="9" t="s">
        <v>3845</v>
      </c>
      <c r="O869" s="10">
        <f>IFERROR(__xludf.DUMMYFUNCTION("VALUE(REGEXEXTRACT(A869, ""\d+""))"),1030.0)</f>
        <v>1030</v>
      </c>
    </row>
    <row r="870">
      <c r="A870" s="9" t="s">
        <v>3846</v>
      </c>
      <c r="B870" s="9" t="s">
        <v>3847</v>
      </c>
      <c r="D870" s="9" t="s">
        <v>3848</v>
      </c>
      <c r="G870" s="6" t="s">
        <v>3849</v>
      </c>
      <c r="J870" s="9" t="s">
        <v>3850</v>
      </c>
      <c r="O870" s="10">
        <f>IFERROR(__xludf.DUMMYFUNCTION("VALUE(REGEXEXTRACT(A870, ""\d+""))"),1031.0)</f>
        <v>1031</v>
      </c>
    </row>
    <row r="871">
      <c r="A871" s="9" t="s">
        <v>3851</v>
      </c>
      <c r="B871" s="9" t="s">
        <v>3852</v>
      </c>
      <c r="D871" s="9" t="s">
        <v>3853</v>
      </c>
      <c r="G871" s="6" t="s">
        <v>3854</v>
      </c>
      <c r="J871" s="9" t="s">
        <v>3855</v>
      </c>
      <c r="O871" s="10">
        <f>IFERROR(__xludf.DUMMYFUNCTION("VALUE(REGEXEXTRACT(A871, ""\d+""))"),1032.0)</f>
        <v>1032</v>
      </c>
    </row>
    <row r="872">
      <c r="A872" s="9" t="s">
        <v>3856</v>
      </c>
      <c r="B872" s="9" t="s">
        <v>3857</v>
      </c>
      <c r="D872" s="9" t="s">
        <v>3858</v>
      </c>
      <c r="G872" s="6" t="s">
        <v>3859</v>
      </c>
      <c r="J872" s="9" t="s">
        <v>3860</v>
      </c>
      <c r="O872" s="10">
        <f>IFERROR(__xludf.DUMMYFUNCTION("VALUE(REGEXEXTRACT(A872, ""\d+""))"),1033.0)</f>
        <v>1033</v>
      </c>
    </row>
    <row r="873">
      <c r="A873" s="9" t="s">
        <v>3861</v>
      </c>
      <c r="B873" s="9" t="s">
        <v>3862</v>
      </c>
      <c r="D873" s="9" t="s">
        <v>3863</v>
      </c>
      <c r="G873" s="6" t="s">
        <v>3864</v>
      </c>
      <c r="J873" s="9" t="s">
        <v>3865</v>
      </c>
      <c r="O873" s="10">
        <f>IFERROR(__xludf.DUMMYFUNCTION("VALUE(REGEXEXTRACT(A873, ""\d+""))"),1034.0)</f>
        <v>1034</v>
      </c>
    </row>
    <row r="874">
      <c r="A874" s="9" t="s">
        <v>3866</v>
      </c>
      <c r="B874" s="9" t="s">
        <v>3867</v>
      </c>
      <c r="D874" s="9" t="s">
        <v>3868</v>
      </c>
      <c r="G874" s="6" t="s">
        <v>3869</v>
      </c>
      <c r="J874" s="9" t="s">
        <v>3870</v>
      </c>
      <c r="O874" s="10">
        <f>IFERROR(__xludf.DUMMYFUNCTION("VALUE(REGEXEXTRACT(A874, ""\d+""))"),1035.0)</f>
        <v>1035</v>
      </c>
    </row>
    <row r="875">
      <c r="A875" s="9" t="s">
        <v>3871</v>
      </c>
      <c r="B875" s="9" t="s">
        <v>3872</v>
      </c>
      <c r="D875" s="9" t="s">
        <v>3873</v>
      </c>
      <c r="G875" s="6" t="s">
        <v>3873</v>
      </c>
      <c r="J875" s="9" t="s">
        <v>3874</v>
      </c>
      <c r="O875" s="10">
        <f>IFERROR(__xludf.DUMMYFUNCTION("VALUE(REGEXEXTRACT(A875, ""\d+""))"),1036.0)</f>
        <v>1036</v>
      </c>
    </row>
    <row r="876">
      <c r="A876" s="9" t="s">
        <v>3875</v>
      </c>
      <c r="B876" s="9" t="s">
        <v>3876</v>
      </c>
      <c r="D876" s="9" t="s">
        <v>3877</v>
      </c>
      <c r="G876" s="6" t="s">
        <v>3877</v>
      </c>
      <c r="J876" s="9" t="s">
        <v>3878</v>
      </c>
      <c r="O876" s="10">
        <f>IFERROR(__xludf.DUMMYFUNCTION("VALUE(REGEXEXTRACT(A876, ""\d+""))"),1037.0)</f>
        <v>1037</v>
      </c>
    </row>
    <row r="877">
      <c r="A877" s="9" t="s">
        <v>3879</v>
      </c>
      <c r="B877" s="9" t="s">
        <v>3880</v>
      </c>
      <c r="D877" s="9" t="s">
        <v>3881</v>
      </c>
      <c r="G877" s="6" t="s">
        <v>3882</v>
      </c>
      <c r="J877" s="9" t="s">
        <v>3883</v>
      </c>
      <c r="O877" s="10">
        <f>IFERROR(__xludf.DUMMYFUNCTION("VALUE(REGEXEXTRACT(A877, ""\d+""))"),1039.0)</f>
        <v>1039</v>
      </c>
    </row>
    <row r="878">
      <c r="A878" s="9" t="s">
        <v>3884</v>
      </c>
      <c r="B878" s="9" t="s">
        <v>3885</v>
      </c>
      <c r="D878" s="9" t="s">
        <v>3886</v>
      </c>
      <c r="G878" s="6" t="s">
        <v>3887</v>
      </c>
      <c r="J878" s="9" t="s">
        <v>3888</v>
      </c>
      <c r="O878" s="10">
        <f>IFERROR(__xludf.DUMMYFUNCTION("VALUE(REGEXEXTRACT(A878, ""\d+""))"),1040.0)</f>
        <v>1040</v>
      </c>
    </row>
    <row r="879">
      <c r="A879" s="9" t="s">
        <v>3889</v>
      </c>
      <c r="B879" s="9" t="s">
        <v>3890</v>
      </c>
      <c r="D879" s="9" t="s">
        <v>3891</v>
      </c>
      <c r="G879" s="6" t="s">
        <v>3892</v>
      </c>
      <c r="J879" s="9" t="s">
        <v>3893</v>
      </c>
      <c r="O879" s="10">
        <f>IFERROR(__xludf.DUMMYFUNCTION("VALUE(REGEXEXTRACT(A879, ""\d+""))"),1041.0)</f>
        <v>1041</v>
      </c>
    </row>
    <row r="880">
      <c r="A880" s="9" t="s">
        <v>3894</v>
      </c>
      <c r="B880" s="9" t="s">
        <v>3895</v>
      </c>
      <c r="D880" s="9" t="s">
        <v>3896</v>
      </c>
      <c r="G880" s="6" t="s">
        <v>3897</v>
      </c>
      <c r="J880" s="9" t="s">
        <v>3898</v>
      </c>
      <c r="O880" s="10">
        <f>IFERROR(__xludf.DUMMYFUNCTION("VALUE(REGEXEXTRACT(A880, ""\d+""))"),1042.0)</f>
        <v>1042</v>
      </c>
    </row>
    <row r="881">
      <c r="A881" s="9" t="s">
        <v>3899</v>
      </c>
      <c r="B881" s="9" t="s">
        <v>3900</v>
      </c>
      <c r="D881" s="9" t="s">
        <v>3901</v>
      </c>
      <c r="G881" s="6" t="s">
        <v>3902</v>
      </c>
      <c r="J881" s="9" t="s">
        <v>3903</v>
      </c>
      <c r="O881" s="10">
        <f>IFERROR(__xludf.DUMMYFUNCTION("VALUE(REGEXEXTRACT(A881, ""\d+""))"),1043.0)</f>
        <v>1043</v>
      </c>
    </row>
    <row r="882">
      <c r="A882" s="9" t="s">
        <v>3904</v>
      </c>
      <c r="B882" s="9" t="s">
        <v>3905</v>
      </c>
      <c r="D882" s="9" t="s">
        <v>3906</v>
      </c>
      <c r="G882" s="6" t="s">
        <v>3906</v>
      </c>
      <c r="J882" s="9" t="s">
        <v>3907</v>
      </c>
      <c r="O882" s="10">
        <f>IFERROR(__xludf.DUMMYFUNCTION("VALUE(REGEXEXTRACT(A882, ""\d+""))"),1044.0)</f>
        <v>1044</v>
      </c>
    </row>
    <row r="883">
      <c r="A883" s="9" t="s">
        <v>3908</v>
      </c>
      <c r="B883" s="9" t="s">
        <v>3909</v>
      </c>
      <c r="D883" s="9" t="s">
        <v>3910</v>
      </c>
      <c r="G883" s="6" t="s">
        <v>3911</v>
      </c>
      <c r="J883" s="9" t="s">
        <v>3912</v>
      </c>
      <c r="O883" s="10">
        <f>IFERROR(__xludf.DUMMYFUNCTION("VALUE(REGEXEXTRACT(A883, ""\d+""))"),1045.0)</f>
        <v>1045</v>
      </c>
    </row>
    <row r="884">
      <c r="A884" s="9" t="s">
        <v>3913</v>
      </c>
      <c r="B884" s="9" t="s">
        <v>3914</v>
      </c>
      <c r="D884" s="9" t="s">
        <v>3915</v>
      </c>
      <c r="G884" s="6" t="s">
        <v>3916</v>
      </c>
      <c r="J884" s="9" t="s">
        <v>3917</v>
      </c>
      <c r="O884" s="10">
        <f>IFERROR(__xludf.DUMMYFUNCTION("VALUE(REGEXEXTRACT(A884, ""\d+""))"),1046.0)</f>
        <v>1046</v>
      </c>
    </row>
    <row r="885">
      <c r="A885" s="9" t="s">
        <v>3918</v>
      </c>
      <c r="B885" s="9" t="s">
        <v>3919</v>
      </c>
      <c r="D885" s="9" t="s">
        <v>3920</v>
      </c>
      <c r="G885" s="6" t="s">
        <v>3920</v>
      </c>
      <c r="J885" s="9" t="s">
        <v>3921</v>
      </c>
      <c r="O885" s="10">
        <f>IFERROR(__xludf.DUMMYFUNCTION("VALUE(REGEXEXTRACT(A885, ""\d+""))"),1047.0)</f>
        <v>1047</v>
      </c>
    </row>
    <row r="886">
      <c r="A886" s="9" t="s">
        <v>3922</v>
      </c>
      <c r="B886" s="9" t="s">
        <v>3923</v>
      </c>
      <c r="D886" s="9" t="s">
        <v>3924</v>
      </c>
      <c r="G886" s="6" t="s">
        <v>3925</v>
      </c>
      <c r="J886" s="9" t="s">
        <v>3926</v>
      </c>
      <c r="O886" s="10">
        <f>IFERROR(__xludf.DUMMYFUNCTION("VALUE(REGEXEXTRACT(A886, ""\d+""))"),1051.0)</f>
        <v>1051</v>
      </c>
    </row>
    <row r="887">
      <c r="A887" s="9" t="s">
        <v>3927</v>
      </c>
      <c r="B887" s="9" t="s">
        <v>3928</v>
      </c>
      <c r="D887" s="9" t="s">
        <v>3929</v>
      </c>
      <c r="G887" s="6" t="s">
        <v>3929</v>
      </c>
      <c r="J887" s="9" t="s">
        <v>3930</v>
      </c>
      <c r="O887" s="10">
        <f>IFERROR(__xludf.DUMMYFUNCTION("VALUE(REGEXEXTRACT(A887, ""\d+""))"),1052.0)</f>
        <v>1052</v>
      </c>
    </row>
    <row r="888">
      <c r="A888" s="9" t="s">
        <v>3931</v>
      </c>
      <c r="B888" s="9" t="s">
        <v>3932</v>
      </c>
      <c r="D888" s="9" t="s">
        <v>3933</v>
      </c>
      <c r="G888" s="6" t="s">
        <v>3933</v>
      </c>
      <c r="J888" s="9" t="s">
        <v>3934</v>
      </c>
      <c r="O888" s="10">
        <f>IFERROR(__xludf.DUMMYFUNCTION("VALUE(REGEXEXTRACT(A888, ""\d+""))"),1053.0)</f>
        <v>1053</v>
      </c>
    </row>
    <row r="889">
      <c r="A889" s="9" t="s">
        <v>3935</v>
      </c>
      <c r="B889" s="9" t="s">
        <v>3936</v>
      </c>
      <c r="D889" s="9" t="s">
        <v>3937</v>
      </c>
      <c r="G889" s="6" t="s">
        <v>3937</v>
      </c>
      <c r="J889" s="9" t="s">
        <v>3934</v>
      </c>
      <c r="O889" s="10">
        <f>IFERROR(__xludf.DUMMYFUNCTION("VALUE(REGEXEXTRACT(A889, ""\d+""))"),1054.0)</f>
        <v>1054</v>
      </c>
    </row>
    <row r="890">
      <c r="A890" s="9" t="s">
        <v>3938</v>
      </c>
      <c r="B890" s="9" t="s">
        <v>3939</v>
      </c>
      <c r="D890" s="9" t="s">
        <v>3940</v>
      </c>
      <c r="G890" s="6" t="s">
        <v>3941</v>
      </c>
      <c r="J890" s="9" t="s">
        <v>3942</v>
      </c>
      <c r="O890" s="10">
        <f>IFERROR(__xludf.DUMMYFUNCTION("VALUE(REGEXEXTRACT(A890, ""\d+""))"),1055.0)</f>
        <v>1055</v>
      </c>
    </row>
    <row r="891">
      <c r="A891" s="9" t="s">
        <v>3943</v>
      </c>
      <c r="B891" s="9" t="s">
        <v>3944</v>
      </c>
      <c r="D891" s="9" t="s">
        <v>3945</v>
      </c>
      <c r="G891" s="6" t="s">
        <v>3946</v>
      </c>
      <c r="J891" s="9" t="s">
        <v>3947</v>
      </c>
      <c r="O891" s="10">
        <f>IFERROR(__xludf.DUMMYFUNCTION("VALUE(REGEXEXTRACT(A891, ""\d+""))"),1056.0)</f>
        <v>1056</v>
      </c>
    </row>
    <row r="892">
      <c r="A892" s="9" t="s">
        <v>3948</v>
      </c>
      <c r="B892" s="9" t="s">
        <v>3949</v>
      </c>
      <c r="D892" s="9" t="s">
        <v>3950</v>
      </c>
      <c r="G892" s="6" t="s">
        <v>3951</v>
      </c>
      <c r="J892" s="9" t="s">
        <v>3952</v>
      </c>
      <c r="O892" s="10">
        <f>IFERROR(__xludf.DUMMYFUNCTION("VALUE(REGEXEXTRACT(A892, ""\d+""))"),1057.0)</f>
        <v>1057</v>
      </c>
    </row>
    <row r="893">
      <c r="A893" s="9" t="s">
        <v>3953</v>
      </c>
      <c r="B893" s="9" t="s">
        <v>3954</v>
      </c>
      <c r="D893" s="9" t="s">
        <v>3955</v>
      </c>
      <c r="G893" s="6" t="s">
        <v>3956</v>
      </c>
      <c r="J893" s="9" t="s">
        <v>3957</v>
      </c>
      <c r="O893" s="10">
        <f>IFERROR(__xludf.DUMMYFUNCTION("VALUE(REGEXEXTRACT(A893, ""\d+""))"),1058.0)</f>
        <v>1058</v>
      </c>
    </row>
    <row r="894">
      <c r="A894" s="9" t="s">
        <v>3958</v>
      </c>
      <c r="B894" s="9" t="s">
        <v>3959</v>
      </c>
      <c r="D894" s="9" t="s">
        <v>3960</v>
      </c>
      <c r="G894" s="6" t="s">
        <v>3961</v>
      </c>
      <c r="J894" s="9" t="s">
        <v>3962</v>
      </c>
      <c r="O894" s="10">
        <f>IFERROR(__xludf.DUMMYFUNCTION("VALUE(REGEXEXTRACT(A894, ""\d+""))"),1059.0)</f>
        <v>1059</v>
      </c>
    </row>
    <row r="895">
      <c r="A895" s="9" t="s">
        <v>3963</v>
      </c>
      <c r="B895" s="9" t="s">
        <v>3964</v>
      </c>
      <c r="D895" s="9" t="s">
        <v>3965</v>
      </c>
      <c r="G895" s="6" t="s">
        <v>3966</v>
      </c>
      <c r="J895" s="9" t="s">
        <v>3967</v>
      </c>
      <c r="O895" s="10">
        <f>IFERROR(__xludf.DUMMYFUNCTION("VALUE(REGEXEXTRACT(A895, ""\d+""))"),1060.0)</f>
        <v>1060</v>
      </c>
    </row>
    <row r="896">
      <c r="A896" s="9" t="s">
        <v>3968</v>
      </c>
      <c r="B896" s="9" t="s">
        <v>3969</v>
      </c>
      <c r="D896" s="9" t="s">
        <v>3970</v>
      </c>
      <c r="G896" s="6" t="s">
        <v>3970</v>
      </c>
      <c r="J896" s="9" t="s">
        <v>3969</v>
      </c>
      <c r="O896" s="10">
        <f>IFERROR(__xludf.DUMMYFUNCTION("VALUE(REGEXEXTRACT(A896, ""\d+""))"),1061.0)</f>
        <v>1061</v>
      </c>
    </row>
    <row r="897">
      <c r="A897" s="9" t="s">
        <v>3971</v>
      </c>
      <c r="B897" s="9" t="s">
        <v>3972</v>
      </c>
      <c r="D897" s="9" t="s">
        <v>3973</v>
      </c>
      <c r="G897" s="6" t="s">
        <v>3973</v>
      </c>
      <c r="J897" s="9" t="s">
        <v>3974</v>
      </c>
      <c r="O897" s="10">
        <f>IFERROR(__xludf.DUMMYFUNCTION("VALUE(REGEXEXTRACT(A897, ""\d+""))"),1062.0)</f>
        <v>1062</v>
      </c>
    </row>
    <row r="898">
      <c r="A898" s="9" t="s">
        <v>3975</v>
      </c>
      <c r="B898" s="9" t="s">
        <v>3976</v>
      </c>
      <c r="D898" s="9" t="s">
        <v>3977</v>
      </c>
      <c r="G898" s="6" t="s">
        <v>3977</v>
      </c>
      <c r="J898" s="9" t="s">
        <v>3978</v>
      </c>
      <c r="O898" s="10">
        <f>IFERROR(__xludf.DUMMYFUNCTION("VALUE(REGEXEXTRACT(A898, ""\d+""))"),1063.0)</f>
        <v>1063</v>
      </c>
    </row>
    <row r="899">
      <c r="A899" s="9" t="s">
        <v>3979</v>
      </c>
      <c r="B899" s="9" t="s">
        <v>3980</v>
      </c>
      <c r="D899" s="9" t="s">
        <v>3981</v>
      </c>
      <c r="G899" s="6" t="s">
        <v>3981</v>
      </c>
      <c r="J899" s="9" t="s">
        <v>3982</v>
      </c>
      <c r="O899" s="10">
        <f>IFERROR(__xludf.DUMMYFUNCTION("VALUE(REGEXEXTRACT(A899, ""\d+""))"),1064.0)</f>
        <v>1064</v>
      </c>
    </row>
    <row r="900">
      <c r="A900" s="9" t="s">
        <v>3983</v>
      </c>
      <c r="B900" s="9" t="s">
        <v>3984</v>
      </c>
      <c r="D900" s="9" t="s">
        <v>3985</v>
      </c>
      <c r="G900" s="6" t="s">
        <v>3985</v>
      </c>
      <c r="J900" s="9" t="s">
        <v>3986</v>
      </c>
      <c r="O900" s="10">
        <f>IFERROR(__xludf.DUMMYFUNCTION("VALUE(REGEXEXTRACT(A900, ""\d+""))"),1065.0)</f>
        <v>1065</v>
      </c>
    </row>
    <row r="901">
      <c r="A901" s="9" t="s">
        <v>3987</v>
      </c>
      <c r="B901" s="9" t="s">
        <v>3988</v>
      </c>
      <c r="D901" s="9" t="s">
        <v>3989</v>
      </c>
      <c r="G901" s="6" t="s">
        <v>3989</v>
      </c>
      <c r="J901" s="9" t="s">
        <v>3990</v>
      </c>
      <c r="O901" s="10">
        <f>IFERROR(__xludf.DUMMYFUNCTION("VALUE(REGEXEXTRACT(A901, ""\d+""))"),1066.0)</f>
        <v>1066</v>
      </c>
    </row>
    <row r="902">
      <c r="A902" s="9" t="s">
        <v>3991</v>
      </c>
      <c r="B902" s="9" t="s">
        <v>3992</v>
      </c>
      <c r="D902" s="9" t="s">
        <v>3993</v>
      </c>
      <c r="G902" s="6" t="s">
        <v>3993</v>
      </c>
      <c r="J902" s="9" t="s">
        <v>3994</v>
      </c>
      <c r="O902" s="10">
        <f>IFERROR(__xludf.DUMMYFUNCTION("VALUE(REGEXEXTRACT(A902, ""\d+""))"),1067.0)</f>
        <v>1067</v>
      </c>
    </row>
    <row r="903">
      <c r="A903" s="9" t="s">
        <v>3995</v>
      </c>
      <c r="B903" s="9" t="s">
        <v>3996</v>
      </c>
      <c r="D903" s="9" t="s">
        <v>3997</v>
      </c>
      <c r="G903" s="6" t="s">
        <v>3997</v>
      </c>
      <c r="J903" s="9" t="s">
        <v>3998</v>
      </c>
      <c r="O903" s="10">
        <f>IFERROR(__xludf.DUMMYFUNCTION("VALUE(REGEXEXTRACT(A903, ""\d+""))"),1068.0)</f>
        <v>1068</v>
      </c>
    </row>
    <row r="904">
      <c r="A904" s="9" t="s">
        <v>3999</v>
      </c>
      <c r="B904" s="9" t="s">
        <v>4000</v>
      </c>
      <c r="D904" s="9" t="s">
        <v>4001</v>
      </c>
      <c r="G904" s="6" t="s">
        <v>4002</v>
      </c>
      <c r="J904" s="9" t="s">
        <v>4000</v>
      </c>
      <c r="O904" s="10">
        <f>IFERROR(__xludf.DUMMYFUNCTION("VALUE(REGEXEXTRACT(A904, ""\d+""))"),1069.0)</f>
        <v>1069</v>
      </c>
    </row>
    <row r="905">
      <c r="A905" s="9" t="s">
        <v>4003</v>
      </c>
      <c r="B905" s="9" t="s">
        <v>4004</v>
      </c>
      <c r="D905" s="9" t="s">
        <v>4005</v>
      </c>
      <c r="G905" s="6" t="s">
        <v>4006</v>
      </c>
      <c r="J905" s="9" t="s">
        <v>4004</v>
      </c>
      <c r="O905" s="10">
        <f>IFERROR(__xludf.DUMMYFUNCTION("VALUE(REGEXEXTRACT(A905, ""\d+""))"),1070.0)</f>
        <v>1070</v>
      </c>
    </row>
    <row r="906">
      <c r="A906" s="9" t="s">
        <v>4007</v>
      </c>
      <c r="B906" s="9" t="s">
        <v>4008</v>
      </c>
      <c r="D906" s="9" t="s">
        <v>4009</v>
      </c>
      <c r="G906" s="6" t="s">
        <v>4010</v>
      </c>
      <c r="J906" s="9" t="s">
        <v>4011</v>
      </c>
      <c r="O906" s="10">
        <f>IFERROR(__xludf.DUMMYFUNCTION("VALUE(REGEXEXTRACT(A906, ""\d+""))"),1071.0)</f>
        <v>1071</v>
      </c>
    </row>
    <row r="907">
      <c r="A907" s="9" t="s">
        <v>4012</v>
      </c>
      <c r="B907" s="9" t="s">
        <v>4013</v>
      </c>
      <c r="D907" s="9" t="s">
        <v>4014</v>
      </c>
      <c r="G907" s="6" t="s">
        <v>4014</v>
      </c>
      <c r="J907" s="9" t="s">
        <v>4015</v>
      </c>
      <c r="O907" s="10">
        <f>IFERROR(__xludf.DUMMYFUNCTION("VALUE(REGEXEXTRACT(A907, ""\d+""))"),1072.0)</f>
        <v>1072</v>
      </c>
    </row>
    <row r="908">
      <c r="A908" s="9" t="s">
        <v>4016</v>
      </c>
      <c r="B908" s="9" t="s">
        <v>4017</v>
      </c>
      <c r="D908" s="9" t="s">
        <v>4018</v>
      </c>
      <c r="G908" s="6" t="s">
        <v>4019</v>
      </c>
      <c r="J908" s="9" t="s">
        <v>4020</v>
      </c>
      <c r="O908" s="10">
        <f>IFERROR(__xludf.DUMMYFUNCTION("VALUE(REGEXEXTRACT(A908, ""\d+""))"),1073.0)</f>
        <v>1073</v>
      </c>
    </row>
    <row r="909">
      <c r="A909" s="9" t="s">
        <v>4021</v>
      </c>
      <c r="B909" s="9" t="s">
        <v>4022</v>
      </c>
      <c r="D909" s="9" t="s">
        <v>4023</v>
      </c>
      <c r="G909" s="6" t="s">
        <v>4024</v>
      </c>
      <c r="J909" s="9" t="s">
        <v>4025</v>
      </c>
      <c r="O909" s="10">
        <f>IFERROR(__xludf.DUMMYFUNCTION("VALUE(REGEXEXTRACT(A909, ""\d+""))"),1074.0)</f>
        <v>1074</v>
      </c>
    </row>
    <row r="910">
      <c r="A910" s="9" t="s">
        <v>4026</v>
      </c>
      <c r="B910" s="9" t="s">
        <v>4027</v>
      </c>
      <c r="D910" s="9" t="s">
        <v>4028</v>
      </c>
      <c r="G910" s="6" t="s">
        <v>4029</v>
      </c>
      <c r="J910" s="9" t="s">
        <v>4030</v>
      </c>
      <c r="O910" s="10">
        <f>IFERROR(__xludf.DUMMYFUNCTION("VALUE(REGEXEXTRACT(A910, ""\d+""))"),1075.0)</f>
        <v>1075</v>
      </c>
    </row>
    <row r="911">
      <c r="A911" s="9" t="s">
        <v>4031</v>
      </c>
      <c r="B911" s="9" t="s">
        <v>4032</v>
      </c>
      <c r="D911" s="9" t="s">
        <v>4033</v>
      </c>
      <c r="G911" s="6" t="s">
        <v>4034</v>
      </c>
      <c r="J911" s="9" t="s">
        <v>4035</v>
      </c>
      <c r="O911" s="10">
        <f>IFERROR(__xludf.DUMMYFUNCTION("VALUE(REGEXEXTRACT(A911, ""\d+""))"),1077.0)</f>
        <v>1077</v>
      </c>
    </row>
    <row r="912">
      <c r="A912" s="9" t="s">
        <v>4036</v>
      </c>
      <c r="B912" s="9" t="s">
        <v>4037</v>
      </c>
      <c r="D912" s="9" t="s">
        <v>4038</v>
      </c>
      <c r="G912" s="6" t="s">
        <v>4038</v>
      </c>
      <c r="J912" s="9" t="s">
        <v>4039</v>
      </c>
      <c r="O912" s="10">
        <f>IFERROR(__xludf.DUMMYFUNCTION("VALUE(REGEXEXTRACT(A912, ""\d+""))"),1078.0)</f>
        <v>1078</v>
      </c>
    </row>
    <row r="913">
      <c r="A913" s="9" t="s">
        <v>4040</v>
      </c>
      <c r="B913" s="9" t="s">
        <v>4041</v>
      </c>
      <c r="D913" s="9" t="s">
        <v>4042</v>
      </c>
      <c r="G913" s="6" t="s">
        <v>4043</v>
      </c>
      <c r="J913" s="9" t="s">
        <v>4044</v>
      </c>
      <c r="O913" s="10">
        <f>IFERROR(__xludf.DUMMYFUNCTION("VALUE(REGEXEXTRACT(A913, ""\d+""))"),1079.0)</f>
        <v>1079</v>
      </c>
    </row>
    <row r="914">
      <c r="A914" s="9" t="s">
        <v>4045</v>
      </c>
      <c r="B914" s="9" t="s">
        <v>4046</v>
      </c>
      <c r="D914" s="9" t="s">
        <v>4047</v>
      </c>
      <c r="G914" s="6" t="s">
        <v>4048</v>
      </c>
      <c r="J914" s="9" t="s">
        <v>4049</v>
      </c>
      <c r="O914" s="10">
        <f>IFERROR(__xludf.DUMMYFUNCTION("VALUE(REGEXEXTRACT(A914, ""\d+""))"),1080.0)</f>
        <v>1080</v>
      </c>
    </row>
    <row r="915">
      <c r="A915" s="9" t="s">
        <v>4050</v>
      </c>
      <c r="B915" s="9" t="s">
        <v>4051</v>
      </c>
      <c r="D915" s="9" t="s">
        <v>4052</v>
      </c>
      <c r="G915" s="6" t="s">
        <v>4052</v>
      </c>
      <c r="J915" s="9" t="s">
        <v>4053</v>
      </c>
      <c r="O915" s="10">
        <f>IFERROR(__xludf.DUMMYFUNCTION("VALUE(REGEXEXTRACT(A915, ""\d+""))"),1081.0)</f>
        <v>1081</v>
      </c>
    </row>
    <row r="916">
      <c r="A916" s="9" t="s">
        <v>4054</v>
      </c>
      <c r="B916" s="9" t="s">
        <v>4055</v>
      </c>
      <c r="D916" s="9" t="s">
        <v>4056</v>
      </c>
      <c r="G916" s="6" t="s">
        <v>4057</v>
      </c>
      <c r="J916" s="9" t="s">
        <v>4055</v>
      </c>
      <c r="O916" s="10">
        <f>IFERROR(__xludf.DUMMYFUNCTION("VALUE(REGEXEXTRACT(A916, ""\d+""))"),1082.0)</f>
        <v>1082</v>
      </c>
    </row>
    <row r="917">
      <c r="A917" s="9" t="s">
        <v>4058</v>
      </c>
      <c r="B917" s="9" t="s">
        <v>4059</v>
      </c>
      <c r="D917" s="9" t="s">
        <v>4060</v>
      </c>
      <c r="G917" s="6" t="s">
        <v>4061</v>
      </c>
      <c r="J917" s="9" t="s">
        <v>4062</v>
      </c>
      <c r="O917" s="10">
        <f>IFERROR(__xludf.DUMMYFUNCTION("VALUE(REGEXEXTRACT(A917, ""\d+""))"),1083.0)</f>
        <v>1083</v>
      </c>
    </row>
    <row r="918">
      <c r="A918" s="9" t="s">
        <v>4063</v>
      </c>
      <c r="B918" s="9" t="s">
        <v>4064</v>
      </c>
      <c r="D918" s="9" t="s">
        <v>4065</v>
      </c>
      <c r="G918" s="6" t="s">
        <v>4065</v>
      </c>
      <c r="J918" s="9" t="s">
        <v>4066</v>
      </c>
      <c r="O918" s="10">
        <f>IFERROR(__xludf.DUMMYFUNCTION("VALUE(REGEXEXTRACT(A918, ""\d+""))"),1084.0)</f>
        <v>1084</v>
      </c>
    </row>
    <row r="919">
      <c r="A919" s="9" t="s">
        <v>4067</v>
      </c>
      <c r="B919" s="9" t="s">
        <v>4068</v>
      </c>
      <c r="D919" s="9" t="s">
        <v>4069</v>
      </c>
      <c r="G919" s="6" t="s">
        <v>4070</v>
      </c>
      <c r="J919" s="9" t="s">
        <v>4071</v>
      </c>
      <c r="O919" s="10">
        <f>IFERROR(__xludf.DUMMYFUNCTION("VALUE(REGEXEXTRACT(A919, ""\d+""))"),1085.0)</f>
        <v>1085</v>
      </c>
    </row>
    <row r="920">
      <c r="A920" s="9" t="s">
        <v>4072</v>
      </c>
      <c r="B920" s="9" t="s">
        <v>4073</v>
      </c>
      <c r="D920" s="9" t="s">
        <v>4074</v>
      </c>
      <c r="G920" s="6" t="s">
        <v>4075</v>
      </c>
      <c r="J920" s="9" t="s">
        <v>4076</v>
      </c>
      <c r="O920" s="10">
        <f>IFERROR(__xludf.DUMMYFUNCTION("VALUE(REGEXEXTRACT(A920, ""\d+""))"),1086.0)</f>
        <v>1086</v>
      </c>
    </row>
    <row r="921">
      <c r="A921" s="9" t="s">
        <v>4077</v>
      </c>
      <c r="B921" s="9" t="s">
        <v>4078</v>
      </c>
      <c r="D921" s="9" t="s">
        <v>4079</v>
      </c>
      <c r="G921" s="6" t="s">
        <v>4080</v>
      </c>
      <c r="J921" s="9" t="s">
        <v>4081</v>
      </c>
      <c r="O921" s="10">
        <f>IFERROR(__xludf.DUMMYFUNCTION("VALUE(REGEXEXTRACT(A921, ""\d+""))"),1087.0)</f>
        <v>1087</v>
      </c>
    </row>
    <row r="922">
      <c r="A922" s="9" t="s">
        <v>4082</v>
      </c>
      <c r="B922" s="9" t="s">
        <v>4083</v>
      </c>
      <c r="D922" s="9" t="s">
        <v>4084</v>
      </c>
      <c r="G922" s="6" t="s">
        <v>4085</v>
      </c>
      <c r="J922" s="9" t="s">
        <v>4086</v>
      </c>
      <c r="O922" s="10">
        <f>IFERROR(__xludf.DUMMYFUNCTION("VALUE(REGEXEXTRACT(A922, ""\d+""))"),1088.0)</f>
        <v>1088</v>
      </c>
    </row>
    <row r="923">
      <c r="A923" s="9" t="s">
        <v>4087</v>
      </c>
      <c r="B923" s="9" t="s">
        <v>4088</v>
      </c>
      <c r="D923" s="9" t="s">
        <v>4089</v>
      </c>
      <c r="G923" s="6" t="s">
        <v>4090</v>
      </c>
      <c r="J923" s="9" t="s">
        <v>4091</v>
      </c>
      <c r="O923" s="10">
        <f>IFERROR(__xludf.DUMMYFUNCTION("VALUE(REGEXEXTRACT(A923, ""\d+""))"),1089.0)</f>
        <v>1089</v>
      </c>
    </row>
    <row r="924">
      <c r="A924" s="9" t="s">
        <v>4092</v>
      </c>
      <c r="B924" s="9" t="s">
        <v>4093</v>
      </c>
      <c r="D924" s="9" t="s">
        <v>4094</v>
      </c>
      <c r="G924" s="6" t="s">
        <v>4095</v>
      </c>
      <c r="J924" s="9" t="s">
        <v>4096</v>
      </c>
      <c r="O924" s="10">
        <f>IFERROR(__xludf.DUMMYFUNCTION("VALUE(REGEXEXTRACT(A924, ""\d+""))"),1090.0)</f>
        <v>1090</v>
      </c>
    </row>
    <row r="925">
      <c r="A925" s="9" t="s">
        <v>4097</v>
      </c>
      <c r="B925" s="9" t="s">
        <v>4098</v>
      </c>
      <c r="D925" s="9" t="s">
        <v>4099</v>
      </c>
      <c r="G925" s="6" t="s">
        <v>4100</v>
      </c>
      <c r="J925" s="9" t="s">
        <v>4101</v>
      </c>
      <c r="O925" s="10">
        <f>IFERROR(__xludf.DUMMYFUNCTION("VALUE(REGEXEXTRACT(A925, ""\d+""))"),1091.0)</f>
        <v>1091</v>
      </c>
    </row>
    <row r="926">
      <c r="A926" s="9" t="s">
        <v>4102</v>
      </c>
      <c r="B926" s="9" t="s">
        <v>4103</v>
      </c>
      <c r="D926" s="9" t="s">
        <v>4104</v>
      </c>
      <c r="G926" s="6" t="s">
        <v>4105</v>
      </c>
      <c r="J926" s="9" t="s">
        <v>4106</v>
      </c>
      <c r="O926" s="10">
        <f>IFERROR(__xludf.DUMMYFUNCTION("VALUE(REGEXEXTRACT(A926, ""\d+""))"),1092.0)</f>
        <v>1092</v>
      </c>
    </row>
    <row r="927">
      <c r="A927" s="9" t="s">
        <v>4107</v>
      </c>
      <c r="B927" s="9" t="s">
        <v>4108</v>
      </c>
      <c r="D927" s="9" t="s">
        <v>4109</v>
      </c>
      <c r="G927" s="6" t="s">
        <v>4110</v>
      </c>
      <c r="J927" s="9" t="s">
        <v>4111</v>
      </c>
      <c r="O927" s="10">
        <f>IFERROR(__xludf.DUMMYFUNCTION("VALUE(REGEXEXTRACT(A927, ""\d+""))"),1093.0)</f>
        <v>1093</v>
      </c>
    </row>
    <row r="928">
      <c r="A928" s="9" t="s">
        <v>4112</v>
      </c>
      <c r="B928" s="9" t="s">
        <v>4113</v>
      </c>
      <c r="D928" s="9" t="s">
        <v>4114</v>
      </c>
      <c r="G928" s="6" t="s">
        <v>4114</v>
      </c>
      <c r="J928" s="9" t="s">
        <v>4113</v>
      </c>
      <c r="O928" s="10">
        <f>IFERROR(__xludf.DUMMYFUNCTION("VALUE(REGEXEXTRACT(A928, ""\d+""))"),1096.0)</f>
        <v>1096</v>
      </c>
    </row>
    <row r="929">
      <c r="A929" s="9" t="s">
        <v>4115</v>
      </c>
      <c r="B929" s="9" t="s">
        <v>4116</v>
      </c>
      <c r="G929" s="6" t="s">
        <v>4117</v>
      </c>
      <c r="O929" s="10">
        <f>IFERROR(__xludf.DUMMYFUNCTION("VALUE(REGEXEXTRACT(A929, ""\d+""))"),1097.0)</f>
        <v>1097</v>
      </c>
    </row>
    <row r="930">
      <c r="A930" s="9" t="s">
        <v>4118</v>
      </c>
      <c r="B930" s="9" t="s">
        <v>4119</v>
      </c>
      <c r="G930" s="6" t="s">
        <v>4120</v>
      </c>
      <c r="O930" s="10">
        <f>IFERROR(__xludf.DUMMYFUNCTION("VALUE(REGEXEXTRACT(A930, ""\d+""))"),1098.0)</f>
        <v>1098</v>
      </c>
    </row>
    <row r="931">
      <c r="A931" s="9" t="s">
        <v>4121</v>
      </c>
      <c r="B931" s="9" t="s">
        <v>4122</v>
      </c>
      <c r="D931" s="9" t="s">
        <v>4123</v>
      </c>
      <c r="G931" s="6" t="s">
        <v>4124</v>
      </c>
      <c r="J931" s="9" t="s">
        <v>4125</v>
      </c>
      <c r="O931" s="10">
        <f>IFERROR(__xludf.DUMMYFUNCTION("VALUE(REGEXEXTRACT(A931, ""\d+""))"),1099.0)</f>
        <v>1099</v>
      </c>
    </row>
    <row r="932">
      <c r="A932" s="9" t="s">
        <v>4126</v>
      </c>
      <c r="B932" s="9" t="s">
        <v>4127</v>
      </c>
      <c r="D932" s="9" t="s">
        <v>4128</v>
      </c>
      <c r="G932" s="6" t="s">
        <v>4128</v>
      </c>
      <c r="J932" s="9" t="s">
        <v>4129</v>
      </c>
      <c r="O932" s="10">
        <f>IFERROR(__xludf.DUMMYFUNCTION("VALUE(REGEXEXTRACT(A932, ""\d+""))"),1100.0)</f>
        <v>1100</v>
      </c>
    </row>
    <row r="933">
      <c r="A933" s="9" t="s">
        <v>4130</v>
      </c>
      <c r="B933" s="9" t="s">
        <v>4131</v>
      </c>
      <c r="D933" s="9" t="s">
        <v>736</v>
      </c>
      <c r="G933" s="6" t="s">
        <v>4132</v>
      </c>
      <c r="J933" s="9" t="s">
        <v>4133</v>
      </c>
      <c r="O933" s="10">
        <f>IFERROR(__xludf.DUMMYFUNCTION("VALUE(REGEXEXTRACT(A933, ""\d+""))"),1101.0)</f>
        <v>1101</v>
      </c>
    </row>
    <row r="934">
      <c r="A934" s="9" t="s">
        <v>4134</v>
      </c>
      <c r="B934" s="9" t="s">
        <v>4135</v>
      </c>
      <c r="D934" s="9" t="s">
        <v>4135</v>
      </c>
      <c r="G934" s="6" t="s">
        <v>4135</v>
      </c>
      <c r="J934" s="9" t="s">
        <v>4135</v>
      </c>
      <c r="O934" s="10">
        <f>IFERROR(__xludf.DUMMYFUNCTION("VALUE(REGEXEXTRACT(A934, ""\d+""))"),1105.0)</f>
        <v>1105</v>
      </c>
    </row>
    <row r="935">
      <c r="A935" s="9" t="s">
        <v>4136</v>
      </c>
      <c r="B935" s="9" t="s">
        <v>4137</v>
      </c>
      <c r="D935" s="9" t="s">
        <v>4138</v>
      </c>
      <c r="G935" s="6" t="s">
        <v>4139</v>
      </c>
      <c r="J935" s="9" t="s">
        <v>4140</v>
      </c>
      <c r="O935" s="10">
        <f>IFERROR(__xludf.DUMMYFUNCTION("VALUE(REGEXEXTRACT(A935, ""\d+""))"),1106.0)</f>
        <v>1106</v>
      </c>
    </row>
    <row r="936">
      <c r="A936" s="9" t="s">
        <v>4141</v>
      </c>
      <c r="B936" s="9" t="s">
        <v>4142</v>
      </c>
      <c r="D936" s="9" t="s">
        <v>4143</v>
      </c>
      <c r="G936" s="6" t="s">
        <v>4143</v>
      </c>
      <c r="J936" s="9" t="s">
        <v>4144</v>
      </c>
      <c r="O936" s="10">
        <f>IFERROR(__xludf.DUMMYFUNCTION("VALUE(REGEXEXTRACT(A936, ""\d+""))"),1107.0)</f>
        <v>1107</v>
      </c>
    </row>
    <row r="937">
      <c r="A937" s="9" t="s">
        <v>4145</v>
      </c>
      <c r="B937" s="9" t="s">
        <v>4146</v>
      </c>
      <c r="D937" s="9" t="s">
        <v>4147</v>
      </c>
      <c r="G937" s="6" t="s">
        <v>4148</v>
      </c>
      <c r="J937" s="9" t="s">
        <v>4149</v>
      </c>
      <c r="O937" s="10">
        <f>IFERROR(__xludf.DUMMYFUNCTION("VALUE(REGEXEXTRACT(A937, ""\d+""))"),1108.0)</f>
        <v>1108</v>
      </c>
    </row>
    <row r="938">
      <c r="A938" s="9" t="s">
        <v>4150</v>
      </c>
      <c r="B938" s="9" t="s">
        <v>4151</v>
      </c>
      <c r="D938" s="9" t="s">
        <v>4152</v>
      </c>
      <c r="G938" s="6" t="s">
        <v>4153</v>
      </c>
      <c r="J938" s="9" t="s">
        <v>4154</v>
      </c>
      <c r="O938" s="10">
        <f>IFERROR(__xludf.DUMMYFUNCTION("VALUE(REGEXEXTRACT(A938, ""\d+""))"),1109.0)</f>
        <v>1109</v>
      </c>
    </row>
    <row r="939">
      <c r="A939" s="9" t="s">
        <v>4155</v>
      </c>
      <c r="B939" s="9" t="s">
        <v>4156</v>
      </c>
      <c r="D939" s="9" t="s">
        <v>4157</v>
      </c>
      <c r="G939" s="6" t="s">
        <v>4158</v>
      </c>
      <c r="J939" s="9" t="s">
        <v>4159</v>
      </c>
      <c r="O939" s="10">
        <f>IFERROR(__xludf.DUMMYFUNCTION("VALUE(REGEXEXTRACT(A939, ""\d+""))"),1110.0)</f>
        <v>1110</v>
      </c>
    </row>
    <row r="940">
      <c r="A940" s="9" t="s">
        <v>4160</v>
      </c>
      <c r="B940" s="9" t="s">
        <v>4161</v>
      </c>
      <c r="D940" s="9" t="s">
        <v>4162</v>
      </c>
      <c r="G940" s="6" t="s">
        <v>4162</v>
      </c>
      <c r="J940" s="9" t="s">
        <v>4163</v>
      </c>
      <c r="O940" s="10">
        <f>IFERROR(__xludf.DUMMYFUNCTION("VALUE(REGEXEXTRACT(A940, ""\d+""))"),1111.0)</f>
        <v>1111</v>
      </c>
    </row>
    <row r="941">
      <c r="A941" s="9" t="s">
        <v>4164</v>
      </c>
      <c r="B941" s="9" t="s">
        <v>4165</v>
      </c>
      <c r="D941" s="9" t="s">
        <v>4166</v>
      </c>
      <c r="G941" s="6" t="s">
        <v>4166</v>
      </c>
      <c r="J941" s="9" t="s">
        <v>4167</v>
      </c>
      <c r="O941" s="10">
        <f>IFERROR(__xludf.DUMMYFUNCTION("VALUE(REGEXEXTRACT(A941, ""\d+""))"),1112.0)</f>
        <v>1112</v>
      </c>
    </row>
    <row r="942">
      <c r="A942" s="9" t="s">
        <v>4168</v>
      </c>
      <c r="B942" s="9" t="s">
        <v>4169</v>
      </c>
      <c r="D942" s="9" t="s">
        <v>4170</v>
      </c>
      <c r="G942" s="6" t="s">
        <v>4170</v>
      </c>
      <c r="J942" s="9" t="s">
        <v>4171</v>
      </c>
      <c r="O942" s="10">
        <f>IFERROR(__xludf.DUMMYFUNCTION("VALUE(REGEXEXTRACT(A942, ""\d+""))"),1113.0)</f>
        <v>1113</v>
      </c>
    </row>
    <row r="943">
      <c r="A943" s="9" t="s">
        <v>4172</v>
      </c>
      <c r="B943" s="9" t="s">
        <v>4173</v>
      </c>
      <c r="D943" s="9" t="s">
        <v>4174</v>
      </c>
      <c r="G943" s="6" t="s">
        <v>4175</v>
      </c>
      <c r="J943" s="9" t="s">
        <v>4176</v>
      </c>
      <c r="O943" s="10">
        <f>IFERROR(__xludf.DUMMYFUNCTION("VALUE(REGEXEXTRACT(A943, ""\d+""))"),1114.0)</f>
        <v>1114</v>
      </c>
    </row>
    <row r="944">
      <c r="A944" s="9" t="s">
        <v>4177</v>
      </c>
      <c r="B944" s="9" t="s">
        <v>4178</v>
      </c>
      <c r="D944" s="9" t="s">
        <v>4179</v>
      </c>
      <c r="G944" s="6" t="s">
        <v>4180</v>
      </c>
      <c r="J944" s="9" t="s">
        <v>4181</v>
      </c>
      <c r="O944" s="10">
        <f>IFERROR(__xludf.DUMMYFUNCTION("VALUE(REGEXEXTRACT(A944, ""\d+""))"),1115.0)</f>
        <v>1115</v>
      </c>
    </row>
    <row r="945">
      <c r="A945" s="9" t="s">
        <v>4182</v>
      </c>
      <c r="B945" s="9" t="s">
        <v>4183</v>
      </c>
      <c r="D945" s="9" t="s">
        <v>4184</v>
      </c>
      <c r="G945" s="6" t="s">
        <v>4184</v>
      </c>
      <c r="J945" s="9" t="s">
        <v>4185</v>
      </c>
      <c r="O945" s="10">
        <f>IFERROR(__xludf.DUMMYFUNCTION("VALUE(REGEXEXTRACT(A945, ""\d+""))"),1117.0)</f>
        <v>1117</v>
      </c>
    </row>
    <row r="946">
      <c r="A946" s="9" t="s">
        <v>4186</v>
      </c>
      <c r="B946" s="9" t="s">
        <v>4187</v>
      </c>
      <c r="D946" s="9" t="s">
        <v>4188</v>
      </c>
      <c r="G946" s="6" t="s">
        <v>4189</v>
      </c>
      <c r="J946" s="9" t="s">
        <v>4190</v>
      </c>
      <c r="O946" s="10">
        <f>IFERROR(__xludf.DUMMYFUNCTION("VALUE(REGEXEXTRACT(A946, ""\d+""))"),1118.0)</f>
        <v>1118</v>
      </c>
    </row>
    <row r="947">
      <c r="A947" s="9" t="s">
        <v>4191</v>
      </c>
      <c r="B947" s="9" t="s">
        <v>4192</v>
      </c>
      <c r="D947" s="9" t="s">
        <v>4193</v>
      </c>
      <c r="G947" s="6" t="s">
        <v>4193</v>
      </c>
      <c r="J947" s="9" t="s">
        <v>4194</v>
      </c>
      <c r="O947" s="10">
        <f>IFERROR(__xludf.DUMMYFUNCTION("VALUE(REGEXEXTRACT(A947, ""\d+""))"),1119.0)</f>
        <v>1119</v>
      </c>
    </row>
    <row r="948">
      <c r="A948" s="9" t="s">
        <v>4195</v>
      </c>
      <c r="B948" s="9" t="s">
        <v>4196</v>
      </c>
      <c r="D948" s="9" t="s">
        <v>4197</v>
      </c>
      <c r="G948" s="6" t="s">
        <v>4197</v>
      </c>
      <c r="J948" s="9" t="s">
        <v>4198</v>
      </c>
      <c r="O948" s="10">
        <f>IFERROR(__xludf.DUMMYFUNCTION("VALUE(REGEXEXTRACT(A948, ""\d+""))"),1120.0)</f>
        <v>1120</v>
      </c>
    </row>
    <row r="949">
      <c r="A949" s="9" t="s">
        <v>4199</v>
      </c>
      <c r="B949" s="9" t="s">
        <v>4200</v>
      </c>
      <c r="G949" s="6" t="s">
        <v>4201</v>
      </c>
      <c r="O949" s="10">
        <f>IFERROR(__xludf.DUMMYFUNCTION("VALUE(REGEXEXTRACT(A949, ""\d+""))"),1121.0)</f>
        <v>1121</v>
      </c>
    </row>
    <row r="950">
      <c r="A950" s="9" t="s">
        <v>4202</v>
      </c>
      <c r="B950" s="9" t="s">
        <v>4203</v>
      </c>
      <c r="D950" s="9" t="s">
        <v>4204</v>
      </c>
      <c r="G950" s="6" t="s">
        <v>4205</v>
      </c>
      <c r="J950" s="9" t="s">
        <v>4206</v>
      </c>
      <c r="O950" s="10">
        <f>IFERROR(__xludf.DUMMYFUNCTION("VALUE(REGEXEXTRACT(A950, ""\d+""))"),1122.0)</f>
        <v>1122</v>
      </c>
    </row>
    <row r="951">
      <c r="A951" s="9" t="s">
        <v>4207</v>
      </c>
      <c r="B951" s="9" t="s">
        <v>4208</v>
      </c>
      <c r="D951" s="9" t="s">
        <v>4209</v>
      </c>
      <c r="G951" s="6" t="s">
        <v>4209</v>
      </c>
      <c r="J951" s="9" t="s">
        <v>4210</v>
      </c>
      <c r="O951" s="10">
        <f>IFERROR(__xludf.DUMMYFUNCTION("VALUE(REGEXEXTRACT(A951, ""\d+""))"),1123.0)</f>
        <v>1123</v>
      </c>
    </row>
    <row r="952">
      <c r="A952" s="9" t="s">
        <v>4211</v>
      </c>
      <c r="B952" s="9" t="s">
        <v>4212</v>
      </c>
      <c r="D952" s="9" t="s">
        <v>4213</v>
      </c>
      <c r="G952" s="6" t="s">
        <v>4214</v>
      </c>
      <c r="J952" s="9" t="s">
        <v>4215</v>
      </c>
      <c r="O952" s="10">
        <f>IFERROR(__xludf.DUMMYFUNCTION("VALUE(REGEXEXTRACT(A952, ""\d+""))"),1125.0)</f>
        <v>1125</v>
      </c>
    </row>
    <row r="953">
      <c r="A953" s="9" t="s">
        <v>4216</v>
      </c>
      <c r="B953" s="9" t="s">
        <v>4217</v>
      </c>
      <c r="G953" s="6" t="s">
        <v>4218</v>
      </c>
      <c r="O953" s="10">
        <f>IFERROR(__xludf.DUMMYFUNCTION("VALUE(REGEXEXTRACT(A953, ""\d+""))"),1126.0)</f>
        <v>1126</v>
      </c>
    </row>
    <row r="954">
      <c r="A954" s="9" t="s">
        <v>4219</v>
      </c>
      <c r="B954" s="9" t="s">
        <v>4220</v>
      </c>
      <c r="D954" s="9" t="s">
        <v>4220</v>
      </c>
      <c r="G954" s="6" t="s">
        <v>4220</v>
      </c>
      <c r="J954" s="9" t="s">
        <v>4220</v>
      </c>
      <c r="O954" s="10">
        <f>IFERROR(__xludf.DUMMYFUNCTION("VALUE(REGEXEXTRACT(A954, ""\d+""))"),1127.0)</f>
        <v>1127</v>
      </c>
    </row>
    <row r="955">
      <c r="A955" s="9" t="s">
        <v>4221</v>
      </c>
      <c r="B955" s="9" t="s">
        <v>4222</v>
      </c>
      <c r="D955" s="9" t="s">
        <v>4223</v>
      </c>
      <c r="G955" s="6" t="s">
        <v>4223</v>
      </c>
      <c r="J955" s="9" t="s">
        <v>4224</v>
      </c>
      <c r="O955" s="10">
        <f>IFERROR(__xludf.DUMMYFUNCTION("VALUE(REGEXEXTRACT(A955, ""\d+""))"),1128.0)</f>
        <v>1128</v>
      </c>
    </row>
    <row r="956">
      <c r="A956" s="9" t="s">
        <v>4225</v>
      </c>
      <c r="B956" s="9" t="s">
        <v>4226</v>
      </c>
      <c r="G956" s="6" t="s">
        <v>4227</v>
      </c>
      <c r="O956" s="10">
        <f>IFERROR(__xludf.DUMMYFUNCTION("VALUE(REGEXEXTRACT(A956, ""\d+""))"),1129.0)</f>
        <v>1129</v>
      </c>
    </row>
    <row r="957">
      <c r="A957" s="9" t="s">
        <v>4228</v>
      </c>
      <c r="B957" s="9" t="s">
        <v>4229</v>
      </c>
      <c r="G957" s="6" t="s">
        <v>4230</v>
      </c>
      <c r="O957" s="10">
        <f>IFERROR(__xludf.DUMMYFUNCTION("VALUE(REGEXEXTRACT(A957, ""\d+""))"),1130.0)</f>
        <v>1130</v>
      </c>
    </row>
    <row r="958">
      <c r="A958" s="9" t="s">
        <v>4231</v>
      </c>
      <c r="B958" s="9" t="s">
        <v>4232</v>
      </c>
      <c r="G958" s="6" t="s">
        <v>4233</v>
      </c>
      <c r="O958" s="10">
        <f>IFERROR(__xludf.DUMMYFUNCTION("VALUE(REGEXEXTRACT(A958, ""\d+""))"),1132.0)</f>
        <v>1132</v>
      </c>
    </row>
    <row r="959">
      <c r="A959" s="9" t="s">
        <v>4234</v>
      </c>
      <c r="B959" s="9" t="s">
        <v>4235</v>
      </c>
      <c r="G959" s="6" t="s">
        <v>4236</v>
      </c>
      <c r="O959" s="10">
        <f>IFERROR(__xludf.DUMMYFUNCTION("VALUE(REGEXEXTRACT(A959, ""\d+""))"),1133.0)</f>
        <v>1133</v>
      </c>
    </row>
    <row r="960">
      <c r="A960" s="9" t="s">
        <v>4237</v>
      </c>
      <c r="B960" s="9" t="s">
        <v>4238</v>
      </c>
      <c r="D960" s="9" t="s">
        <v>4239</v>
      </c>
      <c r="G960" s="6" t="s">
        <v>4240</v>
      </c>
      <c r="J960" s="9" t="s">
        <v>4241</v>
      </c>
      <c r="O960" s="10">
        <f>IFERROR(__xludf.DUMMYFUNCTION("VALUE(REGEXEXTRACT(A960, ""\d+""))"),1134.0)</f>
        <v>1134</v>
      </c>
    </row>
    <row r="961">
      <c r="A961" s="9" t="s">
        <v>4242</v>
      </c>
      <c r="B961" s="9" t="s">
        <v>4243</v>
      </c>
      <c r="D961" s="9" t="s">
        <v>4244</v>
      </c>
      <c r="G961" s="6" t="s">
        <v>4245</v>
      </c>
      <c r="J961" s="9" t="s">
        <v>4246</v>
      </c>
      <c r="O961" s="10">
        <f>IFERROR(__xludf.DUMMYFUNCTION("VALUE(REGEXEXTRACT(A961, ""\d+""))"),1135.0)</f>
        <v>1135</v>
      </c>
    </row>
    <row r="962">
      <c r="A962" s="9" t="s">
        <v>4247</v>
      </c>
      <c r="B962" s="9" t="s">
        <v>4248</v>
      </c>
      <c r="G962" s="6" t="s">
        <v>4249</v>
      </c>
      <c r="O962" s="10">
        <f>IFERROR(__xludf.DUMMYFUNCTION("VALUE(REGEXEXTRACT(A962, ""\d+""))"),1136.0)</f>
        <v>1136</v>
      </c>
    </row>
    <row r="963">
      <c r="A963" s="9" t="s">
        <v>4250</v>
      </c>
      <c r="B963" s="9" t="s">
        <v>4251</v>
      </c>
      <c r="D963" s="9" t="s">
        <v>4252</v>
      </c>
      <c r="G963" s="6" t="s">
        <v>4252</v>
      </c>
      <c r="J963" s="9" t="s">
        <v>4253</v>
      </c>
      <c r="O963" s="10">
        <f>IFERROR(__xludf.DUMMYFUNCTION("VALUE(REGEXEXTRACT(A963, ""\d+""))"),1137.0)</f>
        <v>1137</v>
      </c>
    </row>
    <row r="964">
      <c r="A964" s="9" t="s">
        <v>4254</v>
      </c>
      <c r="B964" s="9" t="s">
        <v>4255</v>
      </c>
      <c r="D964" s="9" t="s">
        <v>4256</v>
      </c>
      <c r="G964" s="6" t="s">
        <v>4257</v>
      </c>
      <c r="J964" s="9" t="s">
        <v>4258</v>
      </c>
      <c r="O964" s="10">
        <f>IFERROR(__xludf.DUMMYFUNCTION("VALUE(REGEXEXTRACT(A964, ""\d+""))"),1138.0)</f>
        <v>1138</v>
      </c>
    </row>
    <row r="965">
      <c r="A965" s="9" t="s">
        <v>4259</v>
      </c>
      <c r="B965" s="9" t="s">
        <v>4260</v>
      </c>
      <c r="D965" s="9" t="s">
        <v>4261</v>
      </c>
      <c r="G965" s="6" t="s">
        <v>4262</v>
      </c>
      <c r="J965" s="9" t="s">
        <v>4263</v>
      </c>
      <c r="O965" s="10">
        <f>IFERROR(__xludf.DUMMYFUNCTION("VALUE(REGEXEXTRACT(A965, ""\d+""))"),1140.0)</f>
        <v>1140</v>
      </c>
    </row>
    <row r="966">
      <c r="A966" s="9" t="s">
        <v>4264</v>
      </c>
      <c r="B966" s="9" t="s">
        <v>4265</v>
      </c>
      <c r="D966" s="9" t="s">
        <v>4266</v>
      </c>
      <c r="G966" s="6" t="s">
        <v>4267</v>
      </c>
      <c r="J966" s="9" t="s">
        <v>4268</v>
      </c>
      <c r="O966" s="10">
        <f>IFERROR(__xludf.DUMMYFUNCTION("VALUE(REGEXEXTRACT(A966, ""\d+""))"),1141.0)</f>
        <v>1141</v>
      </c>
    </row>
    <row r="967">
      <c r="A967" s="9" t="s">
        <v>4269</v>
      </c>
      <c r="B967" s="9" t="s">
        <v>4270</v>
      </c>
      <c r="D967" s="9" t="s">
        <v>4271</v>
      </c>
      <c r="G967" s="6" t="s">
        <v>4272</v>
      </c>
      <c r="J967" s="9" t="s">
        <v>4273</v>
      </c>
      <c r="O967" s="10">
        <f>IFERROR(__xludf.DUMMYFUNCTION("VALUE(REGEXEXTRACT(A967, ""\d+""))"),1142.0)</f>
        <v>1142</v>
      </c>
    </row>
    <row r="968">
      <c r="A968" s="9" t="s">
        <v>4274</v>
      </c>
      <c r="B968" s="9" t="s">
        <v>4275</v>
      </c>
      <c r="D968" s="9" t="s">
        <v>4276</v>
      </c>
      <c r="G968" s="6" t="s">
        <v>4277</v>
      </c>
      <c r="J968" s="9" t="s">
        <v>4278</v>
      </c>
      <c r="O968" s="10">
        <f>IFERROR(__xludf.DUMMYFUNCTION("VALUE(REGEXEXTRACT(A968, ""\d+""))"),1143.0)</f>
        <v>1143</v>
      </c>
    </row>
    <row r="969">
      <c r="A969" s="9" t="s">
        <v>4279</v>
      </c>
      <c r="B969" s="9" t="s">
        <v>4280</v>
      </c>
      <c r="D969" s="9" t="s">
        <v>4281</v>
      </c>
      <c r="G969" s="6" t="s">
        <v>4282</v>
      </c>
      <c r="J969" s="9" t="s">
        <v>4283</v>
      </c>
      <c r="O969" s="10">
        <f>IFERROR(__xludf.DUMMYFUNCTION("VALUE(REGEXEXTRACT(A969, ""\d+""))"),1144.0)</f>
        <v>1144</v>
      </c>
    </row>
    <row r="970">
      <c r="A970" s="9" t="s">
        <v>4284</v>
      </c>
      <c r="B970" s="9" t="s">
        <v>4285</v>
      </c>
      <c r="D970" s="9" t="s">
        <v>4286</v>
      </c>
      <c r="G970" s="6" t="s">
        <v>4287</v>
      </c>
      <c r="J970" s="9" t="s">
        <v>4288</v>
      </c>
      <c r="O970" s="10">
        <f>IFERROR(__xludf.DUMMYFUNCTION("VALUE(REGEXEXTRACT(A970, ""\d+""))"),1145.0)</f>
        <v>1145</v>
      </c>
    </row>
    <row r="971">
      <c r="A971" s="9" t="s">
        <v>4289</v>
      </c>
      <c r="B971" s="9" t="s">
        <v>4290</v>
      </c>
      <c r="D971" s="9" t="s">
        <v>4291</v>
      </c>
      <c r="G971" s="6" t="s">
        <v>4292</v>
      </c>
      <c r="J971" s="9" t="s">
        <v>4293</v>
      </c>
      <c r="O971" s="10">
        <f>IFERROR(__xludf.DUMMYFUNCTION("VALUE(REGEXEXTRACT(A971, ""\d+""))"),1146.0)</f>
        <v>1146</v>
      </c>
    </row>
    <row r="972">
      <c r="A972" s="9" t="s">
        <v>4294</v>
      </c>
      <c r="B972" s="9" t="s">
        <v>4295</v>
      </c>
      <c r="D972" s="9" t="s">
        <v>4296</v>
      </c>
      <c r="G972" s="6" t="s">
        <v>4297</v>
      </c>
      <c r="J972" s="9" t="s">
        <v>4298</v>
      </c>
      <c r="O972" s="10">
        <f>IFERROR(__xludf.DUMMYFUNCTION("VALUE(REGEXEXTRACT(A972, ""\d+""))"),1147.0)</f>
        <v>1147</v>
      </c>
    </row>
    <row r="973">
      <c r="A973" s="9" t="s">
        <v>4299</v>
      </c>
      <c r="B973" s="9" t="s">
        <v>4300</v>
      </c>
      <c r="D973" s="9" t="s">
        <v>4301</v>
      </c>
      <c r="G973" s="6" t="s">
        <v>4302</v>
      </c>
      <c r="J973" s="9" t="s">
        <v>4303</v>
      </c>
      <c r="O973" s="10">
        <f>IFERROR(__xludf.DUMMYFUNCTION("VALUE(REGEXEXTRACT(A973, ""\d+""))"),1148.0)</f>
        <v>1148</v>
      </c>
    </row>
    <row r="974">
      <c r="A974" s="9" t="s">
        <v>4304</v>
      </c>
      <c r="B974" s="9" t="s">
        <v>4305</v>
      </c>
      <c r="G974" s="9" t="s">
        <v>4306</v>
      </c>
      <c r="O974" s="10">
        <f>IFERROR(__xludf.DUMMYFUNCTION("VALUE(REGEXEXTRACT(A974, ""\d+""))"),1149.0)</f>
        <v>1149</v>
      </c>
    </row>
    <row r="975">
      <c r="A975" s="9" t="s">
        <v>4307</v>
      </c>
      <c r="B975" s="9" t="s">
        <v>4308</v>
      </c>
      <c r="G975" s="9" t="s">
        <v>4309</v>
      </c>
      <c r="O975" s="10">
        <f>IFERROR(__xludf.DUMMYFUNCTION("VALUE(REGEXEXTRACT(A975, ""\d+""))"),1150.0)</f>
        <v>1150</v>
      </c>
    </row>
    <row r="976">
      <c r="A976" s="9" t="s">
        <v>4310</v>
      </c>
      <c r="B976" s="9" t="s">
        <v>4311</v>
      </c>
      <c r="D976" s="9" t="s">
        <v>4312</v>
      </c>
      <c r="G976" s="6" t="s">
        <v>4313</v>
      </c>
      <c r="J976" s="9" t="s">
        <v>4314</v>
      </c>
      <c r="O976" s="10">
        <f>IFERROR(__xludf.DUMMYFUNCTION("VALUE(REGEXEXTRACT(A976, ""\d+""))"),1152.0)</f>
        <v>1152</v>
      </c>
    </row>
    <row r="977">
      <c r="A977" s="9" t="s">
        <v>4315</v>
      </c>
      <c r="B977" s="9" t="s">
        <v>4316</v>
      </c>
      <c r="D977" s="9" t="s">
        <v>4317</v>
      </c>
      <c r="G977" s="6" t="s">
        <v>4318</v>
      </c>
      <c r="J977" s="9" t="s">
        <v>4319</v>
      </c>
      <c r="O977" s="10">
        <f>IFERROR(__xludf.DUMMYFUNCTION("VALUE(REGEXEXTRACT(A977, ""\d+""))"),1153.0)</f>
        <v>1153</v>
      </c>
    </row>
    <row r="978">
      <c r="A978" s="9" t="s">
        <v>4320</v>
      </c>
      <c r="B978" s="9" t="s">
        <v>4316</v>
      </c>
      <c r="D978" s="9" t="s">
        <v>4317</v>
      </c>
      <c r="G978" s="6" t="s">
        <v>4318</v>
      </c>
      <c r="J978" s="9" t="s">
        <v>4319</v>
      </c>
      <c r="O978" s="10">
        <f>IFERROR(__xludf.DUMMYFUNCTION("VALUE(REGEXEXTRACT(A978, ""\d+""))"),1154.0)</f>
        <v>1154</v>
      </c>
    </row>
    <row r="979">
      <c r="A979" s="9" t="s">
        <v>4321</v>
      </c>
      <c r="B979" s="9" t="s">
        <v>4322</v>
      </c>
      <c r="D979" s="9" t="s">
        <v>4323</v>
      </c>
      <c r="G979" s="6" t="s">
        <v>4324</v>
      </c>
      <c r="J979" s="9" t="s">
        <v>4325</v>
      </c>
      <c r="O979" s="10">
        <f>IFERROR(__xludf.DUMMYFUNCTION("VALUE(REGEXEXTRACT(A979, ""\d+""))"),1155.0)</f>
        <v>1155</v>
      </c>
    </row>
    <row r="980">
      <c r="A980" s="9" t="s">
        <v>4326</v>
      </c>
      <c r="B980" s="9" t="s">
        <v>4327</v>
      </c>
      <c r="D980" s="9" t="s">
        <v>4328</v>
      </c>
      <c r="G980" s="6" t="s">
        <v>4329</v>
      </c>
      <c r="J980" s="9" t="s">
        <v>4330</v>
      </c>
      <c r="O980" s="10">
        <f>IFERROR(__xludf.DUMMYFUNCTION("VALUE(REGEXEXTRACT(A980, ""\d+""))"),1156.0)</f>
        <v>1156</v>
      </c>
    </row>
    <row r="981">
      <c r="A981" s="9" t="s">
        <v>4331</v>
      </c>
      <c r="B981" s="9" t="s">
        <v>4332</v>
      </c>
      <c r="D981" s="9" t="s">
        <v>4333</v>
      </c>
      <c r="G981" s="6" t="s">
        <v>4333</v>
      </c>
      <c r="J981" s="9" t="s">
        <v>4334</v>
      </c>
      <c r="O981" s="10">
        <f>IFERROR(__xludf.DUMMYFUNCTION("VALUE(REGEXEXTRACT(A981, ""\d+""))"),1157.0)</f>
        <v>1157</v>
      </c>
    </row>
    <row r="982">
      <c r="A982" s="9" t="s">
        <v>4335</v>
      </c>
      <c r="B982" s="9" t="s">
        <v>4336</v>
      </c>
      <c r="D982" s="9" t="s">
        <v>4337</v>
      </c>
      <c r="G982" s="6" t="s">
        <v>4337</v>
      </c>
      <c r="J982" s="9" t="s">
        <v>4338</v>
      </c>
      <c r="O982" s="10">
        <f>IFERROR(__xludf.DUMMYFUNCTION("VALUE(REGEXEXTRACT(A982, ""\d+""))"),1158.0)</f>
        <v>1158</v>
      </c>
    </row>
    <row r="983">
      <c r="A983" s="9" t="s">
        <v>4339</v>
      </c>
      <c r="B983" s="9" t="s">
        <v>4340</v>
      </c>
      <c r="D983" s="9" t="s">
        <v>4341</v>
      </c>
      <c r="G983" s="6" t="s">
        <v>4341</v>
      </c>
      <c r="J983" s="9" t="s">
        <v>4342</v>
      </c>
      <c r="O983" s="10">
        <f>IFERROR(__xludf.DUMMYFUNCTION("VALUE(REGEXEXTRACT(A983, ""\d+""))"),1159.0)</f>
        <v>1159</v>
      </c>
    </row>
    <row r="984">
      <c r="A984" s="9" t="s">
        <v>4343</v>
      </c>
      <c r="B984" s="9" t="s">
        <v>4344</v>
      </c>
      <c r="D984" s="9" t="s">
        <v>4345</v>
      </c>
      <c r="G984" s="6" t="s">
        <v>4346</v>
      </c>
      <c r="J984" s="9" t="s">
        <v>4347</v>
      </c>
      <c r="O984" s="10">
        <f>IFERROR(__xludf.DUMMYFUNCTION("VALUE(REGEXEXTRACT(A984, ""\d+""))"),1160.0)</f>
        <v>1160</v>
      </c>
    </row>
    <row r="985">
      <c r="A985" s="9" t="s">
        <v>4348</v>
      </c>
      <c r="B985" s="9" t="s">
        <v>4349</v>
      </c>
      <c r="D985" s="9" t="s">
        <v>4350</v>
      </c>
      <c r="G985" s="6" t="s">
        <v>4351</v>
      </c>
      <c r="J985" s="9" t="s">
        <v>4352</v>
      </c>
      <c r="O985" s="10">
        <f>IFERROR(__xludf.DUMMYFUNCTION("VALUE(REGEXEXTRACT(A985, ""\d+""))"),1161.0)</f>
        <v>1161</v>
      </c>
    </row>
    <row r="986">
      <c r="A986" s="9" t="s">
        <v>4353</v>
      </c>
      <c r="B986" s="9" t="s">
        <v>4354</v>
      </c>
      <c r="D986" s="9" t="s">
        <v>4355</v>
      </c>
      <c r="G986" s="6" t="s">
        <v>4356</v>
      </c>
      <c r="J986" s="9" t="s">
        <v>4357</v>
      </c>
      <c r="O986" s="10">
        <f>IFERROR(__xludf.DUMMYFUNCTION("VALUE(REGEXEXTRACT(A986, ""\d+""))"),1162.0)</f>
        <v>1162</v>
      </c>
    </row>
    <row r="987">
      <c r="A987" s="9" t="s">
        <v>4358</v>
      </c>
      <c r="B987" s="9" t="s">
        <v>4359</v>
      </c>
      <c r="D987" s="9" t="s">
        <v>4360</v>
      </c>
      <c r="G987" s="6" t="s">
        <v>4360</v>
      </c>
      <c r="J987" s="9" t="s">
        <v>4361</v>
      </c>
      <c r="O987" s="10">
        <f>IFERROR(__xludf.DUMMYFUNCTION("VALUE(REGEXEXTRACT(A987, ""\d+""))"),1163.0)</f>
        <v>1163</v>
      </c>
    </row>
    <row r="988">
      <c r="A988" s="9" t="s">
        <v>4362</v>
      </c>
      <c r="B988" s="9" t="s">
        <v>4363</v>
      </c>
      <c r="D988" s="9" t="s">
        <v>4364</v>
      </c>
      <c r="G988" s="6" t="s">
        <v>4365</v>
      </c>
      <c r="J988" s="9" t="s">
        <v>4366</v>
      </c>
      <c r="O988" s="10">
        <f>IFERROR(__xludf.DUMMYFUNCTION("VALUE(REGEXEXTRACT(A988, ""\d+""))"),1172.0)</f>
        <v>1172</v>
      </c>
    </row>
    <row r="989">
      <c r="A989" s="9" t="s">
        <v>4367</v>
      </c>
      <c r="B989" s="9" t="s">
        <v>4368</v>
      </c>
      <c r="D989" s="9" t="s">
        <v>4369</v>
      </c>
      <c r="G989" s="6" t="s">
        <v>4370</v>
      </c>
      <c r="J989" s="9" t="s">
        <v>4371</v>
      </c>
      <c r="O989" s="10">
        <f>IFERROR(__xludf.DUMMYFUNCTION("VALUE(REGEXEXTRACT(A989, ""\d+""))"),1173.0)</f>
        <v>1173</v>
      </c>
    </row>
    <row r="990">
      <c r="A990" s="9" t="s">
        <v>4372</v>
      </c>
      <c r="B990" s="9" t="s">
        <v>4373</v>
      </c>
      <c r="D990" s="9" t="s">
        <v>4374</v>
      </c>
      <c r="G990" s="6" t="s">
        <v>4375</v>
      </c>
      <c r="J990" s="9" t="s">
        <v>4376</v>
      </c>
      <c r="O990" s="10">
        <f>IFERROR(__xludf.DUMMYFUNCTION("VALUE(REGEXEXTRACT(A990, ""\d+""))"),1175.0)</f>
        <v>1175</v>
      </c>
    </row>
    <row r="991">
      <c r="A991" s="9" t="s">
        <v>4377</v>
      </c>
      <c r="B991" s="9" t="s">
        <v>4378</v>
      </c>
      <c r="D991" s="9" t="s">
        <v>4379</v>
      </c>
      <c r="G991" s="6" t="s">
        <v>4380</v>
      </c>
      <c r="J991" s="9" t="s">
        <v>4381</v>
      </c>
      <c r="O991" s="10">
        <f>IFERROR(__xludf.DUMMYFUNCTION("VALUE(REGEXEXTRACT(A991, ""\d+""))"),1176.0)</f>
        <v>1176</v>
      </c>
    </row>
    <row r="992">
      <c r="A992" s="9" t="s">
        <v>4382</v>
      </c>
      <c r="B992" s="9" t="s">
        <v>4383</v>
      </c>
      <c r="D992" s="9" t="s">
        <v>4384</v>
      </c>
      <c r="G992" s="6" t="s">
        <v>4385</v>
      </c>
      <c r="J992" s="9" t="s">
        <v>4386</v>
      </c>
      <c r="O992" s="10">
        <f>IFERROR(__xludf.DUMMYFUNCTION("VALUE(REGEXEXTRACT(A992, ""\d+""))"),1177.0)</f>
        <v>1177</v>
      </c>
    </row>
    <row r="993">
      <c r="A993" s="9" t="s">
        <v>4387</v>
      </c>
      <c r="B993" s="9" t="s">
        <v>4388</v>
      </c>
      <c r="D993" s="9" t="s">
        <v>4389</v>
      </c>
      <c r="G993" s="6" t="s">
        <v>4390</v>
      </c>
      <c r="J993" s="9" t="s">
        <v>4391</v>
      </c>
      <c r="O993" s="10">
        <f>IFERROR(__xludf.DUMMYFUNCTION("VALUE(REGEXEXTRACT(A993, ""\d+""))"),1178.0)</f>
        <v>1178</v>
      </c>
    </row>
    <row r="994">
      <c r="A994" s="9" t="s">
        <v>4392</v>
      </c>
      <c r="B994" s="9" t="s">
        <v>4393</v>
      </c>
      <c r="D994" s="9" t="s">
        <v>4394</v>
      </c>
      <c r="G994" s="6" t="s">
        <v>4395</v>
      </c>
      <c r="J994" s="9" t="s">
        <v>4396</v>
      </c>
      <c r="O994" s="10">
        <f>IFERROR(__xludf.DUMMYFUNCTION("VALUE(REGEXEXTRACT(A994, ""\d+""))"),1179.0)</f>
        <v>1179</v>
      </c>
    </row>
    <row r="995">
      <c r="A995" s="9" t="s">
        <v>4397</v>
      </c>
      <c r="B995" s="9" t="s">
        <v>4398</v>
      </c>
      <c r="G995" s="6" t="s">
        <v>4399</v>
      </c>
      <c r="O995" s="10">
        <f>IFERROR(__xludf.DUMMYFUNCTION("VALUE(REGEXEXTRACT(A995, ""\d+""))"),1180.0)</f>
        <v>1180</v>
      </c>
    </row>
    <row r="996">
      <c r="A996" s="9" t="s">
        <v>4400</v>
      </c>
      <c r="B996" s="9" t="s">
        <v>4401</v>
      </c>
      <c r="D996" s="9" t="s">
        <v>4402</v>
      </c>
      <c r="G996" s="6" t="s">
        <v>4403</v>
      </c>
      <c r="J996" s="9" t="s">
        <v>4404</v>
      </c>
      <c r="O996" s="10">
        <f>IFERROR(__xludf.DUMMYFUNCTION("VALUE(REGEXEXTRACT(A996, ""\d+""))"),1181.0)</f>
        <v>1181</v>
      </c>
    </row>
    <row r="997">
      <c r="A997" s="9" t="s">
        <v>4405</v>
      </c>
      <c r="B997" s="9" t="s">
        <v>4406</v>
      </c>
      <c r="D997" s="9" t="s">
        <v>4407</v>
      </c>
      <c r="G997" s="6" t="s">
        <v>4408</v>
      </c>
      <c r="J997" s="9" t="s">
        <v>4409</v>
      </c>
      <c r="O997" s="10">
        <f>IFERROR(__xludf.DUMMYFUNCTION("VALUE(REGEXEXTRACT(A997, ""\d+""))"),1183.0)</f>
        <v>1183</v>
      </c>
    </row>
    <row r="998">
      <c r="A998" s="9" t="s">
        <v>4410</v>
      </c>
      <c r="B998" s="9" t="s">
        <v>4411</v>
      </c>
      <c r="D998" s="9" t="s">
        <v>4407</v>
      </c>
      <c r="G998" s="6" t="s">
        <v>4408</v>
      </c>
      <c r="J998" s="9" t="s">
        <v>4412</v>
      </c>
      <c r="O998" s="10">
        <f>IFERROR(__xludf.DUMMYFUNCTION("VALUE(REGEXEXTRACT(A998, ""\d+""))"),1184.0)</f>
        <v>1184</v>
      </c>
    </row>
    <row r="999">
      <c r="A999" s="9" t="s">
        <v>4413</v>
      </c>
      <c r="B999" s="9" t="s">
        <v>4414</v>
      </c>
      <c r="D999" s="9" t="s">
        <v>4415</v>
      </c>
      <c r="G999" s="6" t="s">
        <v>4416</v>
      </c>
      <c r="J999" s="9" t="s">
        <v>4417</v>
      </c>
      <c r="O999" s="10">
        <f>IFERROR(__xludf.DUMMYFUNCTION("VALUE(REGEXEXTRACT(A999, ""\d+""))"),1185.0)</f>
        <v>1185</v>
      </c>
    </row>
    <row r="1000">
      <c r="A1000" s="9" t="s">
        <v>4418</v>
      </c>
      <c r="B1000" s="9" t="s">
        <v>4419</v>
      </c>
      <c r="D1000" s="9" t="s">
        <v>4420</v>
      </c>
      <c r="G1000" s="6" t="s">
        <v>4421</v>
      </c>
      <c r="J1000" s="9" t="s">
        <v>4422</v>
      </c>
      <c r="O1000" s="10">
        <f>IFERROR(__xludf.DUMMYFUNCTION("VALUE(REGEXEXTRACT(A1000, ""\d+""))"),1186.0)</f>
        <v>1186</v>
      </c>
    </row>
    <row r="1001">
      <c r="A1001" s="9" t="s">
        <v>4423</v>
      </c>
      <c r="B1001" s="9" t="s">
        <v>4424</v>
      </c>
      <c r="D1001" s="9" t="s">
        <v>4425</v>
      </c>
      <c r="G1001" s="6" t="s">
        <v>4426</v>
      </c>
      <c r="J1001" s="9" t="s">
        <v>4427</v>
      </c>
      <c r="O1001" s="10">
        <f>IFERROR(__xludf.DUMMYFUNCTION("VALUE(REGEXEXTRACT(A1001, ""\d+""))"),1188.0)</f>
        <v>1188</v>
      </c>
    </row>
    <row r="1002">
      <c r="A1002" s="9" t="s">
        <v>4428</v>
      </c>
      <c r="B1002" s="9" t="s">
        <v>4429</v>
      </c>
      <c r="D1002" s="9" t="s">
        <v>4429</v>
      </c>
      <c r="G1002" s="6" t="s">
        <v>4429</v>
      </c>
      <c r="J1002" s="9" t="s">
        <v>4429</v>
      </c>
      <c r="O1002" s="10">
        <f>IFERROR(__xludf.DUMMYFUNCTION("VALUE(REGEXEXTRACT(A1002, ""\d+""))"),1189.0)</f>
        <v>1189</v>
      </c>
    </row>
    <row r="1003">
      <c r="A1003" s="9" t="s">
        <v>4430</v>
      </c>
      <c r="B1003" s="9" t="s">
        <v>4431</v>
      </c>
      <c r="G1003" s="6" t="s">
        <v>4432</v>
      </c>
      <c r="O1003" s="10">
        <f>IFERROR(__xludf.DUMMYFUNCTION("VALUE(REGEXEXTRACT(A1003, ""\d+""))"),1190.0)</f>
        <v>1190</v>
      </c>
    </row>
    <row r="1004">
      <c r="A1004" s="9" t="s">
        <v>4433</v>
      </c>
      <c r="B1004" s="9" t="s">
        <v>4434</v>
      </c>
      <c r="D1004" s="9" t="s">
        <v>4435</v>
      </c>
      <c r="G1004" s="6" t="s">
        <v>4436</v>
      </c>
      <c r="J1004" s="9" t="s">
        <v>4437</v>
      </c>
      <c r="O1004" s="10">
        <f>IFERROR(__xludf.DUMMYFUNCTION("VALUE(REGEXEXTRACT(A1004, ""\d+""))"),1191.0)</f>
        <v>1191</v>
      </c>
    </row>
    <row r="1005">
      <c r="A1005" s="9" t="s">
        <v>4438</v>
      </c>
      <c r="B1005" s="9" t="s">
        <v>4439</v>
      </c>
      <c r="G1005" s="6" t="s">
        <v>4440</v>
      </c>
      <c r="O1005" s="10">
        <f>IFERROR(__xludf.DUMMYFUNCTION("VALUE(REGEXEXTRACT(A1005, ""\d+""))"),1192.0)</f>
        <v>1192</v>
      </c>
    </row>
    <row r="1006">
      <c r="A1006" s="9" t="s">
        <v>4441</v>
      </c>
      <c r="B1006" s="9" t="s">
        <v>4442</v>
      </c>
      <c r="D1006" s="9" t="s">
        <v>4443</v>
      </c>
      <c r="G1006" s="6" t="s">
        <v>4444</v>
      </c>
      <c r="J1006" s="9" t="s">
        <v>4445</v>
      </c>
      <c r="O1006" s="10">
        <f>IFERROR(__xludf.DUMMYFUNCTION("VALUE(REGEXEXTRACT(A1006, ""\d+""))"),1195.0)</f>
        <v>1195</v>
      </c>
    </row>
    <row r="1007">
      <c r="A1007" s="9" t="s">
        <v>4446</v>
      </c>
      <c r="B1007" s="9" t="s">
        <v>4447</v>
      </c>
      <c r="D1007" s="9" t="s">
        <v>4448</v>
      </c>
      <c r="G1007" s="6" t="s">
        <v>4449</v>
      </c>
      <c r="J1007" s="9" t="s">
        <v>4450</v>
      </c>
      <c r="O1007" s="10">
        <f>IFERROR(__xludf.DUMMYFUNCTION("VALUE(REGEXEXTRACT(A1007, ""\d+""))"),1196.0)</f>
        <v>1196</v>
      </c>
    </row>
    <row r="1008">
      <c r="A1008" s="9" t="s">
        <v>4451</v>
      </c>
      <c r="B1008" s="9" t="s">
        <v>4452</v>
      </c>
      <c r="D1008" s="9" t="s">
        <v>4453</v>
      </c>
      <c r="G1008" s="6" t="s">
        <v>4454</v>
      </c>
      <c r="J1008" s="9" t="s">
        <v>4455</v>
      </c>
      <c r="O1008" s="10">
        <f>IFERROR(__xludf.DUMMYFUNCTION("VALUE(REGEXEXTRACT(A1008, ""\d+""))"),1197.0)</f>
        <v>1197</v>
      </c>
    </row>
    <row r="1009">
      <c r="A1009" s="9" t="s">
        <v>4456</v>
      </c>
      <c r="B1009" s="9" t="s">
        <v>4457</v>
      </c>
      <c r="D1009" s="9" t="s">
        <v>4458</v>
      </c>
      <c r="G1009" s="6" t="s">
        <v>4459</v>
      </c>
      <c r="J1009" s="9" t="s">
        <v>4460</v>
      </c>
      <c r="O1009" s="10">
        <f>IFERROR(__xludf.DUMMYFUNCTION("VALUE(REGEXEXTRACT(A1009, ""\d+""))"),1198.0)</f>
        <v>1198</v>
      </c>
    </row>
    <row r="1010">
      <c r="A1010" s="9" t="s">
        <v>4461</v>
      </c>
      <c r="B1010" s="9" t="s">
        <v>4462</v>
      </c>
      <c r="D1010" s="9" t="s">
        <v>4463</v>
      </c>
      <c r="G1010" s="6" t="s">
        <v>4464</v>
      </c>
      <c r="J1010" s="9" t="s">
        <v>4465</v>
      </c>
      <c r="O1010" s="10">
        <f>IFERROR(__xludf.DUMMYFUNCTION("VALUE(REGEXEXTRACT(A1010, ""\d+""))"),1199.0)</f>
        <v>1199</v>
      </c>
    </row>
    <row r="1011">
      <c r="A1011" s="9" t="s">
        <v>4466</v>
      </c>
      <c r="B1011" s="9" t="s">
        <v>4467</v>
      </c>
      <c r="D1011" s="9" t="s">
        <v>4468</v>
      </c>
      <c r="G1011" s="6" t="s">
        <v>4469</v>
      </c>
      <c r="J1011" s="9" t="s">
        <v>4470</v>
      </c>
      <c r="O1011" s="10">
        <f>IFERROR(__xludf.DUMMYFUNCTION("VALUE(REGEXEXTRACT(A1011, ""\d+""))"),1200.0)</f>
        <v>1200</v>
      </c>
    </row>
    <row r="1012">
      <c r="A1012" s="9" t="s">
        <v>4471</v>
      </c>
      <c r="B1012" s="9" t="s">
        <v>4472</v>
      </c>
      <c r="D1012" s="9" t="s">
        <v>4473</v>
      </c>
      <c r="G1012" s="6" t="s">
        <v>4473</v>
      </c>
      <c r="J1012" s="9" t="s">
        <v>4474</v>
      </c>
      <c r="O1012" s="10">
        <f>IFERROR(__xludf.DUMMYFUNCTION("VALUE(REGEXEXTRACT(A1012, ""\d+""))"),1201.0)</f>
        <v>1201</v>
      </c>
    </row>
    <row r="1013">
      <c r="A1013" s="9" t="s">
        <v>4475</v>
      </c>
      <c r="B1013" s="9" t="s">
        <v>4476</v>
      </c>
      <c r="D1013" s="9" t="s">
        <v>4477</v>
      </c>
      <c r="G1013" s="6" t="s">
        <v>4477</v>
      </c>
      <c r="J1013" s="9" t="s">
        <v>4478</v>
      </c>
      <c r="O1013" s="10">
        <f>IFERROR(__xludf.DUMMYFUNCTION("VALUE(REGEXEXTRACT(A1013, ""\d+""))"),1202.0)</f>
        <v>1202</v>
      </c>
    </row>
    <row r="1014">
      <c r="A1014" s="9" t="s">
        <v>4479</v>
      </c>
      <c r="B1014" s="9" t="s">
        <v>4480</v>
      </c>
      <c r="D1014" s="9" t="s">
        <v>4481</v>
      </c>
      <c r="G1014" s="6" t="s">
        <v>4482</v>
      </c>
      <c r="J1014" s="9" t="s">
        <v>4483</v>
      </c>
      <c r="O1014" s="10">
        <f>IFERROR(__xludf.DUMMYFUNCTION("VALUE(REGEXEXTRACT(A1014, ""\d+""))"),1203.0)</f>
        <v>1203</v>
      </c>
    </row>
    <row r="1015">
      <c r="A1015" s="9" t="s">
        <v>4484</v>
      </c>
      <c r="B1015" s="9" t="s">
        <v>4485</v>
      </c>
      <c r="D1015" s="9" t="s">
        <v>4486</v>
      </c>
      <c r="G1015" s="6" t="s">
        <v>4487</v>
      </c>
      <c r="J1015" s="9" t="s">
        <v>4488</v>
      </c>
      <c r="O1015" s="10">
        <f>IFERROR(__xludf.DUMMYFUNCTION("VALUE(REGEXEXTRACT(A1015, ""\d+""))"),1204.0)</f>
        <v>1204</v>
      </c>
    </row>
    <row r="1016">
      <c r="A1016" s="9" t="s">
        <v>4489</v>
      </c>
      <c r="B1016" s="9" t="s">
        <v>4490</v>
      </c>
      <c r="D1016" s="9" t="s">
        <v>4491</v>
      </c>
      <c r="G1016" s="6" t="s">
        <v>4492</v>
      </c>
      <c r="J1016" s="9" t="s">
        <v>4493</v>
      </c>
      <c r="O1016" s="10">
        <f>IFERROR(__xludf.DUMMYFUNCTION("VALUE(REGEXEXTRACT(A1016, ""\d+""))"),1206.0)</f>
        <v>1206</v>
      </c>
    </row>
    <row r="1017">
      <c r="A1017" s="9" t="s">
        <v>4494</v>
      </c>
      <c r="B1017" s="9" t="s">
        <v>4495</v>
      </c>
      <c r="D1017" s="9" t="s">
        <v>4496</v>
      </c>
      <c r="G1017" s="6" t="s">
        <v>4497</v>
      </c>
      <c r="J1017" s="9" t="s">
        <v>4498</v>
      </c>
      <c r="O1017" s="10">
        <f>IFERROR(__xludf.DUMMYFUNCTION("VALUE(REGEXEXTRACT(A1017, ""\d+""))"),1207.0)</f>
        <v>1207</v>
      </c>
    </row>
    <row r="1018">
      <c r="A1018" s="9" t="s">
        <v>4499</v>
      </c>
      <c r="B1018" s="9" t="s">
        <v>4500</v>
      </c>
      <c r="D1018" s="9" t="s">
        <v>4501</v>
      </c>
      <c r="G1018" s="6" t="s">
        <v>4502</v>
      </c>
      <c r="J1018" s="9" t="s">
        <v>4503</v>
      </c>
      <c r="O1018" s="10">
        <f>IFERROR(__xludf.DUMMYFUNCTION("VALUE(REGEXEXTRACT(A1018, ""\d+""))"),1208.0)</f>
        <v>1208</v>
      </c>
    </row>
    <row r="1019">
      <c r="A1019" s="9" t="s">
        <v>4504</v>
      </c>
      <c r="B1019" s="9" t="s">
        <v>4505</v>
      </c>
      <c r="D1019" s="9" t="s">
        <v>4506</v>
      </c>
      <c r="G1019" s="6" t="s">
        <v>4507</v>
      </c>
      <c r="J1019" s="9" t="s">
        <v>4508</v>
      </c>
      <c r="O1019" s="10">
        <f>IFERROR(__xludf.DUMMYFUNCTION("VALUE(REGEXEXTRACT(A1019, ""\d+""))"),1209.0)</f>
        <v>1209</v>
      </c>
    </row>
    <row r="1020">
      <c r="A1020" s="9" t="s">
        <v>4509</v>
      </c>
      <c r="B1020" s="9" t="s">
        <v>4510</v>
      </c>
      <c r="D1020" s="9" t="s">
        <v>4511</v>
      </c>
      <c r="G1020" s="6" t="s">
        <v>4512</v>
      </c>
      <c r="J1020" s="9" t="s">
        <v>4513</v>
      </c>
      <c r="O1020" s="10">
        <f>IFERROR(__xludf.DUMMYFUNCTION("VALUE(REGEXEXTRACT(A1020, ""\d+""))"),1210.0)</f>
        <v>1210</v>
      </c>
    </row>
    <row r="1021">
      <c r="A1021" s="9" t="s">
        <v>4514</v>
      </c>
      <c r="B1021" s="9" t="s">
        <v>4515</v>
      </c>
      <c r="D1021" s="9" t="s">
        <v>4516</v>
      </c>
      <c r="G1021" s="6" t="s">
        <v>4517</v>
      </c>
      <c r="J1021" s="9" t="s">
        <v>4518</v>
      </c>
      <c r="O1021" s="10">
        <f>IFERROR(__xludf.DUMMYFUNCTION("VALUE(REGEXEXTRACT(A1021, ""\d+""))"),1211.0)</f>
        <v>1211</v>
      </c>
    </row>
    <row r="1022">
      <c r="A1022" s="9" t="s">
        <v>4519</v>
      </c>
      <c r="B1022" s="9" t="s">
        <v>4520</v>
      </c>
      <c r="D1022" s="9" t="s">
        <v>4521</v>
      </c>
      <c r="G1022" s="6" t="s">
        <v>4522</v>
      </c>
      <c r="J1022" s="9" t="s">
        <v>4523</v>
      </c>
      <c r="O1022" s="10">
        <f>IFERROR(__xludf.DUMMYFUNCTION("VALUE(REGEXEXTRACT(A1022, ""\d+""))"),1212.0)</f>
        <v>1212</v>
      </c>
    </row>
    <row r="1023">
      <c r="A1023" s="9" t="s">
        <v>4524</v>
      </c>
      <c r="B1023" s="9" t="s">
        <v>4525</v>
      </c>
      <c r="D1023" s="9" t="s">
        <v>4526</v>
      </c>
      <c r="G1023" s="6" t="s">
        <v>4527</v>
      </c>
      <c r="J1023" s="9" t="s">
        <v>4528</v>
      </c>
      <c r="O1023" s="10">
        <f>IFERROR(__xludf.DUMMYFUNCTION("VALUE(REGEXEXTRACT(A1023, ""\d+""))"),1213.0)</f>
        <v>1213</v>
      </c>
    </row>
    <row r="1024">
      <c r="A1024" s="9" t="s">
        <v>4529</v>
      </c>
      <c r="B1024" s="9" t="s">
        <v>4530</v>
      </c>
      <c r="D1024" s="9" t="s">
        <v>4531</v>
      </c>
      <c r="G1024" s="6" t="s">
        <v>4531</v>
      </c>
      <c r="J1024" s="9" t="s">
        <v>4532</v>
      </c>
      <c r="O1024" s="10">
        <f>IFERROR(__xludf.DUMMYFUNCTION("VALUE(REGEXEXTRACT(A1024, ""\d+""))"),1214.0)</f>
        <v>1214</v>
      </c>
    </row>
    <row r="1025">
      <c r="A1025" s="9" t="s">
        <v>4533</v>
      </c>
      <c r="B1025" s="9" t="s">
        <v>4534</v>
      </c>
      <c r="D1025" s="9" t="s">
        <v>4535</v>
      </c>
      <c r="G1025" s="6" t="s">
        <v>4536</v>
      </c>
      <c r="J1025" s="9" t="s">
        <v>4537</v>
      </c>
      <c r="O1025" s="10">
        <f>IFERROR(__xludf.DUMMYFUNCTION("VALUE(REGEXEXTRACT(A1025, ""\d+""))"),1215.0)</f>
        <v>1215</v>
      </c>
    </row>
    <row r="1026">
      <c r="A1026" s="9" t="s">
        <v>4538</v>
      </c>
      <c r="B1026" s="9" t="s">
        <v>4539</v>
      </c>
      <c r="D1026" s="9" t="s">
        <v>4540</v>
      </c>
      <c r="G1026" s="6" t="s">
        <v>4541</v>
      </c>
      <c r="J1026" s="9" t="s">
        <v>4542</v>
      </c>
      <c r="O1026" s="10">
        <f>IFERROR(__xludf.DUMMYFUNCTION("VALUE(REGEXEXTRACT(A1026, ""\d+""))"),1216.0)</f>
        <v>1216</v>
      </c>
    </row>
    <row r="1027">
      <c r="A1027" s="9" t="s">
        <v>4543</v>
      </c>
      <c r="B1027" s="9" t="s">
        <v>4544</v>
      </c>
      <c r="D1027" s="9" t="s">
        <v>4545</v>
      </c>
      <c r="G1027" s="6" t="s">
        <v>4545</v>
      </c>
      <c r="J1027" s="9" t="s">
        <v>4546</v>
      </c>
      <c r="O1027" s="10">
        <f>IFERROR(__xludf.DUMMYFUNCTION("VALUE(REGEXEXTRACT(A1027, ""\d+""))"),1217.0)</f>
        <v>1217</v>
      </c>
    </row>
    <row r="1028">
      <c r="A1028" s="9" t="s">
        <v>4547</v>
      </c>
      <c r="B1028" s="9" t="s">
        <v>4548</v>
      </c>
      <c r="D1028" s="9" t="s">
        <v>4549</v>
      </c>
      <c r="G1028" s="6" t="s">
        <v>4550</v>
      </c>
      <c r="J1028" s="9" t="s">
        <v>4551</v>
      </c>
      <c r="O1028" s="10">
        <f>IFERROR(__xludf.DUMMYFUNCTION("VALUE(REGEXEXTRACT(A1028, ""\d+""))"),1218.0)</f>
        <v>1218</v>
      </c>
    </row>
    <row r="1029">
      <c r="A1029" s="9" t="s">
        <v>4552</v>
      </c>
      <c r="B1029" s="9" t="s">
        <v>4553</v>
      </c>
      <c r="D1029" s="9" t="s">
        <v>4554</v>
      </c>
      <c r="G1029" s="6" t="s">
        <v>4555</v>
      </c>
      <c r="J1029" s="9" t="s">
        <v>4556</v>
      </c>
      <c r="O1029" s="10">
        <f>IFERROR(__xludf.DUMMYFUNCTION("VALUE(REGEXEXTRACT(A1029, ""\d+""))"),1219.0)</f>
        <v>1219</v>
      </c>
    </row>
    <row r="1030">
      <c r="A1030" s="9" t="s">
        <v>4557</v>
      </c>
      <c r="B1030" s="9" t="s">
        <v>4558</v>
      </c>
      <c r="D1030" s="9" t="s">
        <v>4559</v>
      </c>
      <c r="G1030" s="6" t="s">
        <v>4560</v>
      </c>
      <c r="J1030" s="9" t="s">
        <v>4561</v>
      </c>
      <c r="O1030" s="10">
        <f>IFERROR(__xludf.DUMMYFUNCTION("VALUE(REGEXEXTRACT(A1030, ""\d+""))"),1220.0)</f>
        <v>1220</v>
      </c>
    </row>
    <row r="1031">
      <c r="A1031" s="9" t="s">
        <v>4562</v>
      </c>
      <c r="B1031" s="9" t="s">
        <v>4563</v>
      </c>
      <c r="D1031" s="9" t="s">
        <v>4564</v>
      </c>
      <c r="G1031" s="6" t="s">
        <v>4565</v>
      </c>
      <c r="J1031" s="9" t="s">
        <v>4566</v>
      </c>
      <c r="O1031" s="10">
        <f>IFERROR(__xludf.DUMMYFUNCTION("VALUE(REGEXEXTRACT(A1031, ""\d+""))"),1221.0)</f>
        <v>1221</v>
      </c>
    </row>
    <row r="1032">
      <c r="A1032" s="9" t="s">
        <v>4567</v>
      </c>
      <c r="B1032" s="9" t="s">
        <v>4568</v>
      </c>
      <c r="G1032" s="6" t="s">
        <v>4569</v>
      </c>
      <c r="O1032" s="10">
        <f>IFERROR(__xludf.DUMMYFUNCTION("VALUE(REGEXEXTRACT(A1032, ""\d+""))"),1222.0)</f>
        <v>1222</v>
      </c>
    </row>
    <row r="1033">
      <c r="A1033" s="9" t="s">
        <v>4570</v>
      </c>
      <c r="B1033" s="9" t="s">
        <v>4571</v>
      </c>
      <c r="D1033" s="9" t="s">
        <v>4572</v>
      </c>
      <c r="G1033" s="6" t="s">
        <v>4573</v>
      </c>
      <c r="J1033" s="9" t="s">
        <v>4574</v>
      </c>
      <c r="O1033" s="10">
        <f>IFERROR(__xludf.DUMMYFUNCTION("VALUE(REGEXEXTRACT(A1033, ""\d+""))"),1225.0)</f>
        <v>1225</v>
      </c>
    </row>
    <row r="1034">
      <c r="A1034" s="9" t="s">
        <v>4575</v>
      </c>
      <c r="B1034" s="9" t="s">
        <v>4576</v>
      </c>
      <c r="D1034" s="9" t="s">
        <v>4577</v>
      </c>
      <c r="G1034" s="6" t="s">
        <v>4578</v>
      </c>
      <c r="J1034" s="9" t="s">
        <v>4577</v>
      </c>
      <c r="O1034" s="10">
        <f>IFERROR(__xludf.DUMMYFUNCTION("VALUE(REGEXEXTRACT(A1034, ""\d+""))"),1226.0)</f>
        <v>1226</v>
      </c>
    </row>
    <row r="1035">
      <c r="A1035" s="9" t="s">
        <v>4579</v>
      </c>
      <c r="B1035" s="9" t="s">
        <v>4580</v>
      </c>
      <c r="D1035" s="9" t="s">
        <v>4580</v>
      </c>
      <c r="G1035" s="6" t="s">
        <v>4580</v>
      </c>
      <c r="J1035" s="9" t="s">
        <v>4580</v>
      </c>
      <c r="O1035" s="10">
        <f>IFERROR(__xludf.DUMMYFUNCTION("VALUE(REGEXEXTRACT(A1035, ""\d+""))"),1227.0)</f>
        <v>1227</v>
      </c>
    </row>
    <row r="1036">
      <c r="A1036" s="9" t="s">
        <v>4581</v>
      </c>
      <c r="B1036" s="9" t="s">
        <v>4582</v>
      </c>
      <c r="D1036" s="9" t="s">
        <v>4583</v>
      </c>
      <c r="G1036" s="6" t="s">
        <v>4584</v>
      </c>
      <c r="J1036" s="9" t="s">
        <v>4585</v>
      </c>
      <c r="O1036" s="10">
        <f>IFERROR(__xludf.DUMMYFUNCTION("VALUE(REGEXEXTRACT(A1036, ""\d+""))"),1228.0)</f>
        <v>1228</v>
      </c>
    </row>
    <row r="1037">
      <c r="A1037" s="9" t="s">
        <v>4586</v>
      </c>
      <c r="B1037" s="9" t="s">
        <v>4587</v>
      </c>
      <c r="D1037" s="9" t="s">
        <v>4588</v>
      </c>
      <c r="G1037" s="6" t="s">
        <v>4588</v>
      </c>
      <c r="J1037" s="9" t="s">
        <v>4587</v>
      </c>
      <c r="O1037" s="10">
        <f>IFERROR(__xludf.DUMMYFUNCTION("VALUE(REGEXEXTRACT(A1037, ""\d+""))"),1230.0)</f>
        <v>1230</v>
      </c>
    </row>
    <row r="1038">
      <c r="A1038" s="9" t="s">
        <v>4589</v>
      </c>
      <c r="B1038" s="9" t="s">
        <v>4590</v>
      </c>
      <c r="D1038" s="9" t="s">
        <v>4591</v>
      </c>
      <c r="G1038" s="6" t="s">
        <v>4592</v>
      </c>
      <c r="J1038" s="9" t="s">
        <v>4593</v>
      </c>
      <c r="O1038" s="10">
        <f>IFERROR(__xludf.DUMMYFUNCTION("VALUE(REGEXEXTRACT(A1038, ""\d+""))"),1231.0)</f>
        <v>1231</v>
      </c>
    </row>
    <row r="1039">
      <c r="A1039" s="9" t="s">
        <v>4594</v>
      </c>
      <c r="B1039" s="9" t="s">
        <v>4595</v>
      </c>
      <c r="D1039" s="9" t="s">
        <v>4596</v>
      </c>
      <c r="G1039" s="6" t="s">
        <v>4597</v>
      </c>
      <c r="J1039" s="9" t="s">
        <v>4598</v>
      </c>
      <c r="O1039" s="10">
        <f>IFERROR(__xludf.DUMMYFUNCTION("VALUE(REGEXEXTRACT(A1039, ""\d+""))"),1232.0)</f>
        <v>1232</v>
      </c>
    </row>
    <row r="1040">
      <c r="A1040" s="9" t="s">
        <v>4599</v>
      </c>
      <c r="B1040" s="9" t="s">
        <v>4600</v>
      </c>
      <c r="D1040" s="9" t="s">
        <v>4601</v>
      </c>
      <c r="G1040" s="6" t="s">
        <v>4602</v>
      </c>
      <c r="J1040" s="9" t="s">
        <v>4603</v>
      </c>
      <c r="O1040" s="10">
        <f>IFERROR(__xludf.DUMMYFUNCTION("VALUE(REGEXEXTRACT(A1040, ""\d+""))"),1233.0)</f>
        <v>1233</v>
      </c>
    </row>
    <row r="1041">
      <c r="A1041" s="9" t="s">
        <v>4604</v>
      </c>
      <c r="B1041" s="9" t="s">
        <v>4605</v>
      </c>
      <c r="D1041" s="9" t="s">
        <v>4606</v>
      </c>
      <c r="G1041" s="6" t="s">
        <v>4607</v>
      </c>
      <c r="J1041" s="9" t="s">
        <v>4608</v>
      </c>
      <c r="O1041" s="10">
        <f>IFERROR(__xludf.DUMMYFUNCTION("VALUE(REGEXEXTRACT(A1041, ""\d+""))"),1234.0)</f>
        <v>1234</v>
      </c>
    </row>
    <row r="1042">
      <c r="A1042" s="9" t="s">
        <v>4609</v>
      </c>
      <c r="B1042" s="9" t="s">
        <v>4610</v>
      </c>
      <c r="D1042" s="9" t="s">
        <v>4611</v>
      </c>
      <c r="G1042" s="6" t="s">
        <v>4612</v>
      </c>
      <c r="J1042" s="9" t="s">
        <v>4613</v>
      </c>
      <c r="O1042" s="10">
        <f>IFERROR(__xludf.DUMMYFUNCTION("VALUE(REGEXEXTRACT(A1042, ""\d+""))"),1235.0)</f>
        <v>1235</v>
      </c>
    </row>
    <row r="1043">
      <c r="A1043" s="9" t="s">
        <v>4614</v>
      </c>
      <c r="B1043" s="9" t="s">
        <v>4615</v>
      </c>
      <c r="G1043" s="6" t="s">
        <v>4616</v>
      </c>
      <c r="O1043" s="10">
        <f>IFERROR(__xludf.DUMMYFUNCTION("VALUE(REGEXEXTRACT(A1043, ""\d+""))"),1236.0)</f>
        <v>1236</v>
      </c>
    </row>
    <row r="1044">
      <c r="A1044" s="9" t="s">
        <v>4617</v>
      </c>
      <c r="B1044" s="9" t="s">
        <v>4618</v>
      </c>
      <c r="G1044" s="6" t="s">
        <v>4619</v>
      </c>
      <c r="O1044" s="10">
        <f>IFERROR(__xludf.DUMMYFUNCTION("VALUE(REGEXEXTRACT(A1044, ""\d+""))"),1237.0)</f>
        <v>1237</v>
      </c>
    </row>
    <row r="1045">
      <c r="A1045" s="9" t="s">
        <v>4620</v>
      </c>
      <c r="B1045" s="9" t="s">
        <v>4621</v>
      </c>
      <c r="G1045" s="6" t="s">
        <v>4622</v>
      </c>
      <c r="O1045" s="10">
        <f>IFERROR(__xludf.DUMMYFUNCTION("VALUE(REGEXEXTRACT(A1045, ""\d+""))"),1238.0)</f>
        <v>1238</v>
      </c>
    </row>
    <row r="1046">
      <c r="A1046" s="9" t="s">
        <v>4623</v>
      </c>
      <c r="B1046" s="9" t="s">
        <v>4624</v>
      </c>
      <c r="G1046" s="6" t="s">
        <v>4625</v>
      </c>
      <c r="O1046" s="10">
        <f>IFERROR(__xludf.DUMMYFUNCTION("VALUE(REGEXEXTRACT(A1046, ""\d+""))"),1239.0)</f>
        <v>1239</v>
      </c>
    </row>
    <row r="1047">
      <c r="A1047" s="9" t="s">
        <v>4626</v>
      </c>
      <c r="B1047" s="9" t="s">
        <v>4627</v>
      </c>
      <c r="G1047" s="6" t="s">
        <v>4628</v>
      </c>
      <c r="O1047" s="10">
        <f>IFERROR(__xludf.DUMMYFUNCTION("VALUE(REGEXEXTRACT(A1047, ""\d+""))"),1240.0)</f>
        <v>1240</v>
      </c>
    </row>
    <row r="1048">
      <c r="A1048" s="9" t="s">
        <v>4629</v>
      </c>
      <c r="B1048" s="9" t="s">
        <v>4630</v>
      </c>
      <c r="G1048" s="6" t="s">
        <v>4631</v>
      </c>
      <c r="O1048" s="10">
        <f>IFERROR(__xludf.DUMMYFUNCTION("VALUE(REGEXEXTRACT(A1048, ""\d+""))"),1241.0)</f>
        <v>1241</v>
      </c>
    </row>
    <row r="1049">
      <c r="A1049" s="9" t="s">
        <v>4632</v>
      </c>
      <c r="B1049" s="9" t="s">
        <v>4633</v>
      </c>
      <c r="D1049" s="9" t="s">
        <v>4634</v>
      </c>
      <c r="G1049" s="6" t="s">
        <v>4634</v>
      </c>
      <c r="J1049" s="9" t="s">
        <v>4635</v>
      </c>
      <c r="O1049" s="10">
        <f>IFERROR(__xludf.DUMMYFUNCTION("VALUE(REGEXEXTRACT(A1049, ""\d+""))"),1242.0)</f>
        <v>1242</v>
      </c>
    </row>
    <row r="1050">
      <c r="A1050" s="9" t="s">
        <v>4636</v>
      </c>
      <c r="B1050" s="9" t="s">
        <v>4637</v>
      </c>
      <c r="D1050" s="9" t="s">
        <v>4638</v>
      </c>
      <c r="G1050" s="6" t="s">
        <v>4639</v>
      </c>
      <c r="J1050" s="9" t="s">
        <v>4640</v>
      </c>
      <c r="O1050" s="10">
        <f>IFERROR(__xludf.DUMMYFUNCTION("VALUE(REGEXEXTRACT(A1050, ""\d+""))"),1243.0)</f>
        <v>1243</v>
      </c>
    </row>
    <row r="1051">
      <c r="A1051" s="9" t="s">
        <v>4641</v>
      </c>
      <c r="B1051" s="9" t="s">
        <v>4642</v>
      </c>
      <c r="D1051" s="9" t="s">
        <v>4643</v>
      </c>
      <c r="G1051" s="6" t="s">
        <v>4644</v>
      </c>
      <c r="J1051" s="9" t="s">
        <v>4645</v>
      </c>
      <c r="O1051" s="10">
        <f>IFERROR(__xludf.DUMMYFUNCTION("VALUE(REGEXEXTRACT(A1051, ""\d+""))"),1244.0)</f>
        <v>1244</v>
      </c>
    </row>
    <row r="1052">
      <c r="A1052" s="9" t="s">
        <v>4646</v>
      </c>
      <c r="B1052" s="9" t="s">
        <v>4647</v>
      </c>
      <c r="D1052" s="9" t="s">
        <v>4648</v>
      </c>
      <c r="G1052" s="6" t="s">
        <v>4649</v>
      </c>
      <c r="J1052" s="9" t="s">
        <v>4650</v>
      </c>
      <c r="O1052" s="10">
        <f>IFERROR(__xludf.DUMMYFUNCTION("VALUE(REGEXEXTRACT(A1052, ""\d+""))"),1245.0)</f>
        <v>1245</v>
      </c>
    </row>
    <row r="1053">
      <c r="A1053" s="9" t="s">
        <v>4651</v>
      </c>
      <c r="B1053" s="9" t="s">
        <v>4652</v>
      </c>
      <c r="D1053" s="9" t="s">
        <v>4653</v>
      </c>
      <c r="G1053" s="6" t="s">
        <v>4654</v>
      </c>
      <c r="J1053" s="9" t="s">
        <v>204</v>
      </c>
      <c r="O1053" s="10">
        <f>IFERROR(__xludf.DUMMYFUNCTION("VALUE(REGEXEXTRACT(A1053, ""\d+""))"),1246.0)</f>
        <v>1246</v>
      </c>
    </row>
    <row r="1054">
      <c r="A1054" s="9" t="s">
        <v>4655</v>
      </c>
      <c r="B1054" s="9" t="s">
        <v>4656</v>
      </c>
      <c r="D1054" s="9" t="s">
        <v>4657</v>
      </c>
      <c r="G1054" s="6" t="s">
        <v>4658</v>
      </c>
      <c r="J1054" s="9" t="s">
        <v>4659</v>
      </c>
      <c r="O1054" s="10">
        <f>IFERROR(__xludf.DUMMYFUNCTION("VALUE(REGEXEXTRACT(A1054, ""\d+""))"),1247.0)</f>
        <v>1247</v>
      </c>
    </row>
    <row r="1055">
      <c r="A1055" s="9" t="s">
        <v>4660</v>
      </c>
      <c r="B1055" s="9" t="s">
        <v>4661</v>
      </c>
      <c r="D1055" s="9" t="s">
        <v>4662</v>
      </c>
      <c r="G1055" s="6" t="s">
        <v>4663</v>
      </c>
      <c r="J1055" s="9" t="s">
        <v>4664</v>
      </c>
      <c r="O1055" s="10">
        <f>IFERROR(__xludf.DUMMYFUNCTION("VALUE(REGEXEXTRACT(A1055, ""\d+""))"),1248.0)</f>
        <v>1248</v>
      </c>
    </row>
    <row r="1056">
      <c r="A1056" s="9" t="s">
        <v>4665</v>
      </c>
      <c r="B1056" s="9" t="s">
        <v>4666</v>
      </c>
      <c r="D1056" s="9" t="s">
        <v>4667</v>
      </c>
      <c r="G1056" s="6" t="s">
        <v>4668</v>
      </c>
      <c r="J1056" s="9" t="s">
        <v>218</v>
      </c>
      <c r="O1056" s="10">
        <f>IFERROR(__xludf.DUMMYFUNCTION("VALUE(REGEXEXTRACT(A1056, ""\d+""))"),1249.0)</f>
        <v>1249</v>
      </c>
    </row>
    <row r="1057">
      <c r="A1057" s="9" t="s">
        <v>4669</v>
      </c>
      <c r="B1057" s="9" t="s">
        <v>4670</v>
      </c>
      <c r="G1057" s="6" t="s">
        <v>4671</v>
      </c>
      <c r="O1057" s="10">
        <f>IFERROR(__xludf.DUMMYFUNCTION("VALUE(REGEXEXTRACT(A1057, ""\d+""))"),1250.0)</f>
        <v>1250</v>
      </c>
    </row>
    <row r="1058">
      <c r="A1058" s="9" t="s">
        <v>4672</v>
      </c>
      <c r="B1058" s="9" t="s">
        <v>4673</v>
      </c>
      <c r="D1058" s="9" t="s">
        <v>4674</v>
      </c>
      <c r="G1058" s="6" t="s">
        <v>4675</v>
      </c>
      <c r="J1058" s="9" t="s">
        <v>4676</v>
      </c>
      <c r="O1058" s="10">
        <f>IFERROR(__xludf.DUMMYFUNCTION("VALUE(REGEXEXTRACT(A1058, ""\d+""))"),1251.0)</f>
        <v>1251</v>
      </c>
    </row>
    <row r="1059">
      <c r="A1059" s="9" t="s">
        <v>4677</v>
      </c>
      <c r="B1059" s="9" t="s">
        <v>4678</v>
      </c>
      <c r="D1059" s="9" t="s">
        <v>4679</v>
      </c>
      <c r="G1059" s="6" t="s">
        <v>4679</v>
      </c>
      <c r="J1059" s="9" t="s">
        <v>4680</v>
      </c>
      <c r="O1059" s="10">
        <f>IFERROR(__xludf.DUMMYFUNCTION("VALUE(REGEXEXTRACT(A1059, ""\d+""))"),1252.0)</f>
        <v>1252</v>
      </c>
    </row>
    <row r="1060">
      <c r="A1060" s="9" t="s">
        <v>4681</v>
      </c>
      <c r="B1060" s="9" t="s">
        <v>4682</v>
      </c>
      <c r="G1060" s="9" t="s">
        <v>4683</v>
      </c>
      <c r="O1060" s="10">
        <f>IFERROR(__xludf.DUMMYFUNCTION("VALUE(REGEXEXTRACT(A1060, ""\d+""))"),1253.0)</f>
        <v>1253</v>
      </c>
    </row>
    <row r="1061">
      <c r="A1061" s="9" t="s">
        <v>4684</v>
      </c>
      <c r="B1061" s="9" t="s">
        <v>4685</v>
      </c>
      <c r="G1061" s="6" t="s">
        <v>4686</v>
      </c>
      <c r="O1061" s="10">
        <f>IFERROR(__xludf.DUMMYFUNCTION("VALUE(REGEXEXTRACT(A1061, ""\d+""))"),1254.0)</f>
        <v>1254</v>
      </c>
    </row>
    <row r="1062">
      <c r="A1062" s="9" t="s">
        <v>4687</v>
      </c>
      <c r="B1062" s="9" t="s">
        <v>4688</v>
      </c>
      <c r="D1062" s="9" t="s">
        <v>4689</v>
      </c>
      <c r="G1062" s="6" t="s">
        <v>4690</v>
      </c>
      <c r="J1062" s="9" t="s">
        <v>4691</v>
      </c>
      <c r="O1062" s="10">
        <f>IFERROR(__xludf.DUMMYFUNCTION("VALUE(REGEXEXTRACT(A1062, ""\d+""))"),1255.0)</f>
        <v>1255</v>
      </c>
    </row>
    <row r="1063">
      <c r="A1063" s="9" t="s">
        <v>4692</v>
      </c>
      <c r="B1063" s="9" t="s">
        <v>4693</v>
      </c>
      <c r="D1063" s="9" t="s">
        <v>4694</v>
      </c>
      <c r="G1063" s="6" t="s">
        <v>4695</v>
      </c>
      <c r="J1063" s="9" t="s">
        <v>4696</v>
      </c>
      <c r="O1063" s="10">
        <f>IFERROR(__xludf.DUMMYFUNCTION("VALUE(REGEXEXTRACT(A1063, ""\d+""))"),1256.0)</f>
        <v>1256</v>
      </c>
    </row>
    <row r="1064">
      <c r="A1064" s="9" t="s">
        <v>4697</v>
      </c>
      <c r="B1064" s="9" t="s">
        <v>4698</v>
      </c>
      <c r="D1064" s="9" t="s">
        <v>4699</v>
      </c>
      <c r="G1064" s="6" t="s">
        <v>4700</v>
      </c>
      <c r="J1064" s="9" t="s">
        <v>4701</v>
      </c>
      <c r="O1064" s="10">
        <f>IFERROR(__xludf.DUMMYFUNCTION("VALUE(REGEXEXTRACT(A1064, ""\d+""))"),1260.0)</f>
        <v>1260</v>
      </c>
    </row>
    <row r="1065">
      <c r="A1065" s="9" t="s">
        <v>4702</v>
      </c>
      <c r="B1065" s="9" t="s">
        <v>4703</v>
      </c>
      <c r="D1065" s="9" t="s">
        <v>4704</v>
      </c>
      <c r="G1065" s="6" t="s">
        <v>4705</v>
      </c>
      <c r="J1065" s="9" t="s">
        <v>256</v>
      </c>
      <c r="O1065" s="10">
        <f>IFERROR(__xludf.DUMMYFUNCTION("VALUE(REGEXEXTRACT(A1065, ""\d+""))"),1261.0)</f>
        <v>1261</v>
      </c>
    </row>
    <row r="1066">
      <c r="A1066" s="9" t="s">
        <v>4706</v>
      </c>
      <c r="B1066" s="9" t="s">
        <v>4707</v>
      </c>
      <c r="D1066" s="9" t="s">
        <v>4708</v>
      </c>
      <c r="G1066" s="6" t="s">
        <v>4709</v>
      </c>
      <c r="J1066" s="9" t="s">
        <v>4710</v>
      </c>
      <c r="O1066" s="10">
        <f>IFERROR(__xludf.DUMMYFUNCTION("VALUE(REGEXEXTRACT(A1066, ""\d+""))"),1262.0)</f>
        <v>1262</v>
      </c>
    </row>
    <row r="1067">
      <c r="A1067" s="9" t="s">
        <v>4711</v>
      </c>
      <c r="B1067" s="9" t="s">
        <v>4712</v>
      </c>
      <c r="D1067" s="9" t="s">
        <v>4713</v>
      </c>
      <c r="G1067" s="6" t="s">
        <v>4714</v>
      </c>
      <c r="J1067" s="9" t="s">
        <v>4715</v>
      </c>
      <c r="O1067" s="10">
        <f>IFERROR(__xludf.DUMMYFUNCTION("VALUE(REGEXEXTRACT(A1067, ""\d+""))"),1263.0)</f>
        <v>1263</v>
      </c>
    </row>
    <row r="1068">
      <c r="A1068" s="9" t="s">
        <v>4716</v>
      </c>
      <c r="B1068" s="9" t="s">
        <v>4717</v>
      </c>
      <c r="D1068" s="9" t="s">
        <v>4718</v>
      </c>
      <c r="G1068" s="6" t="s">
        <v>4719</v>
      </c>
      <c r="J1068" s="9" t="s">
        <v>4720</v>
      </c>
      <c r="O1068" s="10">
        <f>IFERROR(__xludf.DUMMYFUNCTION("VALUE(REGEXEXTRACT(A1068, ""\d+""))"),1264.0)</f>
        <v>1264</v>
      </c>
    </row>
    <row r="1069">
      <c r="A1069" s="9" t="s">
        <v>4721</v>
      </c>
      <c r="B1069" s="9" t="s">
        <v>4722</v>
      </c>
      <c r="D1069" s="9" t="s">
        <v>4723</v>
      </c>
      <c r="G1069" s="6" t="s">
        <v>4724</v>
      </c>
      <c r="J1069" s="9" t="s">
        <v>4725</v>
      </c>
      <c r="O1069" s="10">
        <f>IFERROR(__xludf.DUMMYFUNCTION("VALUE(REGEXEXTRACT(A1069, ""\d+""))"),1265.0)</f>
        <v>1265</v>
      </c>
    </row>
    <row r="1070">
      <c r="A1070" s="9" t="s">
        <v>4726</v>
      </c>
      <c r="B1070" s="9" t="s">
        <v>4727</v>
      </c>
      <c r="D1070" s="9" t="s">
        <v>4727</v>
      </c>
      <c r="G1070" s="6" t="s">
        <v>4727</v>
      </c>
      <c r="J1070" s="9" t="s">
        <v>4727</v>
      </c>
      <c r="O1070" s="10">
        <f>IFERROR(__xludf.DUMMYFUNCTION("VALUE(REGEXEXTRACT(A1070, ""\d+""))"),1266.0)</f>
        <v>1266</v>
      </c>
    </row>
    <row r="1071">
      <c r="A1071" s="9" t="s">
        <v>4728</v>
      </c>
      <c r="B1071" s="9" t="s">
        <v>4729</v>
      </c>
      <c r="D1071" s="9" t="s">
        <v>4730</v>
      </c>
      <c r="G1071" s="6" t="s">
        <v>4731</v>
      </c>
      <c r="J1071" s="9" t="s">
        <v>4732</v>
      </c>
      <c r="O1071" s="10">
        <f>IFERROR(__xludf.DUMMYFUNCTION("VALUE(REGEXEXTRACT(A1071, ""\d+""))"),1267.0)</f>
        <v>1267</v>
      </c>
    </row>
    <row r="1072">
      <c r="A1072" s="9" t="s">
        <v>4733</v>
      </c>
      <c r="B1072" s="9" t="s">
        <v>4734</v>
      </c>
      <c r="D1072" s="9" t="s">
        <v>4735</v>
      </c>
      <c r="G1072" s="6" t="s">
        <v>4736</v>
      </c>
      <c r="J1072" s="9" t="s">
        <v>4737</v>
      </c>
      <c r="O1072" s="10">
        <f>IFERROR(__xludf.DUMMYFUNCTION("VALUE(REGEXEXTRACT(A1072, ""\d+""))"),1268.0)</f>
        <v>1268</v>
      </c>
    </row>
    <row r="1073">
      <c r="A1073" s="9" t="s">
        <v>4738</v>
      </c>
      <c r="B1073" s="9" t="s">
        <v>4739</v>
      </c>
      <c r="D1073" s="9" t="s">
        <v>4740</v>
      </c>
      <c r="G1073" s="6" t="s">
        <v>4741</v>
      </c>
      <c r="J1073" s="9" t="s">
        <v>4742</v>
      </c>
      <c r="O1073" s="10">
        <f>IFERROR(__xludf.DUMMYFUNCTION("VALUE(REGEXEXTRACT(A1073, ""\d+""))"),1269.0)</f>
        <v>1269</v>
      </c>
    </row>
    <row r="1074">
      <c r="A1074" s="9" t="s">
        <v>4743</v>
      </c>
      <c r="B1074" s="9" t="s">
        <v>4744</v>
      </c>
      <c r="D1074" s="9" t="s">
        <v>4745</v>
      </c>
      <c r="G1074" s="6" t="s">
        <v>4746</v>
      </c>
      <c r="J1074" s="9" t="s">
        <v>4747</v>
      </c>
      <c r="O1074" s="10">
        <f>IFERROR(__xludf.DUMMYFUNCTION("VALUE(REGEXEXTRACT(A1074, ""\d+""))"),1270.0)</f>
        <v>1270</v>
      </c>
    </row>
    <row r="1075">
      <c r="A1075" s="9" t="s">
        <v>4748</v>
      </c>
      <c r="B1075" s="9" t="s">
        <v>4749</v>
      </c>
      <c r="D1075" s="9" t="s">
        <v>315</v>
      </c>
      <c r="G1075" s="6" t="s">
        <v>4750</v>
      </c>
      <c r="J1075" s="9" t="s">
        <v>317</v>
      </c>
      <c r="O1075" s="10">
        <f>IFERROR(__xludf.DUMMYFUNCTION("VALUE(REGEXEXTRACT(A1075, ""\d+""))"),1271.0)</f>
        <v>1271</v>
      </c>
    </row>
    <row r="1076">
      <c r="A1076" s="9" t="s">
        <v>4751</v>
      </c>
      <c r="B1076" s="9" t="s">
        <v>4752</v>
      </c>
      <c r="D1076" s="9" t="s">
        <v>320</v>
      </c>
      <c r="G1076" s="6" t="s">
        <v>4753</v>
      </c>
      <c r="J1076" s="9" t="s">
        <v>322</v>
      </c>
      <c r="O1076" s="10">
        <f>IFERROR(__xludf.DUMMYFUNCTION("VALUE(REGEXEXTRACT(A1076, ""\d+""))"),1272.0)</f>
        <v>1272</v>
      </c>
    </row>
    <row r="1077">
      <c r="A1077" s="9" t="s">
        <v>4754</v>
      </c>
      <c r="B1077" s="9" t="s">
        <v>4755</v>
      </c>
      <c r="D1077" s="9" t="s">
        <v>325</v>
      </c>
      <c r="G1077" s="6" t="s">
        <v>1850</v>
      </c>
      <c r="J1077" s="9" t="s">
        <v>327</v>
      </c>
      <c r="O1077" s="10">
        <f>IFERROR(__xludf.DUMMYFUNCTION("VALUE(REGEXEXTRACT(A1077, ""\d+""))"),1273.0)</f>
        <v>1273</v>
      </c>
    </row>
    <row r="1078">
      <c r="A1078" s="9" t="s">
        <v>4756</v>
      </c>
      <c r="B1078" s="9" t="s">
        <v>4757</v>
      </c>
      <c r="D1078" s="9" t="s">
        <v>330</v>
      </c>
      <c r="G1078" s="6" t="s">
        <v>4758</v>
      </c>
      <c r="J1078" s="9" t="s">
        <v>332</v>
      </c>
      <c r="O1078" s="10">
        <f>IFERROR(__xludf.DUMMYFUNCTION("VALUE(REGEXEXTRACT(A1078, ""\d+""))"),1274.0)</f>
        <v>1274</v>
      </c>
    </row>
    <row r="1079">
      <c r="A1079" s="9" t="s">
        <v>4759</v>
      </c>
      <c r="B1079" s="9" t="s">
        <v>4760</v>
      </c>
      <c r="D1079" s="9" t="s">
        <v>335</v>
      </c>
      <c r="G1079" s="6" t="s">
        <v>4761</v>
      </c>
      <c r="J1079" s="9" t="s">
        <v>337</v>
      </c>
      <c r="O1079" s="10">
        <f>IFERROR(__xludf.DUMMYFUNCTION("VALUE(REGEXEXTRACT(A1079, ""\d+""))"),1275.0)</f>
        <v>1275</v>
      </c>
    </row>
    <row r="1080">
      <c r="A1080" s="9" t="s">
        <v>4762</v>
      </c>
      <c r="B1080" s="9" t="s">
        <v>4763</v>
      </c>
      <c r="D1080" s="9" t="s">
        <v>340</v>
      </c>
      <c r="G1080" s="6" t="s">
        <v>4764</v>
      </c>
      <c r="J1080" s="9" t="s">
        <v>342</v>
      </c>
      <c r="O1080" s="10">
        <f>IFERROR(__xludf.DUMMYFUNCTION("VALUE(REGEXEXTRACT(A1080, ""\d+""))"),1277.0)</f>
        <v>1277</v>
      </c>
    </row>
    <row r="1081">
      <c r="A1081" s="9" t="s">
        <v>4765</v>
      </c>
      <c r="B1081" s="9" t="s">
        <v>4766</v>
      </c>
      <c r="D1081" s="9" t="s">
        <v>344</v>
      </c>
      <c r="G1081" s="6" t="s">
        <v>4767</v>
      </c>
      <c r="J1081" s="9" t="s">
        <v>345</v>
      </c>
      <c r="O1081" s="10">
        <f>IFERROR(__xludf.DUMMYFUNCTION("VALUE(REGEXEXTRACT(A1081, ""\d+""))"),1278.0)</f>
        <v>1278</v>
      </c>
    </row>
    <row r="1082">
      <c r="A1082" s="9" t="s">
        <v>4768</v>
      </c>
      <c r="B1082" s="9" t="s">
        <v>4769</v>
      </c>
      <c r="G1082" s="9" t="s">
        <v>4770</v>
      </c>
      <c r="O1082" s="10">
        <f>IFERROR(__xludf.DUMMYFUNCTION("VALUE(REGEXEXTRACT(A1082, ""\d+""))"),1279.0)</f>
        <v>1279</v>
      </c>
    </row>
    <row r="1083">
      <c r="A1083" s="9" t="s">
        <v>4771</v>
      </c>
      <c r="B1083" s="9" t="s">
        <v>4772</v>
      </c>
      <c r="D1083" s="9" t="s">
        <v>4773</v>
      </c>
      <c r="G1083" s="6" t="s">
        <v>4774</v>
      </c>
      <c r="J1083" s="9" t="s">
        <v>4772</v>
      </c>
      <c r="O1083" s="10">
        <f>IFERROR(__xludf.DUMMYFUNCTION("VALUE(REGEXEXTRACT(A1083, ""\d+""))"),1280.0)</f>
        <v>1280</v>
      </c>
    </row>
    <row r="1084">
      <c r="A1084" s="9" t="s">
        <v>4775</v>
      </c>
      <c r="B1084" s="9" t="s">
        <v>4776</v>
      </c>
      <c r="D1084" s="9" t="s">
        <v>4777</v>
      </c>
      <c r="G1084" s="6" t="s">
        <v>4777</v>
      </c>
      <c r="J1084" s="9" t="s">
        <v>353</v>
      </c>
      <c r="O1084" s="10">
        <f>IFERROR(__xludf.DUMMYFUNCTION("VALUE(REGEXEXTRACT(A1084, ""\d+""))"),1281.0)</f>
        <v>1281</v>
      </c>
    </row>
    <row r="1085">
      <c r="A1085" s="9" t="s">
        <v>4778</v>
      </c>
      <c r="B1085" s="9" t="s">
        <v>4779</v>
      </c>
      <c r="D1085" s="9" t="s">
        <v>4780</v>
      </c>
      <c r="G1085" s="6" t="s">
        <v>4781</v>
      </c>
      <c r="J1085" s="9" t="s">
        <v>358</v>
      </c>
      <c r="O1085" s="10">
        <f>IFERROR(__xludf.DUMMYFUNCTION("VALUE(REGEXEXTRACT(A1085, ""\d+""))"),1283.0)</f>
        <v>1283</v>
      </c>
    </row>
    <row r="1086">
      <c r="A1086" s="9" t="s">
        <v>4782</v>
      </c>
      <c r="B1086" s="9" t="s">
        <v>4783</v>
      </c>
      <c r="D1086" s="9" t="s">
        <v>4784</v>
      </c>
      <c r="G1086" s="6" t="s">
        <v>4784</v>
      </c>
      <c r="J1086" s="9" t="s">
        <v>363</v>
      </c>
      <c r="O1086" s="10">
        <f>IFERROR(__xludf.DUMMYFUNCTION("VALUE(REGEXEXTRACT(A1086, ""\d+""))"),1284.0)</f>
        <v>1284</v>
      </c>
    </row>
    <row r="1087">
      <c r="A1087" s="9" t="s">
        <v>4785</v>
      </c>
      <c r="B1087" s="9" t="s">
        <v>4786</v>
      </c>
      <c r="G1087" s="6" t="s">
        <v>4787</v>
      </c>
      <c r="O1087" s="10">
        <f>IFERROR(__xludf.DUMMYFUNCTION("VALUE(REGEXEXTRACT(A1087, ""\d+""))"),1285.0)</f>
        <v>1285</v>
      </c>
    </row>
    <row r="1088">
      <c r="A1088" s="9" t="s">
        <v>4788</v>
      </c>
      <c r="B1088" s="9" t="s">
        <v>4789</v>
      </c>
      <c r="D1088" s="9" t="s">
        <v>4790</v>
      </c>
      <c r="G1088" s="6" t="s">
        <v>4791</v>
      </c>
      <c r="J1088" s="9" t="s">
        <v>4792</v>
      </c>
      <c r="O1088" s="10">
        <f>IFERROR(__xludf.DUMMYFUNCTION("VALUE(REGEXEXTRACT(A1088, ""\d+""))"),1286.0)</f>
        <v>1286</v>
      </c>
    </row>
    <row r="1089">
      <c r="A1089" s="9" t="s">
        <v>4793</v>
      </c>
      <c r="B1089" s="9" t="s">
        <v>4794</v>
      </c>
      <c r="D1089" s="9" t="s">
        <v>4795</v>
      </c>
      <c r="G1089" s="6" t="s">
        <v>4796</v>
      </c>
      <c r="J1089" s="9" t="s">
        <v>4797</v>
      </c>
      <c r="O1089" s="10">
        <f>IFERROR(__xludf.DUMMYFUNCTION("VALUE(REGEXEXTRACT(A1089, ""\d+""))"),1287.0)</f>
        <v>1287</v>
      </c>
    </row>
    <row r="1090">
      <c r="A1090" s="9" t="s">
        <v>4798</v>
      </c>
      <c r="B1090" s="9" t="s">
        <v>4799</v>
      </c>
      <c r="D1090" s="9" t="s">
        <v>4800</v>
      </c>
      <c r="G1090" s="6" t="s">
        <v>4801</v>
      </c>
      <c r="J1090" s="9" t="s">
        <v>4802</v>
      </c>
      <c r="O1090" s="10">
        <f>IFERROR(__xludf.DUMMYFUNCTION("VALUE(REGEXEXTRACT(A1090, ""\d+""))"),1288.0)</f>
        <v>1288</v>
      </c>
    </row>
    <row r="1091">
      <c r="A1091" s="9" t="s">
        <v>4803</v>
      </c>
      <c r="B1091" s="9" t="s">
        <v>4804</v>
      </c>
      <c r="D1091" s="9" t="s">
        <v>4805</v>
      </c>
      <c r="G1091" s="6" t="s">
        <v>4806</v>
      </c>
      <c r="J1091" s="9" t="s">
        <v>4807</v>
      </c>
      <c r="O1091" s="10">
        <f>IFERROR(__xludf.DUMMYFUNCTION("VALUE(REGEXEXTRACT(A1091, ""\d+""))"),1289.0)</f>
        <v>1289</v>
      </c>
    </row>
    <row r="1092">
      <c r="A1092" s="9" t="s">
        <v>4808</v>
      </c>
      <c r="B1092" s="9" t="s">
        <v>4809</v>
      </c>
      <c r="D1092" s="9" t="s">
        <v>4810</v>
      </c>
      <c r="G1092" s="6" t="s">
        <v>4811</v>
      </c>
      <c r="J1092" s="9" t="s">
        <v>4812</v>
      </c>
      <c r="O1092" s="10">
        <f>IFERROR(__xludf.DUMMYFUNCTION("VALUE(REGEXEXTRACT(A1092, ""\d+""))"),1290.0)</f>
        <v>1290</v>
      </c>
    </row>
    <row r="1093">
      <c r="A1093" s="9" t="s">
        <v>4813</v>
      </c>
      <c r="B1093" s="9" t="s">
        <v>4814</v>
      </c>
      <c r="D1093" s="9" t="s">
        <v>4815</v>
      </c>
      <c r="G1093" s="6" t="s">
        <v>4816</v>
      </c>
      <c r="J1093" s="9" t="s">
        <v>4817</v>
      </c>
      <c r="O1093" s="10">
        <f>IFERROR(__xludf.DUMMYFUNCTION("VALUE(REGEXEXTRACT(A1093, ""\d+""))"),1291.0)</f>
        <v>1291</v>
      </c>
    </row>
    <row r="1094">
      <c r="A1094" s="9" t="s">
        <v>4818</v>
      </c>
      <c r="B1094" s="9" t="s">
        <v>4819</v>
      </c>
      <c r="D1094" s="9" t="s">
        <v>4820</v>
      </c>
      <c r="G1094" s="6" t="s">
        <v>4820</v>
      </c>
      <c r="J1094" s="9" t="s">
        <v>4821</v>
      </c>
      <c r="O1094" s="10">
        <f>IFERROR(__xludf.DUMMYFUNCTION("VALUE(REGEXEXTRACT(A1094, ""\d+""))"),1292.0)</f>
        <v>1292</v>
      </c>
    </row>
    <row r="1095">
      <c r="A1095" s="9" t="s">
        <v>4822</v>
      </c>
      <c r="B1095" s="9" t="s">
        <v>4823</v>
      </c>
      <c r="D1095" s="9" t="s">
        <v>4824</v>
      </c>
      <c r="G1095" s="6" t="s">
        <v>4824</v>
      </c>
      <c r="J1095" s="9" t="s">
        <v>4825</v>
      </c>
      <c r="O1095" s="10">
        <f>IFERROR(__xludf.DUMMYFUNCTION("VALUE(REGEXEXTRACT(A1095, ""\d+""))"),1293.0)</f>
        <v>1293</v>
      </c>
    </row>
    <row r="1096">
      <c r="A1096" s="9" t="s">
        <v>4826</v>
      </c>
      <c r="B1096" s="9" t="s">
        <v>4827</v>
      </c>
      <c r="D1096" s="9" t="s">
        <v>4828</v>
      </c>
      <c r="G1096" s="6" t="s">
        <v>4829</v>
      </c>
      <c r="J1096" s="9" t="s">
        <v>4830</v>
      </c>
      <c r="O1096" s="10">
        <f>IFERROR(__xludf.DUMMYFUNCTION("VALUE(REGEXEXTRACT(A1096, ""\d+""))"),1294.0)</f>
        <v>1294</v>
      </c>
    </row>
    <row r="1097">
      <c r="A1097" s="9" t="s">
        <v>4831</v>
      </c>
      <c r="B1097" s="9" t="s">
        <v>4832</v>
      </c>
      <c r="D1097" s="9" t="s">
        <v>4833</v>
      </c>
      <c r="G1097" s="6" t="s">
        <v>4834</v>
      </c>
      <c r="J1097" s="9" t="s">
        <v>4835</v>
      </c>
      <c r="O1097" s="10">
        <f>IFERROR(__xludf.DUMMYFUNCTION("VALUE(REGEXEXTRACT(A1097, ""\d+""))"),1295.0)</f>
        <v>1295</v>
      </c>
    </row>
    <row r="1098">
      <c r="A1098" s="9" t="s">
        <v>4836</v>
      </c>
      <c r="B1098" s="9" t="s">
        <v>4837</v>
      </c>
      <c r="G1098" s="6" t="s">
        <v>4838</v>
      </c>
      <c r="O1098" s="10">
        <f>IFERROR(__xludf.DUMMYFUNCTION("VALUE(REGEXEXTRACT(A1098, ""\d+""))"),1296.0)</f>
        <v>1296</v>
      </c>
    </row>
    <row r="1099">
      <c r="A1099" s="9" t="s">
        <v>4839</v>
      </c>
      <c r="B1099" s="9" t="s">
        <v>4840</v>
      </c>
      <c r="G1099" s="6" t="s">
        <v>4841</v>
      </c>
      <c r="O1099" s="10">
        <f>IFERROR(__xludf.DUMMYFUNCTION("VALUE(REGEXEXTRACT(A1099, ""\d+""))"),1297.0)</f>
        <v>1297</v>
      </c>
    </row>
    <row r="1100">
      <c r="A1100" s="9" t="s">
        <v>4842</v>
      </c>
      <c r="B1100" s="9" t="s">
        <v>4843</v>
      </c>
      <c r="G1100" s="6" t="s">
        <v>4844</v>
      </c>
      <c r="O1100" s="10">
        <f>IFERROR(__xludf.DUMMYFUNCTION("VALUE(REGEXEXTRACT(A1100, ""\d+""))"),1298.0)</f>
        <v>1298</v>
      </c>
    </row>
    <row r="1101">
      <c r="A1101" s="9" t="s">
        <v>4845</v>
      </c>
      <c r="B1101" s="9" t="s">
        <v>4846</v>
      </c>
      <c r="D1101" s="9" t="s">
        <v>4847</v>
      </c>
      <c r="G1101" s="6" t="s">
        <v>4848</v>
      </c>
      <c r="J1101" s="9" t="s">
        <v>4849</v>
      </c>
      <c r="O1101" s="10">
        <f>IFERROR(__xludf.DUMMYFUNCTION("VALUE(REGEXEXTRACT(A1101, ""\d+""))"),1299.0)</f>
        <v>1299</v>
      </c>
    </row>
    <row r="1102">
      <c r="A1102" s="9" t="s">
        <v>4850</v>
      </c>
      <c r="B1102" s="9" t="s">
        <v>4851</v>
      </c>
      <c r="D1102" s="9" t="s">
        <v>4852</v>
      </c>
      <c r="G1102" s="6" t="s">
        <v>4853</v>
      </c>
      <c r="J1102" s="9" t="s">
        <v>4854</v>
      </c>
      <c r="O1102" s="10">
        <f>IFERROR(__xludf.DUMMYFUNCTION("VALUE(REGEXEXTRACT(A1102, ""\d+""))"),1300.0)</f>
        <v>1300</v>
      </c>
    </row>
    <row r="1103">
      <c r="A1103" s="9" t="s">
        <v>4855</v>
      </c>
      <c r="B1103" s="9" t="s">
        <v>4856</v>
      </c>
      <c r="D1103" s="9" t="s">
        <v>4857</v>
      </c>
      <c r="G1103" s="6" t="s">
        <v>4858</v>
      </c>
      <c r="J1103" s="9" t="s">
        <v>442</v>
      </c>
      <c r="O1103" s="10">
        <f>IFERROR(__xludf.DUMMYFUNCTION("VALUE(REGEXEXTRACT(A1103, ""\d+""))"),1301.0)</f>
        <v>1301</v>
      </c>
    </row>
    <row r="1104">
      <c r="A1104" s="9" t="s">
        <v>4859</v>
      </c>
      <c r="B1104" s="9" t="s">
        <v>4860</v>
      </c>
      <c r="D1104" s="9" t="s">
        <v>4861</v>
      </c>
      <c r="G1104" s="6" t="s">
        <v>4862</v>
      </c>
      <c r="J1104" s="9" t="s">
        <v>446</v>
      </c>
      <c r="O1104" s="10">
        <f>IFERROR(__xludf.DUMMYFUNCTION("VALUE(REGEXEXTRACT(A1104, ""\d+""))"),1302.0)</f>
        <v>1302</v>
      </c>
    </row>
    <row r="1105">
      <c r="A1105" s="9" t="s">
        <v>4863</v>
      </c>
      <c r="B1105" s="9" t="s">
        <v>4864</v>
      </c>
      <c r="D1105" s="9" t="s">
        <v>4865</v>
      </c>
      <c r="G1105" s="6" t="s">
        <v>4866</v>
      </c>
      <c r="J1105" s="9" t="s">
        <v>450</v>
      </c>
      <c r="O1105" s="10">
        <f>IFERROR(__xludf.DUMMYFUNCTION("VALUE(REGEXEXTRACT(A1105, ""\d+""))"),1303.0)</f>
        <v>1303</v>
      </c>
    </row>
    <row r="1106">
      <c r="A1106" s="9" t="s">
        <v>4867</v>
      </c>
      <c r="B1106" s="9" t="s">
        <v>4868</v>
      </c>
      <c r="D1106" s="9" t="s">
        <v>4869</v>
      </c>
      <c r="G1106" s="6" t="s">
        <v>4870</v>
      </c>
      <c r="J1106" s="9" t="s">
        <v>4871</v>
      </c>
      <c r="O1106" s="10">
        <f>IFERROR(__xludf.DUMMYFUNCTION("VALUE(REGEXEXTRACT(A1106, ""\d+""))"),1304.0)</f>
        <v>1304</v>
      </c>
    </row>
    <row r="1107">
      <c r="A1107" s="9" t="s">
        <v>4872</v>
      </c>
      <c r="B1107" s="9" t="s">
        <v>4873</v>
      </c>
      <c r="G1107" s="6" t="s">
        <v>4874</v>
      </c>
      <c r="O1107" s="10">
        <f>IFERROR(__xludf.DUMMYFUNCTION("VALUE(REGEXEXTRACT(A1107, ""\d+""))"),1305.0)</f>
        <v>1305</v>
      </c>
    </row>
    <row r="1108">
      <c r="A1108" s="9" t="s">
        <v>4875</v>
      </c>
      <c r="B1108" s="9" t="s">
        <v>4876</v>
      </c>
      <c r="G1108" s="6" t="s">
        <v>4877</v>
      </c>
      <c r="O1108" s="10">
        <f>IFERROR(__xludf.DUMMYFUNCTION("VALUE(REGEXEXTRACT(A1108, ""\d+""))"),1307.0)</f>
        <v>1307</v>
      </c>
    </row>
    <row r="1109">
      <c r="A1109" s="9" t="s">
        <v>4878</v>
      </c>
      <c r="B1109" s="9" t="s">
        <v>4879</v>
      </c>
      <c r="G1109" s="6" t="s">
        <v>4880</v>
      </c>
      <c r="O1109" s="10">
        <f>IFERROR(__xludf.DUMMYFUNCTION("VALUE(REGEXEXTRACT(A1109, ""\d+""))"),1308.0)</f>
        <v>1308</v>
      </c>
    </row>
    <row r="1110">
      <c r="A1110" s="13" t="s">
        <v>4881</v>
      </c>
      <c r="B1110" s="13" t="s">
        <v>4882</v>
      </c>
      <c r="C1110" s="14"/>
      <c r="D1110" s="13" t="s">
        <v>4883</v>
      </c>
      <c r="E1110" s="14"/>
      <c r="F1110" s="14"/>
      <c r="G1110" s="15" t="s">
        <v>4883</v>
      </c>
      <c r="H1110" s="14"/>
      <c r="I1110" s="14"/>
      <c r="J1110" s="13" t="s">
        <v>4884</v>
      </c>
      <c r="K1110" s="14"/>
      <c r="L1110" s="14"/>
      <c r="M1110" s="14"/>
      <c r="N1110" s="14"/>
      <c r="O1110" s="14">
        <f>IFERROR(__xludf.DUMMYFUNCTION("VALUE(REGEXEXTRACT(A1110, ""\d+""))"),1309.0)</f>
        <v>1309</v>
      </c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>
      <c r="A1111" s="9" t="s">
        <v>4885</v>
      </c>
      <c r="B1111" s="9" t="s">
        <v>4886</v>
      </c>
      <c r="D1111" s="9" t="s">
        <v>4887</v>
      </c>
      <c r="G1111" s="6" t="s">
        <v>4888</v>
      </c>
      <c r="J1111" s="9" t="s">
        <v>4886</v>
      </c>
      <c r="O1111" s="10">
        <f>IFERROR(__xludf.DUMMYFUNCTION("VALUE(REGEXEXTRACT(A1111, ""\d+""))"),1310.0)</f>
        <v>1310</v>
      </c>
    </row>
    <row r="1112">
      <c r="A1112" s="9" t="s">
        <v>4889</v>
      </c>
      <c r="B1112" s="9" t="s">
        <v>4890</v>
      </c>
      <c r="D1112" s="9" t="s">
        <v>4891</v>
      </c>
      <c r="G1112" s="6" t="s">
        <v>4892</v>
      </c>
      <c r="J1112" s="9" t="s">
        <v>4893</v>
      </c>
      <c r="O1112" s="10">
        <f>IFERROR(__xludf.DUMMYFUNCTION("VALUE(REGEXEXTRACT(A1112, ""\d+""))"),1311.0)</f>
        <v>1311</v>
      </c>
    </row>
    <row r="1113">
      <c r="A1113" s="9" t="s">
        <v>4894</v>
      </c>
      <c r="B1113" s="9" t="s">
        <v>4895</v>
      </c>
      <c r="D1113" s="9" t="s">
        <v>4896</v>
      </c>
      <c r="G1113" s="6" t="s">
        <v>4897</v>
      </c>
      <c r="J1113" s="9" t="s">
        <v>4898</v>
      </c>
      <c r="O1113" s="10">
        <f>IFERROR(__xludf.DUMMYFUNCTION("VALUE(REGEXEXTRACT(A1113, ""\d+""))"),1312.0)</f>
        <v>1312</v>
      </c>
    </row>
    <row r="1114">
      <c r="A1114" s="9" t="s">
        <v>4899</v>
      </c>
      <c r="B1114" s="9" t="s">
        <v>4900</v>
      </c>
      <c r="D1114" s="9" t="s">
        <v>4901</v>
      </c>
      <c r="G1114" s="6" t="s">
        <v>4902</v>
      </c>
      <c r="J1114" s="9" t="s">
        <v>4903</v>
      </c>
      <c r="O1114" s="10">
        <f>IFERROR(__xludf.DUMMYFUNCTION("VALUE(REGEXEXTRACT(A1114, ""\d+""))"),1313.0)</f>
        <v>1313</v>
      </c>
    </row>
    <row r="1115">
      <c r="A1115" s="9" t="s">
        <v>4904</v>
      </c>
      <c r="B1115" s="9" t="s">
        <v>4905</v>
      </c>
      <c r="D1115" s="9" t="s">
        <v>4906</v>
      </c>
      <c r="G1115" s="6" t="s">
        <v>4907</v>
      </c>
      <c r="J1115" s="9" t="s">
        <v>4908</v>
      </c>
      <c r="O1115" s="10">
        <f>IFERROR(__xludf.DUMMYFUNCTION("VALUE(REGEXEXTRACT(A1115, ""\d+""))"),1314.0)</f>
        <v>1314</v>
      </c>
    </row>
    <row r="1116">
      <c r="A1116" s="9" t="s">
        <v>4909</v>
      </c>
      <c r="B1116" s="9" t="s">
        <v>4910</v>
      </c>
      <c r="D1116" s="9" t="s">
        <v>498</v>
      </c>
      <c r="G1116" s="6" t="s">
        <v>4911</v>
      </c>
      <c r="J1116" s="9" t="s">
        <v>500</v>
      </c>
      <c r="O1116" s="10">
        <f>IFERROR(__xludf.DUMMYFUNCTION("VALUE(REGEXEXTRACT(A1116, ""\d+""))"),1315.0)</f>
        <v>1315</v>
      </c>
    </row>
    <row r="1117">
      <c r="A1117" s="9" t="s">
        <v>4912</v>
      </c>
      <c r="B1117" s="9" t="s">
        <v>4913</v>
      </c>
      <c r="D1117" s="9" t="s">
        <v>4914</v>
      </c>
      <c r="G1117" s="6" t="s">
        <v>4914</v>
      </c>
      <c r="J1117" s="9" t="s">
        <v>4915</v>
      </c>
      <c r="O1117" s="10">
        <f>IFERROR(__xludf.DUMMYFUNCTION("VALUE(REGEXEXTRACT(A1117, ""\d+""))"),1316.0)</f>
        <v>1316</v>
      </c>
    </row>
    <row r="1118">
      <c r="A1118" s="9" t="s">
        <v>4916</v>
      </c>
      <c r="B1118" s="9" t="s">
        <v>4917</v>
      </c>
      <c r="D1118" s="9" t="s">
        <v>4918</v>
      </c>
      <c r="G1118" s="6" t="s">
        <v>4918</v>
      </c>
      <c r="J1118" s="9" t="s">
        <v>4919</v>
      </c>
      <c r="O1118" s="10">
        <f>IFERROR(__xludf.DUMMYFUNCTION("VALUE(REGEXEXTRACT(A1118, ""\d+""))"),1317.0)</f>
        <v>1317</v>
      </c>
    </row>
    <row r="1119">
      <c r="A1119" s="9" t="s">
        <v>4920</v>
      </c>
      <c r="B1119" s="9" t="s">
        <v>4921</v>
      </c>
      <c r="D1119" s="9" t="s">
        <v>4922</v>
      </c>
      <c r="G1119" s="6" t="s">
        <v>4923</v>
      </c>
      <c r="J1119" s="9" t="s">
        <v>4924</v>
      </c>
      <c r="O1119" s="10">
        <f>IFERROR(__xludf.DUMMYFUNCTION("VALUE(REGEXEXTRACT(A1119, ""\d+""))"),1318.0)</f>
        <v>1318</v>
      </c>
    </row>
    <row r="1120">
      <c r="A1120" s="9" t="s">
        <v>4925</v>
      </c>
      <c r="B1120" s="9" t="s">
        <v>4926</v>
      </c>
      <c r="D1120" s="9" t="s">
        <v>4927</v>
      </c>
      <c r="G1120" s="6" t="s">
        <v>4928</v>
      </c>
      <c r="J1120" s="9" t="s">
        <v>4929</v>
      </c>
      <c r="O1120" s="10">
        <f>IFERROR(__xludf.DUMMYFUNCTION("VALUE(REGEXEXTRACT(A1120, ""\d+""))"),1321.0)</f>
        <v>1321</v>
      </c>
    </row>
    <row r="1121">
      <c r="A1121" s="9" t="s">
        <v>4930</v>
      </c>
      <c r="B1121" s="9" t="s">
        <v>4931</v>
      </c>
      <c r="D1121" s="9" t="s">
        <v>4932</v>
      </c>
      <c r="G1121" s="6" t="s">
        <v>4933</v>
      </c>
      <c r="J1121" s="9" t="s">
        <v>4934</v>
      </c>
      <c r="O1121" s="10">
        <f>IFERROR(__xludf.DUMMYFUNCTION("VALUE(REGEXEXTRACT(A1121, ""\d+""))"),1322.0)</f>
        <v>1322</v>
      </c>
    </row>
    <row r="1122">
      <c r="A1122" s="9" t="s">
        <v>4935</v>
      </c>
      <c r="B1122" s="9" t="s">
        <v>4936</v>
      </c>
      <c r="D1122" s="9" t="s">
        <v>4937</v>
      </c>
      <c r="G1122" s="6" t="s">
        <v>4938</v>
      </c>
      <c r="J1122" s="9" t="s">
        <v>4939</v>
      </c>
      <c r="O1122" s="10">
        <f>IFERROR(__xludf.DUMMYFUNCTION("VALUE(REGEXEXTRACT(A1122, ""\d+""))"),1323.0)</f>
        <v>1323</v>
      </c>
    </row>
    <row r="1123">
      <c r="A1123" s="9" t="s">
        <v>4940</v>
      </c>
      <c r="B1123" s="9" t="s">
        <v>4941</v>
      </c>
      <c r="D1123" s="9" t="s">
        <v>4942</v>
      </c>
      <c r="G1123" s="6" t="s">
        <v>4943</v>
      </c>
      <c r="J1123" s="9" t="s">
        <v>4944</v>
      </c>
      <c r="O1123" s="10">
        <f>IFERROR(__xludf.DUMMYFUNCTION("VALUE(REGEXEXTRACT(A1123, ""\d+""))"),1324.0)</f>
        <v>1324</v>
      </c>
    </row>
    <row r="1124">
      <c r="A1124" s="9" t="s">
        <v>4945</v>
      </c>
      <c r="B1124" s="9" t="s">
        <v>4946</v>
      </c>
      <c r="D1124" s="9" t="s">
        <v>4947</v>
      </c>
      <c r="G1124" s="6" t="s">
        <v>4948</v>
      </c>
      <c r="J1124" s="9" t="s">
        <v>4949</v>
      </c>
      <c r="O1124" s="10">
        <f>IFERROR(__xludf.DUMMYFUNCTION("VALUE(REGEXEXTRACT(A1124, ""\d+""))"),1325.0)</f>
        <v>1325</v>
      </c>
    </row>
    <row r="1125">
      <c r="A1125" s="9" t="s">
        <v>4950</v>
      </c>
      <c r="B1125" s="9" t="s">
        <v>4951</v>
      </c>
      <c r="D1125" s="9" t="s">
        <v>4952</v>
      </c>
      <c r="G1125" s="6" t="s">
        <v>4953</v>
      </c>
      <c r="J1125" s="9" t="s">
        <v>4954</v>
      </c>
      <c r="O1125" s="10">
        <f>IFERROR(__xludf.DUMMYFUNCTION("VALUE(REGEXEXTRACT(A1125, ""\d+""))"),1327.0)</f>
        <v>1327</v>
      </c>
    </row>
    <row r="1126">
      <c r="A1126" s="9" t="s">
        <v>4955</v>
      </c>
      <c r="B1126" s="9" t="s">
        <v>4956</v>
      </c>
      <c r="D1126" s="9" t="s">
        <v>4957</v>
      </c>
      <c r="G1126" s="6" t="s">
        <v>4958</v>
      </c>
      <c r="J1126" s="9" t="s">
        <v>4959</v>
      </c>
      <c r="O1126" s="10">
        <f>IFERROR(__xludf.DUMMYFUNCTION("VALUE(REGEXEXTRACT(A1126, ""\d+""))"),1328.0)</f>
        <v>1328</v>
      </c>
    </row>
    <row r="1127">
      <c r="A1127" s="9" t="s">
        <v>4960</v>
      </c>
      <c r="B1127" s="9" t="s">
        <v>4961</v>
      </c>
      <c r="D1127" s="9" t="s">
        <v>4962</v>
      </c>
      <c r="G1127" s="6" t="s">
        <v>4963</v>
      </c>
      <c r="J1127" s="9" t="s">
        <v>4964</v>
      </c>
      <c r="O1127" s="10">
        <f>IFERROR(__xludf.DUMMYFUNCTION("VALUE(REGEXEXTRACT(A1127, ""\d+""))"),1329.0)</f>
        <v>1329</v>
      </c>
    </row>
    <row r="1128">
      <c r="A1128" s="9" t="s">
        <v>4965</v>
      </c>
      <c r="B1128" s="9" t="s">
        <v>4966</v>
      </c>
      <c r="D1128" s="9" t="s">
        <v>4967</v>
      </c>
      <c r="G1128" s="6" t="s">
        <v>4968</v>
      </c>
      <c r="J1128" s="9" t="s">
        <v>4969</v>
      </c>
      <c r="O1128" s="10">
        <f>IFERROR(__xludf.DUMMYFUNCTION("VALUE(REGEXEXTRACT(A1128, ""\d+""))"),1330.0)</f>
        <v>1330</v>
      </c>
    </row>
    <row r="1129">
      <c r="A1129" s="9" t="s">
        <v>4970</v>
      </c>
      <c r="B1129" s="9" t="s">
        <v>4971</v>
      </c>
      <c r="D1129" s="9" t="s">
        <v>4972</v>
      </c>
      <c r="G1129" s="6" t="s">
        <v>4973</v>
      </c>
      <c r="J1129" s="9" t="s">
        <v>4974</v>
      </c>
      <c r="O1129" s="10">
        <f>IFERROR(__xludf.DUMMYFUNCTION("VALUE(REGEXEXTRACT(A1129, ""\d+""))"),1331.0)</f>
        <v>1331</v>
      </c>
    </row>
    <row r="1130">
      <c r="A1130" s="9" t="s">
        <v>4975</v>
      </c>
      <c r="B1130" s="9" t="s">
        <v>4976</v>
      </c>
      <c r="D1130" s="9" t="s">
        <v>4977</v>
      </c>
      <c r="G1130" s="6" t="s">
        <v>4978</v>
      </c>
      <c r="J1130" s="9" t="s">
        <v>4979</v>
      </c>
      <c r="O1130" s="10">
        <f>IFERROR(__xludf.DUMMYFUNCTION("VALUE(REGEXEXTRACT(A1130, ""\d+""))"),1332.0)</f>
        <v>1332</v>
      </c>
    </row>
    <row r="1131">
      <c r="A1131" s="9" t="s">
        <v>4980</v>
      </c>
      <c r="B1131" s="9" t="s">
        <v>4981</v>
      </c>
      <c r="D1131" s="9" t="s">
        <v>4982</v>
      </c>
      <c r="G1131" s="6" t="s">
        <v>4983</v>
      </c>
      <c r="J1131" s="9" t="s">
        <v>4984</v>
      </c>
      <c r="O1131" s="10">
        <f>IFERROR(__xludf.DUMMYFUNCTION("VALUE(REGEXEXTRACT(A1131, ""\d+""))"),1333.0)</f>
        <v>1333</v>
      </c>
    </row>
    <row r="1132">
      <c r="A1132" s="9" t="s">
        <v>4985</v>
      </c>
      <c r="B1132" s="9" t="s">
        <v>4986</v>
      </c>
      <c r="D1132" s="9" t="s">
        <v>4987</v>
      </c>
      <c r="G1132" s="6" t="s">
        <v>4988</v>
      </c>
      <c r="J1132" s="9" t="s">
        <v>4989</v>
      </c>
      <c r="O1132" s="10">
        <f>IFERROR(__xludf.DUMMYFUNCTION("VALUE(REGEXEXTRACT(A1132, ""\d+""))"),1334.0)</f>
        <v>1334</v>
      </c>
    </row>
    <row r="1133">
      <c r="A1133" s="9" t="s">
        <v>4990</v>
      </c>
      <c r="B1133" s="9" t="s">
        <v>4991</v>
      </c>
      <c r="D1133" s="9" t="s">
        <v>554</v>
      </c>
      <c r="G1133" s="6" t="s">
        <v>4992</v>
      </c>
      <c r="J1133" s="9" t="s">
        <v>556</v>
      </c>
      <c r="O1133" s="10">
        <f>IFERROR(__xludf.DUMMYFUNCTION("VALUE(REGEXEXTRACT(A1133, ""\d+""))"),1335.0)</f>
        <v>1335</v>
      </c>
    </row>
    <row r="1134">
      <c r="A1134" s="9" t="s">
        <v>4993</v>
      </c>
      <c r="B1134" s="9" t="s">
        <v>4994</v>
      </c>
      <c r="D1134" s="9" t="s">
        <v>559</v>
      </c>
      <c r="G1134" s="6" t="s">
        <v>4995</v>
      </c>
      <c r="J1134" s="9" t="s">
        <v>561</v>
      </c>
      <c r="O1134" s="10">
        <f>IFERROR(__xludf.DUMMYFUNCTION("VALUE(REGEXEXTRACT(A1134, ""\d+""))"),1336.0)</f>
        <v>1336</v>
      </c>
    </row>
    <row r="1135">
      <c r="A1135" s="9" t="s">
        <v>4996</v>
      </c>
      <c r="B1135" s="9" t="s">
        <v>4997</v>
      </c>
      <c r="D1135" s="9" t="s">
        <v>564</v>
      </c>
      <c r="G1135" s="6" t="s">
        <v>4998</v>
      </c>
      <c r="J1135" s="9" t="s">
        <v>566</v>
      </c>
      <c r="O1135" s="10">
        <f>IFERROR(__xludf.DUMMYFUNCTION("VALUE(REGEXEXTRACT(A1135, ""\d+""))"),1337.0)</f>
        <v>1337</v>
      </c>
    </row>
    <row r="1136">
      <c r="A1136" s="9" t="s">
        <v>4999</v>
      </c>
      <c r="B1136" s="9" t="s">
        <v>5000</v>
      </c>
      <c r="D1136" s="9" t="s">
        <v>5001</v>
      </c>
      <c r="G1136" s="6" t="s">
        <v>5002</v>
      </c>
      <c r="J1136" s="9" t="s">
        <v>5003</v>
      </c>
      <c r="O1136" s="10">
        <f>IFERROR(__xludf.DUMMYFUNCTION("VALUE(REGEXEXTRACT(A1136, ""\d+""))"),1338.0)</f>
        <v>1338</v>
      </c>
    </row>
    <row r="1137">
      <c r="A1137" s="9" t="s">
        <v>5004</v>
      </c>
      <c r="B1137" s="9" t="s">
        <v>5005</v>
      </c>
      <c r="D1137" s="9" t="s">
        <v>5006</v>
      </c>
      <c r="G1137" s="6" t="s">
        <v>5007</v>
      </c>
      <c r="J1137" s="9" t="s">
        <v>5008</v>
      </c>
      <c r="O1137" s="10">
        <f>IFERROR(__xludf.DUMMYFUNCTION("VALUE(REGEXEXTRACT(A1137, ""\d+""))"),1339.0)</f>
        <v>1339</v>
      </c>
    </row>
    <row r="1138">
      <c r="A1138" s="9" t="s">
        <v>5009</v>
      </c>
      <c r="B1138" s="9" t="s">
        <v>5010</v>
      </c>
      <c r="D1138" s="9" t="s">
        <v>5011</v>
      </c>
      <c r="G1138" s="6" t="s">
        <v>5012</v>
      </c>
      <c r="J1138" s="9" t="s">
        <v>5013</v>
      </c>
      <c r="O1138" s="10">
        <f>IFERROR(__xludf.DUMMYFUNCTION("VALUE(REGEXEXTRACT(A1138, ""\d+""))"),1340.0)</f>
        <v>1340</v>
      </c>
    </row>
    <row r="1139">
      <c r="A1139" s="9" t="s">
        <v>5014</v>
      </c>
      <c r="B1139" s="9" t="s">
        <v>5015</v>
      </c>
      <c r="D1139" s="9" t="s">
        <v>5016</v>
      </c>
      <c r="G1139" s="6" t="s">
        <v>5017</v>
      </c>
      <c r="J1139" s="9" t="s">
        <v>5018</v>
      </c>
      <c r="O1139" s="10">
        <f>IFERROR(__xludf.DUMMYFUNCTION("VALUE(REGEXEXTRACT(A1139, ""\d+""))"),1341.0)</f>
        <v>1341</v>
      </c>
    </row>
    <row r="1140">
      <c r="A1140" s="9" t="s">
        <v>5019</v>
      </c>
      <c r="B1140" s="9" t="s">
        <v>5020</v>
      </c>
      <c r="D1140" s="9" t="s">
        <v>5021</v>
      </c>
      <c r="G1140" s="6" t="s">
        <v>5022</v>
      </c>
      <c r="J1140" s="9" t="s">
        <v>5023</v>
      </c>
      <c r="O1140" s="10">
        <f>IFERROR(__xludf.DUMMYFUNCTION("VALUE(REGEXEXTRACT(A1140, ""\d+""))"),1342.0)</f>
        <v>1342</v>
      </c>
    </row>
    <row r="1141">
      <c r="A1141" s="9" t="s">
        <v>5024</v>
      </c>
      <c r="B1141" s="9" t="s">
        <v>5025</v>
      </c>
      <c r="D1141" s="9" t="s">
        <v>5026</v>
      </c>
      <c r="G1141" s="6" t="s">
        <v>5027</v>
      </c>
      <c r="J1141" s="9" t="s">
        <v>5028</v>
      </c>
      <c r="O1141" s="10">
        <f>IFERROR(__xludf.DUMMYFUNCTION("VALUE(REGEXEXTRACT(A1141, ""\d+""))"),1343.0)</f>
        <v>1343</v>
      </c>
    </row>
    <row r="1142">
      <c r="A1142" s="9" t="s">
        <v>5029</v>
      </c>
      <c r="B1142" s="9" t="s">
        <v>5030</v>
      </c>
      <c r="D1142" s="9" t="s">
        <v>5031</v>
      </c>
      <c r="G1142" s="6" t="s">
        <v>5032</v>
      </c>
      <c r="J1142" s="9" t="s">
        <v>5033</v>
      </c>
      <c r="O1142" s="10">
        <f>IFERROR(__xludf.DUMMYFUNCTION("VALUE(REGEXEXTRACT(A1142, ""\d+""))"),1344.0)</f>
        <v>1344</v>
      </c>
    </row>
    <row r="1143">
      <c r="A1143" s="9" t="s">
        <v>5034</v>
      </c>
      <c r="B1143" s="9" t="s">
        <v>5035</v>
      </c>
      <c r="D1143" s="9" t="s">
        <v>5036</v>
      </c>
      <c r="G1143" s="6" t="s">
        <v>5037</v>
      </c>
      <c r="J1143" s="9" t="s">
        <v>5038</v>
      </c>
      <c r="O1143" s="10">
        <f>IFERROR(__xludf.DUMMYFUNCTION("VALUE(REGEXEXTRACT(A1143, ""\d+""))"),1345.0)</f>
        <v>1345</v>
      </c>
    </row>
    <row r="1144">
      <c r="A1144" s="9" t="s">
        <v>5039</v>
      </c>
      <c r="B1144" s="9" t="s">
        <v>5040</v>
      </c>
      <c r="D1144" s="9" t="s">
        <v>5041</v>
      </c>
      <c r="G1144" s="6" t="s">
        <v>5042</v>
      </c>
      <c r="J1144" s="9" t="s">
        <v>5043</v>
      </c>
      <c r="O1144" s="10">
        <f>IFERROR(__xludf.DUMMYFUNCTION("VALUE(REGEXEXTRACT(A1144, ""\d+""))"),1347.0)</f>
        <v>1347</v>
      </c>
    </row>
    <row r="1145">
      <c r="A1145" s="9" t="s">
        <v>5044</v>
      </c>
      <c r="B1145" s="9" t="s">
        <v>5045</v>
      </c>
      <c r="D1145" s="9" t="s">
        <v>5046</v>
      </c>
      <c r="G1145" s="6" t="s">
        <v>5047</v>
      </c>
      <c r="J1145" s="9" t="s">
        <v>5048</v>
      </c>
      <c r="O1145" s="10">
        <f>IFERROR(__xludf.DUMMYFUNCTION("VALUE(REGEXEXTRACT(A1145, ""\d+""))"),1348.0)</f>
        <v>1348</v>
      </c>
    </row>
    <row r="1146">
      <c r="A1146" s="9" t="s">
        <v>5049</v>
      </c>
      <c r="B1146" s="9" t="s">
        <v>5050</v>
      </c>
      <c r="D1146" s="9" t="s">
        <v>5051</v>
      </c>
      <c r="G1146" s="6" t="s">
        <v>5052</v>
      </c>
      <c r="J1146" s="9" t="s">
        <v>5053</v>
      </c>
      <c r="O1146" s="10">
        <f>IFERROR(__xludf.DUMMYFUNCTION("VALUE(REGEXEXTRACT(A1146, ""\d+""))"),1349.0)</f>
        <v>1349</v>
      </c>
    </row>
    <row r="1147">
      <c r="A1147" s="9" t="s">
        <v>5054</v>
      </c>
      <c r="B1147" s="9" t="s">
        <v>5055</v>
      </c>
      <c r="D1147" s="9" t="s">
        <v>5056</v>
      </c>
      <c r="G1147" s="6" t="s">
        <v>5057</v>
      </c>
      <c r="J1147" s="9" t="s">
        <v>5058</v>
      </c>
      <c r="O1147" s="10">
        <f>IFERROR(__xludf.DUMMYFUNCTION("VALUE(REGEXEXTRACT(A1147, ""\d+""))"),1350.0)</f>
        <v>1350</v>
      </c>
    </row>
    <row r="1148">
      <c r="A1148" s="9" t="s">
        <v>5059</v>
      </c>
      <c r="B1148" s="9" t="s">
        <v>5060</v>
      </c>
      <c r="D1148" s="9" t="s">
        <v>5061</v>
      </c>
      <c r="G1148" s="6" t="s">
        <v>5062</v>
      </c>
      <c r="J1148" s="9" t="s">
        <v>5063</v>
      </c>
      <c r="O1148" s="10">
        <f>IFERROR(__xludf.DUMMYFUNCTION("VALUE(REGEXEXTRACT(A1148, ""\d+""))"),1351.0)</f>
        <v>1351</v>
      </c>
    </row>
    <row r="1149">
      <c r="A1149" s="9" t="s">
        <v>5064</v>
      </c>
      <c r="B1149" s="9" t="s">
        <v>5065</v>
      </c>
      <c r="D1149" s="9" t="s">
        <v>5066</v>
      </c>
      <c r="G1149" s="6" t="s">
        <v>5067</v>
      </c>
      <c r="J1149" s="9" t="s">
        <v>5068</v>
      </c>
      <c r="O1149" s="10">
        <f>IFERROR(__xludf.DUMMYFUNCTION("VALUE(REGEXEXTRACT(A1149, ""\d+""))"),1352.0)</f>
        <v>1352</v>
      </c>
    </row>
    <row r="1150">
      <c r="A1150" s="9" t="s">
        <v>5069</v>
      </c>
      <c r="B1150" s="9" t="s">
        <v>5070</v>
      </c>
      <c r="D1150" s="9" t="s">
        <v>630</v>
      </c>
      <c r="G1150" s="6" t="s">
        <v>5071</v>
      </c>
      <c r="J1150" s="9" t="s">
        <v>632</v>
      </c>
      <c r="O1150" s="10">
        <f>IFERROR(__xludf.DUMMYFUNCTION("VALUE(REGEXEXTRACT(A1150, ""\d+""))"),1353.0)</f>
        <v>1353</v>
      </c>
    </row>
    <row r="1151">
      <c r="A1151" s="9" t="s">
        <v>5072</v>
      </c>
      <c r="B1151" s="9" t="s">
        <v>5073</v>
      </c>
      <c r="D1151" s="9" t="s">
        <v>5074</v>
      </c>
      <c r="G1151" s="6" t="s">
        <v>5075</v>
      </c>
      <c r="J1151" s="9" t="s">
        <v>5076</v>
      </c>
      <c r="O1151" s="10">
        <f>IFERROR(__xludf.DUMMYFUNCTION("VALUE(REGEXEXTRACT(A1151, ""\d+""))"),1354.0)</f>
        <v>1354</v>
      </c>
    </row>
    <row r="1152">
      <c r="A1152" s="9" t="s">
        <v>5077</v>
      </c>
      <c r="B1152" s="9" t="s">
        <v>5078</v>
      </c>
      <c r="D1152" s="9" t="s">
        <v>5079</v>
      </c>
      <c r="G1152" s="6" t="s">
        <v>5080</v>
      </c>
      <c r="J1152" s="9" t="s">
        <v>5081</v>
      </c>
      <c r="O1152" s="10">
        <f>IFERROR(__xludf.DUMMYFUNCTION("VALUE(REGEXEXTRACT(A1152, ""\d+""))"),1355.0)</f>
        <v>1355</v>
      </c>
    </row>
    <row r="1153">
      <c r="A1153" s="9" t="s">
        <v>5082</v>
      </c>
      <c r="B1153" s="9" t="s">
        <v>5083</v>
      </c>
      <c r="G1153" s="6" t="s">
        <v>5084</v>
      </c>
      <c r="O1153" s="10">
        <f>IFERROR(__xludf.DUMMYFUNCTION("VALUE(REGEXEXTRACT(A1153, ""\d+""))"),1356.0)</f>
        <v>1356</v>
      </c>
    </row>
    <row r="1154">
      <c r="A1154" s="9" t="s">
        <v>5085</v>
      </c>
      <c r="B1154" s="9" t="s">
        <v>5086</v>
      </c>
      <c r="G1154" s="6" t="s">
        <v>5087</v>
      </c>
      <c r="O1154" s="10">
        <f>IFERROR(__xludf.DUMMYFUNCTION("VALUE(REGEXEXTRACT(A1154, ""\d+""))"),1357.0)</f>
        <v>1357</v>
      </c>
    </row>
    <row r="1155">
      <c r="A1155" s="9" t="s">
        <v>5088</v>
      </c>
      <c r="B1155" s="9" t="s">
        <v>5089</v>
      </c>
      <c r="D1155" s="9" t="s">
        <v>5090</v>
      </c>
      <c r="G1155" s="6" t="s">
        <v>5091</v>
      </c>
      <c r="J1155" s="9" t="s">
        <v>5092</v>
      </c>
      <c r="O1155" s="10">
        <f>IFERROR(__xludf.DUMMYFUNCTION("VALUE(REGEXEXTRACT(A1155, ""\d+""))"),1358.0)</f>
        <v>1358</v>
      </c>
    </row>
    <row r="1156">
      <c r="A1156" s="9" t="s">
        <v>5093</v>
      </c>
      <c r="B1156" s="9" t="s">
        <v>5094</v>
      </c>
      <c r="D1156" s="9" t="s">
        <v>5095</v>
      </c>
      <c r="G1156" s="6" t="s">
        <v>5096</v>
      </c>
      <c r="J1156" s="9" t="s">
        <v>5097</v>
      </c>
      <c r="O1156" s="10">
        <f>IFERROR(__xludf.DUMMYFUNCTION("VALUE(REGEXEXTRACT(A1156, ""\d+""))"),1359.0)</f>
        <v>1359</v>
      </c>
    </row>
    <row r="1157">
      <c r="A1157" s="9" t="s">
        <v>5098</v>
      </c>
      <c r="B1157" s="9" t="s">
        <v>5099</v>
      </c>
      <c r="D1157" s="9" t="s">
        <v>5100</v>
      </c>
      <c r="G1157" s="6" t="s">
        <v>5101</v>
      </c>
      <c r="J1157" s="9" t="s">
        <v>5102</v>
      </c>
      <c r="O1157" s="10">
        <f>IFERROR(__xludf.DUMMYFUNCTION("VALUE(REGEXEXTRACT(A1157, ""\d+""))"),1360.0)</f>
        <v>1360</v>
      </c>
    </row>
    <row r="1158">
      <c r="A1158" s="9" t="s">
        <v>5103</v>
      </c>
      <c r="B1158" s="9" t="s">
        <v>5104</v>
      </c>
      <c r="D1158" s="9" t="s">
        <v>5105</v>
      </c>
      <c r="G1158" s="6" t="s">
        <v>5106</v>
      </c>
      <c r="J1158" s="9" t="s">
        <v>5107</v>
      </c>
      <c r="O1158" s="10">
        <f>IFERROR(__xludf.DUMMYFUNCTION("VALUE(REGEXEXTRACT(A1158, ""\d+""))"),1361.0)</f>
        <v>1361</v>
      </c>
    </row>
    <row r="1159">
      <c r="A1159" s="9" t="s">
        <v>5108</v>
      </c>
      <c r="B1159" s="9" t="s">
        <v>5109</v>
      </c>
      <c r="D1159" s="9" t="s">
        <v>5110</v>
      </c>
      <c r="G1159" s="6" t="s">
        <v>5111</v>
      </c>
      <c r="J1159" s="9" t="s">
        <v>5112</v>
      </c>
      <c r="O1159" s="10">
        <f>IFERROR(__xludf.DUMMYFUNCTION("VALUE(REGEXEXTRACT(A1159, ""\d+""))"),1362.0)</f>
        <v>1362</v>
      </c>
    </row>
    <row r="1160">
      <c r="A1160" s="9" t="s">
        <v>5113</v>
      </c>
      <c r="B1160" s="9" t="s">
        <v>5114</v>
      </c>
      <c r="D1160" s="9" t="s">
        <v>5115</v>
      </c>
      <c r="G1160" s="6" t="s">
        <v>5116</v>
      </c>
      <c r="J1160" s="9" t="s">
        <v>5117</v>
      </c>
      <c r="O1160" s="10">
        <f>IFERROR(__xludf.DUMMYFUNCTION("VALUE(REGEXEXTRACT(A1160, ""\d+""))"),1363.0)</f>
        <v>1363</v>
      </c>
    </row>
    <row r="1161">
      <c r="A1161" s="9" t="s">
        <v>5118</v>
      </c>
      <c r="B1161" s="9" t="s">
        <v>5119</v>
      </c>
      <c r="D1161" s="9" t="s">
        <v>5120</v>
      </c>
      <c r="G1161" s="6" t="s">
        <v>5121</v>
      </c>
      <c r="J1161" s="9" t="s">
        <v>5122</v>
      </c>
      <c r="O1161" s="10">
        <f>IFERROR(__xludf.DUMMYFUNCTION("VALUE(REGEXEXTRACT(A1161, ""\d+""))"),1364.0)</f>
        <v>1364</v>
      </c>
    </row>
    <row r="1162">
      <c r="A1162" s="9" t="s">
        <v>5123</v>
      </c>
      <c r="B1162" s="9" t="s">
        <v>5124</v>
      </c>
      <c r="D1162" s="9" t="s">
        <v>5125</v>
      </c>
      <c r="G1162" s="6" t="s">
        <v>5126</v>
      </c>
      <c r="J1162" s="9" t="s">
        <v>5127</v>
      </c>
      <c r="O1162" s="10">
        <f>IFERROR(__xludf.DUMMYFUNCTION("VALUE(REGEXEXTRACT(A1162, ""\d+""))"),1365.0)</f>
        <v>1365</v>
      </c>
    </row>
    <row r="1163">
      <c r="A1163" s="9" t="s">
        <v>5128</v>
      </c>
      <c r="B1163" s="9" t="s">
        <v>5129</v>
      </c>
      <c r="D1163" s="9" t="s">
        <v>5130</v>
      </c>
      <c r="G1163" s="6" t="s">
        <v>5131</v>
      </c>
      <c r="J1163" s="9" t="s">
        <v>5132</v>
      </c>
      <c r="O1163" s="10">
        <f>IFERROR(__xludf.DUMMYFUNCTION("VALUE(REGEXEXTRACT(A1163, ""\d+""))"),1366.0)</f>
        <v>1366</v>
      </c>
    </row>
    <row r="1164">
      <c r="A1164" s="9" t="s">
        <v>5133</v>
      </c>
      <c r="B1164" s="9" t="s">
        <v>5134</v>
      </c>
      <c r="D1164" s="9" t="s">
        <v>5135</v>
      </c>
      <c r="G1164" s="6" t="s">
        <v>5136</v>
      </c>
      <c r="J1164" s="9" t="s">
        <v>5137</v>
      </c>
      <c r="O1164" s="10">
        <f>IFERROR(__xludf.DUMMYFUNCTION("VALUE(REGEXEXTRACT(A1164, ""\d+""))"),1367.0)</f>
        <v>1367</v>
      </c>
    </row>
    <row r="1165">
      <c r="A1165" s="9" t="s">
        <v>5138</v>
      </c>
      <c r="B1165" s="9" t="s">
        <v>5139</v>
      </c>
      <c r="D1165" s="9" t="s">
        <v>5140</v>
      </c>
      <c r="G1165" s="6" t="s">
        <v>5140</v>
      </c>
      <c r="J1165" s="9" t="s">
        <v>5141</v>
      </c>
      <c r="O1165" s="10">
        <f>IFERROR(__xludf.DUMMYFUNCTION("VALUE(REGEXEXTRACT(A1165, ""\d+""))"),1368.0)</f>
        <v>1368</v>
      </c>
    </row>
    <row r="1166">
      <c r="A1166" s="9" t="s">
        <v>5142</v>
      </c>
      <c r="B1166" s="9" t="s">
        <v>5143</v>
      </c>
      <c r="D1166" s="9" t="s">
        <v>5143</v>
      </c>
      <c r="G1166" s="6" t="s">
        <v>5143</v>
      </c>
      <c r="J1166" s="9" t="s">
        <v>5143</v>
      </c>
      <c r="O1166" s="10">
        <f>IFERROR(__xludf.DUMMYFUNCTION("VALUE(REGEXEXTRACT(A1166, ""\d+""))"),1369.0)</f>
        <v>1369</v>
      </c>
    </row>
    <row r="1167">
      <c r="A1167" s="9" t="s">
        <v>5144</v>
      </c>
      <c r="B1167" s="9" t="s">
        <v>5145</v>
      </c>
      <c r="D1167" s="9" t="s">
        <v>5146</v>
      </c>
      <c r="G1167" s="6" t="s">
        <v>5147</v>
      </c>
      <c r="J1167" s="9" t="s">
        <v>5148</v>
      </c>
      <c r="O1167" s="10">
        <f>IFERROR(__xludf.DUMMYFUNCTION("VALUE(REGEXEXTRACT(A1167, ""\d+""))"),1370.0)</f>
        <v>1370</v>
      </c>
    </row>
    <row r="1168">
      <c r="A1168" s="9" t="s">
        <v>5149</v>
      </c>
      <c r="B1168" s="9" t="s">
        <v>5150</v>
      </c>
      <c r="D1168" s="9" t="s">
        <v>5151</v>
      </c>
      <c r="G1168" s="6" t="s">
        <v>5152</v>
      </c>
      <c r="J1168" s="9" t="s">
        <v>5153</v>
      </c>
      <c r="O1168" s="10">
        <f>IFERROR(__xludf.DUMMYFUNCTION("VALUE(REGEXEXTRACT(A1168, ""\d+""))"),1371.0)</f>
        <v>1371</v>
      </c>
    </row>
    <row r="1169">
      <c r="A1169" s="9" t="s">
        <v>5154</v>
      </c>
      <c r="B1169" s="9" t="s">
        <v>5155</v>
      </c>
      <c r="D1169" s="9" t="s">
        <v>5156</v>
      </c>
      <c r="G1169" s="6" t="s">
        <v>5156</v>
      </c>
      <c r="J1169" s="9" t="s">
        <v>5157</v>
      </c>
      <c r="O1169" s="10">
        <f>IFERROR(__xludf.DUMMYFUNCTION("VALUE(REGEXEXTRACT(A1169, ""\d+""))"),1372.0)</f>
        <v>1372</v>
      </c>
    </row>
    <row r="1170">
      <c r="A1170" s="9" t="s">
        <v>5158</v>
      </c>
      <c r="B1170" s="9" t="s">
        <v>5159</v>
      </c>
      <c r="D1170" s="9" t="s">
        <v>5160</v>
      </c>
      <c r="G1170" s="6" t="s">
        <v>5161</v>
      </c>
      <c r="J1170" s="9" t="s">
        <v>5162</v>
      </c>
      <c r="O1170" s="10">
        <f>IFERROR(__xludf.DUMMYFUNCTION("VALUE(REGEXEXTRACT(A1170, ""\d+""))"),1373.0)</f>
        <v>1373</v>
      </c>
    </row>
    <row r="1171">
      <c r="A1171" s="9" t="s">
        <v>5163</v>
      </c>
      <c r="B1171" s="9" t="s">
        <v>5164</v>
      </c>
      <c r="D1171" s="9" t="s">
        <v>5165</v>
      </c>
      <c r="G1171" s="6" t="s">
        <v>5165</v>
      </c>
      <c r="J1171" s="9" t="s">
        <v>5166</v>
      </c>
      <c r="O1171" s="10">
        <f>IFERROR(__xludf.DUMMYFUNCTION("VALUE(REGEXEXTRACT(A1171, ""\d+""))"),1374.0)</f>
        <v>1374</v>
      </c>
    </row>
    <row r="1172">
      <c r="A1172" s="9" t="s">
        <v>5167</v>
      </c>
      <c r="B1172" s="9" t="s">
        <v>5168</v>
      </c>
      <c r="D1172" s="9" t="s">
        <v>5169</v>
      </c>
      <c r="G1172" s="6" t="s">
        <v>5169</v>
      </c>
      <c r="J1172" s="9" t="s">
        <v>5170</v>
      </c>
      <c r="O1172" s="10">
        <f>IFERROR(__xludf.DUMMYFUNCTION("VALUE(REGEXEXTRACT(A1172, ""\d+""))"),1375.0)</f>
        <v>1375</v>
      </c>
    </row>
    <row r="1173">
      <c r="A1173" s="9" t="s">
        <v>5171</v>
      </c>
      <c r="B1173" s="9" t="s">
        <v>5172</v>
      </c>
      <c r="D1173" s="9" t="s">
        <v>5173</v>
      </c>
      <c r="G1173" s="6" t="s">
        <v>5174</v>
      </c>
      <c r="J1173" s="9" t="s">
        <v>5175</v>
      </c>
      <c r="O1173" s="10">
        <f>IFERROR(__xludf.DUMMYFUNCTION("VALUE(REGEXEXTRACT(A1173, ""\d+""))"),1376.0)</f>
        <v>1376</v>
      </c>
    </row>
    <row r="1174">
      <c r="A1174" s="9" t="s">
        <v>5176</v>
      </c>
      <c r="B1174" s="9" t="s">
        <v>5177</v>
      </c>
      <c r="D1174" s="9" t="s">
        <v>5178</v>
      </c>
      <c r="G1174" s="6" t="s">
        <v>5179</v>
      </c>
      <c r="J1174" s="9" t="s">
        <v>5180</v>
      </c>
      <c r="O1174" s="10">
        <f>IFERROR(__xludf.DUMMYFUNCTION("VALUE(REGEXEXTRACT(A1174, ""\d+""))"),1377.0)</f>
        <v>1377</v>
      </c>
    </row>
    <row r="1175">
      <c r="A1175" s="9" t="s">
        <v>5181</v>
      </c>
      <c r="B1175" s="9" t="s">
        <v>5182</v>
      </c>
      <c r="D1175" s="9" t="s">
        <v>5183</v>
      </c>
      <c r="G1175" s="6" t="s">
        <v>5184</v>
      </c>
      <c r="J1175" s="9" t="s">
        <v>5185</v>
      </c>
      <c r="O1175" s="10">
        <f>IFERROR(__xludf.DUMMYFUNCTION("VALUE(REGEXEXTRACT(A1175, ""\d+""))"),1378.0)</f>
        <v>1378</v>
      </c>
    </row>
    <row r="1176">
      <c r="A1176" s="9" t="s">
        <v>5186</v>
      </c>
      <c r="B1176" s="9" t="s">
        <v>5187</v>
      </c>
      <c r="D1176" s="9" t="s">
        <v>5188</v>
      </c>
      <c r="G1176" s="6" t="s">
        <v>5189</v>
      </c>
      <c r="J1176" s="9" t="s">
        <v>5190</v>
      </c>
      <c r="O1176" s="10">
        <f>IFERROR(__xludf.DUMMYFUNCTION("VALUE(REGEXEXTRACT(A1176, ""\d+""))"),1379.0)</f>
        <v>1379</v>
      </c>
    </row>
    <row r="1177">
      <c r="A1177" s="9" t="s">
        <v>5191</v>
      </c>
      <c r="B1177" s="9" t="s">
        <v>5192</v>
      </c>
      <c r="D1177" s="9" t="s">
        <v>5193</v>
      </c>
      <c r="G1177" s="6" t="s">
        <v>5194</v>
      </c>
      <c r="J1177" s="9" t="s">
        <v>5195</v>
      </c>
      <c r="O1177" s="10">
        <f>IFERROR(__xludf.DUMMYFUNCTION("VALUE(REGEXEXTRACT(A1177, ""\d+""))"),1380.0)</f>
        <v>1380</v>
      </c>
    </row>
    <row r="1178">
      <c r="A1178" s="9" t="s">
        <v>5196</v>
      </c>
      <c r="B1178" s="9" t="s">
        <v>5197</v>
      </c>
      <c r="D1178" s="9" t="s">
        <v>5198</v>
      </c>
      <c r="G1178" s="6" t="s">
        <v>5199</v>
      </c>
      <c r="J1178" s="9" t="s">
        <v>5200</v>
      </c>
      <c r="O1178" s="10">
        <f>IFERROR(__xludf.DUMMYFUNCTION("VALUE(REGEXEXTRACT(A1178, ""\d+""))"),1381.0)</f>
        <v>1381</v>
      </c>
    </row>
    <row r="1179">
      <c r="A1179" s="9" t="s">
        <v>5201</v>
      </c>
      <c r="B1179" s="9" t="s">
        <v>5202</v>
      </c>
      <c r="D1179" s="9" t="s">
        <v>5203</v>
      </c>
      <c r="G1179" s="6" t="s">
        <v>5204</v>
      </c>
      <c r="J1179" s="9" t="s">
        <v>5205</v>
      </c>
      <c r="O1179" s="10">
        <f>IFERROR(__xludf.DUMMYFUNCTION("VALUE(REGEXEXTRACT(A1179, ""\d+""))"),1382.0)</f>
        <v>1382</v>
      </c>
    </row>
    <row r="1180">
      <c r="A1180" s="9" t="s">
        <v>5206</v>
      </c>
      <c r="B1180" s="9" t="s">
        <v>5207</v>
      </c>
      <c r="D1180" s="9" t="s">
        <v>5208</v>
      </c>
      <c r="G1180" s="6" t="s">
        <v>5209</v>
      </c>
      <c r="J1180" s="9" t="s">
        <v>5207</v>
      </c>
      <c r="O1180" s="10">
        <f>IFERROR(__xludf.DUMMYFUNCTION("VALUE(REGEXEXTRACT(A1180, ""\d+""))"),1383.0)</f>
        <v>1383</v>
      </c>
    </row>
    <row r="1181">
      <c r="A1181" s="9" t="s">
        <v>5210</v>
      </c>
      <c r="B1181" s="9" t="s">
        <v>5211</v>
      </c>
      <c r="D1181" s="9" t="s">
        <v>5212</v>
      </c>
      <c r="G1181" s="6" t="s">
        <v>5213</v>
      </c>
      <c r="J1181" s="9" t="s">
        <v>5214</v>
      </c>
      <c r="O1181" s="10">
        <f>IFERROR(__xludf.DUMMYFUNCTION("VALUE(REGEXEXTRACT(A1181, ""\d+""))"),1384.0)</f>
        <v>1384</v>
      </c>
    </row>
    <row r="1182">
      <c r="A1182" s="9" t="s">
        <v>5215</v>
      </c>
      <c r="B1182" s="9" t="s">
        <v>5216</v>
      </c>
      <c r="D1182" s="9" t="s">
        <v>5217</v>
      </c>
      <c r="G1182" s="6" t="s">
        <v>5218</v>
      </c>
      <c r="J1182" s="9" t="s">
        <v>5219</v>
      </c>
      <c r="O1182" s="10">
        <f>IFERROR(__xludf.DUMMYFUNCTION("VALUE(REGEXEXTRACT(A1182, ""\d+""))"),1385.0)</f>
        <v>1385</v>
      </c>
    </row>
    <row r="1183">
      <c r="A1183" s="9" t="s">
        <v>5220</v>
      </c>
      <c r="B1183" s="9" t="s">
        <v>5221</v>
      </c>
      <c r="D1183" s="9" t="s">
        <v>5222</v>
      </c>
      <c r="G1183" s="6" t="s">
        <v>5223</v>
      </c>
      <c r="J1183" s="9" t="s">
        <v>5224</v>
      </c>
      <c r="O1183" s="10">
        <f>IFERROR(__xludf.DUMMYFUNCTION("VALUE(REGEXEXTRACT(A1183, ""\d+""))"),1386.0)</f>
        <v>1386</v>
      </c>
    </row>
    <row r="1184">
      <c r="A1184" s="9" t="s">
        <v>5225</v>
      </c>
      <c r="B1184" s="9" t="s">
        <v>5226</v>
      </c>
      <c r="D1184" s="9" t="s">
        <v>5227</v>
      </c>
      <c r="G1184" s="6" t="s">
        <v>5228</v>
      </c>
      <c r="J1184" s="9" t="s">
        <v>5229</v>
      </c>
      <c r="O1184" s="10">
        <f>IFERROR(__xludf.DUMMYFUNCTION("VALUE(REGEXEXTRACT(A1184, ""\d+""))"),1387.0)</f>
        <v>1387</v>
      </c>
    </row>
    <row r="1185">
      <c r="A1185" s="9" t="s">
        <v>5230</v>
      </c>
      <c r="B1185" s="9" t="s">
        <v>5231</v>
      </c>
      <c r="D1185" s="9" t="s">
        <v>5232</v>
      </c>
      <c r="G1185" s="6" t="s">
        <v>5232</v>
      </c>
      <c r="J1185" s="9" t="s">
        <v>5233</v>
      </c>
      <c r="O1185" s="10">
        <f>IFERROR(__xludf.DUMMYFUNCTION("VALUE(REGEXEXTRACT(A1185, ""\d+""))"),1388.0)</f>
        <v>1388</v>
      </c>
    </row>
    <row r="1186">
      <c r="A1186" s="9" t="s">
        <v>5234</v>
      </c>
      <c r="B1186" s="9" t="s">
        <v>5235</v>
      </c>
      <c r="D1186" s="9" t="s">
        <v>5236</v>
      </c>
      <c r="G1186" s="6" t="s">
        <v>5237</v>
      </c>
      <c r="J1186" s="9" t="s">
        <v>5238</v>
      </c>
      <c r="O1186" s="10">
        <f>IFERROR(__xludf.DUMMYFUNCTION("VALUE(REGEXEXTRACT(A1186, ""\d+""))"),1389.0)</f>
        <v>1389</v>
      </c>
    </row>
    <row r="1187">
      <c r="A1187" s="9" t="s">
        <v>5239</v>
      </c>
      <c r="B1187" s="9" t="s">
        <v>5240</v>
      </c>
      <c r="D1187" s="9" t="s">
        <v>5241</v>
      </c>
      <c r="G1187" s="6" t="s">
        <v>5241</v>
      </c>
      <c r="J1187" s="9" t="s">
        <v>5242</v>
      </c>
      <c r="O1187" s="10">
        <f>IFERROR(__xludf.DUMMYFUNCTION("VALUE(REGEXEXTRACT(A1187, ""\d+""))"),1390.0)</f>
        <v>1390</v>
      </c>
    </row>
    <row r="1188">
      <c r="A1188" s="9" t="s">
        <v>5243</v>
      </c>
      <c r="B1188" s="9" t="s">
        <v>5244</v>
      </c>
      <c r="D1188" s="9" t="s">
        <v>5245</v>
      </c>
      <c r="G1188" s="6" t="s">
        <v>5245</v>
      </c>
      <c r="J1188" s="9" t="s">
        <v>5246</v>
      </c>
      <c r="O1188" s="10">
        <f>IFERROR(__xludf.DUMMYFUNCTION("VALUE(REGEXEXTRACT(A1188, ""\d+""))"),1391.0)</f>
        <v>1391</v>
      </c>
    </row>
    <row r="1189">
      <c r="A1189" s="9" t="s">
        <v>5247</v>
      </c>
      <c r="B1189" s="9" t="s">
        <v>5248</v>
      </c>
      <c r="D1189" s="9" t="s">
        <v>5249</v>
      </c>
      <c r="G1189" s="6" t="s">
        <v>5249</v>
      </c>
      <c r="J1189" s="9" t="s">
        <v>5250</v>
      </c>
      <c r="O1189" s="10">
        <f>IFERROR(__xludf.DUMMYFUNCTION("VALUE(REGEXEXTRACT(A1189, ""\d+""))"),1392.0)</f>
        <v>1392</v>
      </c>
    </row>
    <row r="1190">
      <c r="A1190" s="9" t="s">
        <v>5251</v>
      </c>
      <c r="B1190" s="9" t="s">
        <v>5252</v>
      </c>
      <c r="D1190" s="9" t="s">
        <v>5253</v>
      </c>
      <c r="G1190" s="6" t="s">
        <v>5253</v>
      </c>
      <c r="J1190" s="9" t="s">
        <v>5254</v>
      </c>
      <c r="O1190" s="10">
        <f>IFERROR(__xludf.DUMMYFUNCTION("VALUE(REGEXEXTRACT(A1190, ""\d+""))"),1393.0)</f>
        <v>1393</v>
      </c>
    </row>
    <row r="1191">
      <c r="A1191" s="9" t="s">
        <v>5255</v>
      </c>
      <c r="B1191" s="9" t="s">
        <v>5256</v>
      </c>
      <c r="D1191" s="9" t="s">
        <v>5257</v>
      </c>
      <c r="G1191" s="6" t="s">
        <v>5257</v>
      </c>
      <c r="J1191" s="9" t="s">
        <v>5258</v>
      </c>
      <c r="O1191" s="10">
        <f>IFERROR(__xludf.DUMMYFUNCTION("VALUE(REGEXEXTRACT(A1191, ""\d+""))"),1394.0)</f>
        <v>1394</v>
      </c>
    </row>
    <row r="1192">
      <c r="A1192" s="9" t="s">
        <v>5259</v>
      </c>
      <c r="B1192" s="9" t="s">
        <v>5260</v>
      </c>
      <c r="D1192" s="9" t="s">
        <v>5261</v>
      </c>
      <c r="G1192" s="6" t="s">
        <v>5261</v>
      </c>
      <c r="J1192" s="9" t="s">
        <v>5262</v>
      </c>
      <c r="O1192" s="10">
        <f>IFERROR(__xludf.DUMMYFUNCTION("VALUE(REGEXEXTRACT(A1192, ""\d+""))"),1395.0)</f>
        <v>1395</v>
      </c>
    </row>
    <row r="1193">
      <c r="A1193" s="9" t="s">
        <v>5263</v>
      </c>
      <c r="B1193" s="9" t="s">
        <v>5264</v>
      </c>
      <c r="D1193" s="9" t="s">
        <v>5265</v>
      </c>
      <c r="G1193" s="6" t="s">
        <v>5265</v>
      </c>
      <c r="J1193" s="9" t="s">
        <v>5266</v>
      </c>
      <c r="O1193" s="10">
        <f>IFERROR(__xludf.DUMMYFUNCTION("VALUE(REGEXEXTRACT(A1193, ""\d+""))"),1398.0)</f>
        <v>1398</v>
      </c>
    </row>
    <row r="1194">
      <c r="A1194" s="9" t="s">
        <v>5267</v>
      </c>
      <c r="B1194" s="9" t="s">
        <v>5268</v>
      </c>
      <c r="D1194" s="9" t="s">
        <v>5269</v>
      </c>
      <c r="G1194" s="6" t="s">
        <v>5269</v>
      </c>
      <c r="J1194" s="9" t="s">
        <v>839</v>
      </c>
      <c r="O1194" s="10">
        <f>IFERROR(__xludf.DUMMYFUNCTION("VALUE(REGEXEXTRACT(A1194, ""\d+""))"),1399.0)</f>
        <v>1399</v>
      </c>
    </row>
    <row r="1195">
      <c r="A1195" s="9" t="s">
        <v>5270</v>
      </c>
      <c r="B1195" s="9" t="s">
        <v>5271</v>
      </c>
      <c r="D1195" s="9" t="s">
        <v>5272</v>
      </c>
      <c r="G1195" s="6" t="s">
        <v>5272</v>
      </c>
      <c r="J1195" s="9" t="s">
        <v>5273</v>
      </c>
      <c r="O1195" s="10">
        <f>IFERROR(__xludf.DUMMYFUNCTION("VALUE(REGEXEXTRACT(A1195, ""\d+""))"),1400.0)</f>
        <v>1400</v>
      </c>
    </row>
    <row r="1196">
      <c r="A1196" s="9" t="s">
        <v>5274</v>
      </c>
      <c r="B1196" s="9" t="s">
        <v>5275</v>
      </c>
      <c r="D1196" s="9" t="s">
        <v>5276</v>
      </c>
      <c r="G1196" s="6" t="s">
        <v>5276</v>
      </c>
      <c r="J1196" s="9" t="s">
        <v>5277</v>
      </c>
      <c r="O1196" s="10">
        <f>IFERROR(__xludf.DUMMYFUNCTION("VALUE(REGEXEXTRACT(A1196, ""\d+""))"),1401.0)</f>
        <v>1401</v>
      </c>
    </row>
    <row r="1197">
      <c r="A1197" s="9" t="s">
        <v>5278</v>
      </c>
      <c r="B1197" s="9" t="s">
        <v>5279</v>
      </c>
      <c r="D1197" s="9" t="s">
        <v>5280</v>
      </c>
      <c r="G1197" s="6" t="s">
        <v>5280</v>
      </c>
      <c r="J1197" s="9" t="s">
        <v>5281</v>
      </c>
      <c r="O1197" s="10">
        <f>IFERROR(__xludf.DUMMYFUNCTION("VALUE(REGEXEXTRACT(A1197, ""\d+""))"),1402.0)</f>
        <v>1402</v>
      </c>
    </row>
    <row r="1198">
      <c r="A1198" s="9" t="s">
        <v>5282</v>
      </c>
      <c r="B1198" s="9" t="s">
        <v>5283</v>
      </c>
      <c r="D1198" s="9" t="s">
        <v>5284</v>
      </c>
      <c r="G1198" s="6" t="s">
        <v>5284</v>
      </c>
      <c r="J1198" s="9" t="s">
        <v>858</v>
      </c>
      <c r="O1198" s="10">
        <f>IFERROR(__xludf.DUMMYFUNCTION("VALUE(REGEXEXTRACT(A1198, ""\d+""))"),1403.0)</f>
        <v>1403</v>
      </c>
    </row>
    <row r="1199">
      <c r="A1199" s="9" t="s">
        <v>5285</v>
      </c>
      <c r="B1199" s="9" t="s">
        <v>5286</v>
      </c>
      <c r="D1199" s="9" t="s">
        <v>5287</v>
      </c>
      <c r="G1199" s="6" t="s">
        <v>5287</v>
      </c>
      <c r="J1199" s="9" t="s">
        <v>5288</v>
      </c>
      <c r="O1199" s="10">
        <f>IFERROR(__xludf.DUMMYFUNCTION("VALUE(REGEXEXTRACT(A1199, ""\d+""))"),1404.0)</f>
        <v>1404</v>
      </c>
    </row>
    <row r="1200">
      <c r="A1200" s="9" t="s">
        <v>5289</v>
      </c>
      <c r="B1200" s="9" t="s">
        <v>5290</v>
      </c>
      <c r="D1200" s="9" t="s">
        <v>5291</v>
      </c>
      <c r="G1200" s="6" t="s">
        <v>5291</v>
      </c>
      <c r="J1200" s="9" t="s">
        <v>5292</v>
      </c>
      <c r="O1200" s="10">
        <f>IFERROR(__xludf.DUMMYFUNCTION("VALUE(REGEXEXTRACT(A1200, ""\d+""))"),1405.0)</f>
        <v>1405</v>
      </c>
    </row>
    <row r="1201">
      <c r="A1201" s="9" t="s">
        <v>5293</v>
      </c>
      <c r="B1201" s="9" t="s">
        <v>5294</v>
      </c>
      <c r="D1201" s="9" t="s">
        <v>5295</v>
      </c>
      <c r="G1201" s="6" t="s">
        <v>5295</v>
      </c>
      <c r="J1201" s="9" t="s">
        <v>5296</v>
      </c>
      <c r="O1201" s="10">
        <f>IFERROR(__xludf.DUMMYFUNCTION("VALUE(REGEXEXTRACT(A1201, ""\d+""))"),1406.0)</f>
        <v>1406</v>
      </c>
    </row>
    <row r="1202">
      <c r="A1202" s="9" t="s">
        <v>5297</v>
      </c>
      <c r="B1202" s="9" t="s">
        <v>5298</v>
      </c>
      <c r="D1202" s="9" t="s">
        <v>5299</v>
      </c>
      <c r="G1202" s="6" t="s">
        <v>5299</v>
      </c>
      <c r="J1202" s="9" t="s">
        <v>5300</v>
      </c>
      <c r="O1202" s="10">
        <f>IFERROR(__xludf.DUMMYFUNCTION("VALUE(REGEXEXTRACT(A1202, ""\d+""))"),1407.0)</f>
        <v>1407</v>
      </c>
    </row>
    <row r="1203">
      <c r="A1203" s="9" t="s">
        <v>5301</v>
      </c>
      <c r="B1203" s="9" t="s">
        <v>5302</v>
      </c>
      <c r="D1203" s="9" t="s">
        <v>5303</v>
      </c>
      <c r="G1203" s="6" t="s">
        <v>5303</v>
      </c>
      <c r="J1203" s="9" t="s">
        <v>5304</v>
      </c>
      <c r="O1203" s="10">
        <f>IFERROR(__xludf.DUMMYFUNCTION("VALUE(REGEXEXTRACT(A1203, ""\d+""))"),1408.0)</f>
        <v>1408</v>
      </c>
    </row>
    <row r="1204">
      <c r="A1204" s="9" t="s">
        <v>5305</v>
      </c>
      <c r="B1204" s="9" t="s">
        <v>5306</v>
      </c>
      <c r="D1204" s="9" t="s">
        <v>5307</v>
      </c>
      <c r="G1204" s="6" t="s">
        <v>5307</v>
      </c>
      <c r="J1204" s="9" t="s">
        <v>5308</v>
      </c>
      <c r="O1204" s="10">
        <f>IFERROR(__xludf.DUMMYFUNCTION("VALUE(REGEXEXTRACT(A1204, ""\d+""))"),1409.0)</f>
        <v>1409</v>
      </c>
    </row>
    <row r="1205">
      <c r="A1205" s="9" t="s">
        <v>5309</v>
      </c>
      <c r="B1205" s="9" t="s">
        <v>5310</v>
      </c>
      <c r="D1205" s="9" t="s">
        <v>5311</v>
      </c>
      <c r="G1205" s="6" t="s">
        <v>5311</v>
      </c>
      <c r="J1205" s="9" t="s">
        <v>5312</v>
      </c>
      <c r="O1205" s="10">
        <f>IFERROR(__xludf.DUMMYFUNCTION("VALUE(REGEXEXTRACT(A1205, ""\d+""))"),1410.0)</f>
        <v>1410</v>
      </c>
    </row>
    <row r="1206">
      <c r="A1206" s="9" t="s">
        <v>5313</v>
      </c>
      <c r="B1206" s="9" t="s">
        <v>5314</v>
      </c>
      <c r="D1206" s="9" t="s">
        <v>5315</v>
      </c>
      <c r="G1206" s="6" t="s">
        <v>5315</v>
      </c>
      <c r="J1206" s="9" t="s">
        <v>5316</v>
      </c>
      <c r="O1206" s="10">
        <f>IFERROR(__xludf.DUMMYFUNCTION("VALUE(REGEXEXTRACT(A1206, ""\d+""))"),1411.0)</f>
        <v>1411</v>
      </c>
    </row>
    <row r="1207">
      <c r="A1207" s="9" t="s">
        <v>5317</v>
      </c>
      <c r="B1207" s="9" t="s">
        <v>5318</v>
      </c>
      <c r="D1207" s="9" t="s">
        <v>5319</v>
      </c>
      <c r="G1207" s="6" t="s">
        <v>5319</v>
      </c>
      <c r="J1207" s="9" t="s">
        <v>5320</v>
      </c>
      <c r="O1207" s="10">
        <f>IFERROR(__xludf.DUMMYFUNCTION("VALUE(REGEXEXTRACT(A1207, ""\d+""))"),1412.0)</f>
        <v>1412</v>
      </c>
    </row>
    <row r="1208">
      <c r="A1208" s="9" t="s">
        <v>5321</v>
      </c>
      <c r="B1208" s="9" t="s">
        <v>5322</v>
      </c>
      <c r="D1208" s="9" t="s">
        <v>5323</v>
      </c>
      <c r="G1208" s="6" t="s">
        <v>5323</v>
      </c>
      <c r="J1208" s="9" t="s">
        <v>908</v>
      </c>
      <c r="O1208" s="10">
        <f>IFERROR(__xludf.DUMMYFUNCTION("VALUE(REGEXEXTRACT(A1208, ""\d+""))"),1413.0)</f>
        <v>1413</v>
      </c>
    </row>
    <row r="1209">
      <c r="A1209" s="9" t="s">
        <v>5324</v>
      </c>
      <c r="B1209" s="9" t="s">
        <v>5325</v>
      </c>
      <c r="D1209" s="9" t="s">
        <v>5326</v>
      </c>
      <c r="G1209" s="6" t="s">
        <v>5326</v>
      </c>
      <c r="J1209" s="9" t="s">
        <v>5327</v>
      </c>
      <c r="O1209" s="10">
        <f>IFERROR(__xludf.DUMMYFUNCTION("VALUE(REGEXEXTRACT(A1209, ""\d+""))"),1414.0)</f>
        <v>1414</v>
      </c>
    </row>
    <row r="1210">
      <c r="A1210" s="9" t="s">
        <v>5328</v>
      </c>
      <c r="B1210" s="9" t="s">
        <v>5329</v>
      </c>
      <c r="D1210" s="9" t="s">
        <v>5330</v>
      </c>
      <c r="G1210" s="6" t="s">
        <v>5331</v>
      </c>
      <c r="J1210" s="9" t="s">
        <v>5332</v>
      </c>
      <c r="O1210" s="10">
        <f>IFERROR(__xludf.DUMMYFUNCTION("VALUE(REGEXEXTRACT(A1210, ""\d+""))"),1415.0)</f>
        <v>1415</v>
      </c>
    </row>
    <row r="1211">
      <c r="A1211" s="9" t="s">
        <v>5333</v>
      </c>
      <c r="B1211" s="9" t="s">
        <v>923</v>
      </c>
      <c r="D1211" s="9" t="s">
        <v>921</v>
      </c>
      <c r="G1211" s="6" t="s">
        <v>5334</v>
      </c>
      <c r="J1211" s="9" t="s">
        <v>923</v>
      </c>
      <c r="O1211" s="10">
        <f>IFERROR(__xludf.DUMMYFUNCTION("VALUE(REGEXEXTRACT(A1211, ""\d+""))"),1416.0)</f>
        <v>1416</v>
      </c>
    </row>
    <row r="1212">
      <c r="A1212" s="9" t="s">
        <v>5335</v>
      </c>
      <c r="B1212" s="9" t="s">
        <v>5336</v>
      </c>
      <c r="D1212" s="9" t="s">
        <v>5337</v>
      </c>
      <c r="G1212" s="6" t="s">
        <v>5338</v>
      </c>
      <c r="J1212" s="9" t="s">
        <v>5339</v>
      </c>
      <c r="O1212" s="10">
        <f>IFERROR(__xludf.DUMMYFUNCTION("VALUE(REGEXEXTRACT(A1212, ""\d+""))"),1417.0)</f>
        <v>1417</v>
      </c>
    </row>
    <row r="1213">
      <c r="A1213" s="9" t="s">
        <v>5340</v>
      </c>
      <c r="B1213" s="9" t="s">
        <v>5341</v>
      </c>
      <c r="D1213" s="9" t="s">
        <v>5342</v>
      </c>
      <c r="G1213" s="6" t="s">
        <v>5342</v>
      </c>
      <c r="J1213" s="9" t="s">
        <v>5343</v>
      </c>
      <c r="O1213" s="10">
        <f>IFERROR(__xludf.DUMMYFUNCTION("VALUE(REGEXEXTRACT(A1213, ""\d+""))"),1418.0)</f>
        <v>1418</v>
      </c>
    </row>
    <row r="1214">
      <c r="A1214" s="9" t="s">
        <v>5344</v>
      </c>
      <c r="B1214" s="9" t="s">
        <v>5345</v>
      </c>
      <c r="D1214" s="9" t="s">
        <v>5346</v>
      </c>
      <c r="G1214" s="6" t="s">
        <v>5346</v>
      </c>
      <c r="J1214" s="9" t="s">
        <v>5347</v>
      </c>
      <c r="O1214" s="10">
        <f>IFERROR(__xludf.DUMMYFUNCTION("VALUE(REGEXEXTRACT(A1214, ""\d+""))"),1420.0)</f>
        <v>1420</v>
      </c>
    </row>
    <row r="1215">
      <c r="A1215" s="9" t="s">
        <v>5348</v>
      </c>
      <c r="B1215" s="9" t="s">
        <v>5349</v>
      </c>
      <c r="G1215" s="6" t="s">
        <v>5350</v>
      </c>
      <c r="O1215" s="10">
        <f>IFERROR(__xludf.DUMMYFUNCTION("VALUE(REGEXEXTRACT(A1215, ""\d+""))"),1421.0)</f>
        <v>1421</v>
      </c>
    </row>
    <row r="1216">
      <c r="A1216" s="9" t="s">
        <v>5351</v>
      </c>
      <c r="B1216" s="9" t="s">
        <v>5352</v>
      </c>
      <c r="G1216" s="6" t="s">
        <v>5353</v>
      </c>
      <c r="O1216" s="10">
        <f>IFERROR(__xludf.DUMMYFUNCTION("VALUE(REGEXEXTRACT(A1216, ""\d+""))"),1422.0)</f>
        <v>1422</v>
      </c>
    </row>
    <row r="1217">
      <c r="A1217" s="9" t="s">
        <v>5354</v>
      </c>
      <c r="B1217" s="9" t="s">
        <v>5355</v>
      </c>
      <c r="D1217" s="9" t="s">
        <v>5356</v>
      </c>
      <c r="G1217" s="6" t="s">
        <v>5357</v>
      </c>
      <c r="J1217" s="9" t="s">
        <v>5358</v>
      </c>
      <c r="O1217" s="10">
        <f>IFERROR(__xludf.DUMMYFUNCTION("VALUE(REGEXEXTRACT(A1217, ""\d+""))"),1423.0)</f>
        <v>1423</v>
      </c>
    </row>
    <row r="1218">
      <c r="A1218" s="9" t="s">
        <v>5359</v>
      </c>
      <c r="B1218" s="9" t="s">
        <v>5360</v>
      </c>
      <c r="D1218" s="9" t="s">
        <v>5361</v>
      </c>
      <c r="G1218" s="6" t="s">
        <v>5361</v>
      </c>
      <c r="J1218" s="9" t="s">
        <v>5362</v>
      </c>
      <c r="O1218" s="10">
        <f>IFERROR(__xludf.DUMMYFUNCTION("VALUE(REGEXEXTRACT(A1218, ""\d+""))"),1424.0)</f>
        <v>1424</v>
      </c>
    </row>
    <row r="1219">
      <c r="A1219" s="9" t="s">
        <v>5363</v>
      </c>
      <c r="B1219" s="9" t="s">
        <v>5364</v>
      </c>
      <c r="D1219" s="9" t="s">
        <v>5365</v>
      </c>
      <c r="G1219" s="6" t="s">
        <v>5365</v>
      </c>
      <c r="J1219" s="9" t="s">
        <v>5366</v>
      </c>
      <c r="O1219" s="10">
        <f>IFERROR(__xludf.DUMMYFUNCTION("VALUE(REGEXEXTRACT(A1219, ""\d+""))"),1425.0)</f>
        <v>1425</v>
      </c>
    </row>
    <row r="1220">
      <c r="A1220" s="9" t="s">
        <v>5367</v>
      </c>
      <c r="B1220" s="9" t="s">
        <v>5368</v>
      </c>
      <c r="D1220" s="9" t="s">
        <v>5369</v>
      </c>
      <c r="G1220" s="6" t="s">
        <v>5369</v>
      </c>
      <c r="J1220" s="9" t="s">
        <v>5370</v>
      </c>
      <c r="O1220" s="10">
        <f>IFERROR(__xludf.DUMMYFUNCTION("VALUE(REGEXEXTRACT(A1220, ""\d+""))"),1426.0)</f>
        <v>1426</v>
      </c>
    </row>
    <row r="1221">
      <c r="A1221" s="9" t="s">
        <v>5371</v>
      </c>
      <c r="B1221" s="9" t="s">
        <v>5372</v>
      </c>
      <c r="D1221" s="9" t="s">
        <v>5373</v>
      </c>
      <c r="G1221" s="6" t="s">
        <v>5373</v>
      </c>
      <c r="J1221" s="9" t="s">
        <v>5374</v>
      </c>
      <c r="O1221" s="10">
        <f>IFERROR(__xludf.DUMMYFUNCTION("VALUE(REGEXEXTRACT(A1221, ""\d+""))"),1427.0)</f>
        <v>1427</v>
      </c>
    </row>
    <row r="1222">
      <c r="A1222" s="9" t="s">
        <v>5375</v>
      </c>
      <c r="B1222" s="9" t="s">
        <v>5376</v>
      </c>
      <c r="D1222" s="9" t="s">
        <v>5377</v>
      </c>
      <c r="G1222" s="6" t="s">
        <v>5377</v>
      </c>
      <c r="J1222" s="9" t="s">
        <v>5378</v>
      </c>
      <c r="O1222" s="10">
        <f>IFERROR(__xludf.DUMMYFUNCTION("VALUE(REGEXEXTRACT(A1222, ""\d+""))"),1428.0)</f>
        <v>1428</v>
      </c>
    </row>
    <row r="1223">
      <c r="A1223" s="9" t="s">
        <v>5379</v>
      </c>
      <c r="B1223" s="9" t="s">
        <v>5380</v>
      </c>
      <c r="D1223" s="9" t="s">
        <v>5381</v>
      </c>
      <c r="G1223" s="6" t="s">
        <v>5381</v>
      </c>
      <c r="J1223" s="9" t="s">
        <v>5382</v>
      </c>
      <c r="O1223" s="10">
        <f>IFERROR(__xludf.DUMMYFUNCTION("VALUE(REGEXEXTRACT(A1223, ""\d+""))"),1429.0)</f>
        <v>1429</v>
      </c>
    </row>
    <row r="1224">
      <c r="A1224" s="9" t="s">
        <v>5383</v>
      </c>
      <c r="B1224" s="9" t="s">
        <v>5384</v>
      </c>
      <c r="D1224" s="9" t="s">
        <v>5385</v>
      </c>
      <c r="G1224" s="6" t="s">
        <v>5385</v>
      </c>
      <c r="J1224" s="9" t="s">
        <v>5386</v>
      </c>
      <c r="O1224" s="10">
        <f>IFERROR(__xludf.DUMMYFUNCTION("VALUE(REGEXEXTRACT(A1224, ""\d+""))"),1435.0)</f>
        <v>1435</v>
      </c>
    </row>
    <row r="1225">
      <c r="A1225" s="9" t="s">
        <v>5387</v>
      </c>
      <c r="B1225" s="9" t="s">
        <v>5388</v>
      </c>
      <c r="D1225" s="9" t="s">
        <v>5389</v>
      </c>
      <c r="G1225" s="6" t="s">
        <v>5390</v>
      </c>
      <c r="J1225" s="9" t="s">
        <v>5391</v>
      </c>
      <c r="O1225" s="10">
        <f>IFERROR(__xludf.DUMMYFUNCTION("VALUE(REGEXEXTRACT(A1225, ""\d+""))"),1436.0)</f>
        <v>1436</v>
      </c>
    </row>
    <row r="1226">
      <c r="A1226" s="9" t="s">
        <v>5392</v>
      </c>
      <c r="B1226" s="9" t="s">
        <v>5393</v>
      </c>
      <c r="D1226" s="9" t="s">
        <v>5394</v>
      </c>
      <c r="G1226" s="6" t="s">
        <v>5395</v>
      </c>
      <c r="J1226" s="9" t="s">
        <v>5396</v>
      </c>
      <c r="O1226" s="10">
        <f>IFERROR(__xludf.DUMMYFUNCTION("VALUE(REGEXEXTRACT(A1226, ""\d+""))"),1437.0)</f>
        <v>1437</v>
      </c>
    </row>
    <row r="1227">
      <c r="A1227" s="9" t="s">
        <v>5397</v>
      </c>
      <c r="B1227" s="9" t="s">
        <v>5398</v>
      </c>
      <c r="D1227" s="9" t="s">
        <v>5399</v>
      </c>
      <c r="G1227" s="6" t="s">
        <v>5399</v>
      </c>
      <c r="J1227" s="9" t="s">
        <v>5400</v>
      </c>
      <c r="O1227" s="10">
        <f>IFERROR(__xludf.DUMMYFUNCTION("VALUE(REGEXEXTRACT(A1227, ""\d+""))"),1438.0)</f>
        <v>1438</v>
      </c>
    </row>
    <row r="1228">
      <c r="A1228" s="9" t="s">
        <v>5401</v>
      </c>
      <c r="B1228" s="9" t="s">
        <v>5402</v>
      </c>
      <c r="D1228" s="9" t="s">
        <v>5403</v>
      </c>
      <c r="G1228" s="6" t="s">
        <v>5404</v>
      </c>
      <c r="J1228" s="9" t="s">
        <v>5405</v>
      </c>
      <c r="O1228" s="10">
        <f>IFERROR(__xludf.DUMMYFUNCTION("VALUE(REGEXEXTRACT(A1228, ""\d+""))"),1440.0)</f>
        <v>1440</v>
      </c>
    </row>
    <row r="1229">
      <c r="A1229" s="9" t="s">
        <v>5406</v>
      </c>
      <c r="B1229" s="9" t="s">
        <v>5407</v>
      </c>
      <c r="D1229" s="9" t="s">
        <v>5408</v>
      </c>
      <c r="G1229" s="6" t="s">
        <v>5409</v>
      </c>
      <c r="J1229" s="9" t="s">
        <v>5410</v>
      </c>
      <c r="O1229" s="10">
        <f>IFERROR(__xludf.DUMMYFUNCTION("VALUE(REGEXEXTRACT(A1229, ""\d+""))"),1441.0)</f>
        <v>1441</v>
      </c>
    </row>
    <row r="1230">
      <c r="A1230" s="9" t="s">
        <v>5411</v>
      </c>
      <c r="B1230" s="9" t="s">
        <v>5412</v>
      </c>
      <c r="D1230" s="9" t="s">
        <v>5413</v>
      </c>
      <c r="G1230" s="6" t="s">
        <v>5414</v>
      </c>
      <c r="J1230" s="9" t="s">
        <v>5415</v>
      </c>
      <c r="O1230" s="10">
        <f>IFERROR(__xludf.DUMMYFUNCTION("VALUE(REGEXEXTRACT(A1230, ""\d+""))"),1442.0)</f>
        <v>1442</v>
      </c>
    </row>
    <row r="1231">
      <c r="A1231" s="9" t="s">
        <v>5416</v>
      </c>
      <c r="B1231" s="9" t="s">
        <v>5417</v>
      </c>
      <c r="D1231" s="9" t="s">
        <v>5418</v>
      </c>
      <c r="G1231" s="6" t="s">
        <v>5419</v>
      </c>
      <c r="J1231" s="9" t="s">
        <v>5420</v>
      </c>
      <c r="O1231" s="10">
        <f>IFERROR(__xludf.DUMMYFUNCTION("VALUE(REGEXEXTRACT(A1231, ""\d+""))"),1443.0)</f>
        <v>1443</v>
      </c>
    </row>
    <row r="1232">
      <c r="A1232" s="9" t="s">
        <v>5421</v>
      </c>
      <c r="B1232" s="9" t="s">
        <v>5422</v>
      </c>
      <c r="D1232" s="9" t="s">
        <v>5423</v>
      </c>
      <c r="G1232" s="6" t="s">
        <v>5424</v>
      </c>
      <c r="J1232" s="9" t="s">
        <v>5425</v>
      </c>
      <c r="O1232" s="10">
        <f>IFERROR(__xludf.DUMMYFUNCTION("VALUE(REGEXEXTRACT(A1232, ""\d+""))"),1444.0)</f>
        <v>1444</v>
      </c>
    </row>
    <row r="1233">
      <c r="A1233" s="9" t="s">
        <v>5426</v>
      </c>
      <c r="B1233" s="9" t="s">
        <v>5427</v>
      </c>
      <c r="D1233" s="9" t="s">
        <v>5428</v>
      </c>
      <c r="G1233" s="6" t="s">
        <v>5429</v>
      </c>
      <c r="J1233" s="9" t="s">
        <v>5430</v>
      </c>
      <c r="O1233" s="10">
        <f>IFERROR(__xludf.DUMMYFUNCTION("VALUE(REGEXEXTRACT(A1233, ""\d+""))"),1445.0)</f>
        <v>1445</v>
      </c>
    </row>
    <row r="1234">
      <c r="A1234" s="9" t="s">
        <v>5431</v>
      </c>
      <c r="B1234" s="9" t="s">
        <v>5432</v>
      </c>
      <c r="D1234" s="9" t="s">
        <v>5433</v>
      </c>
      <c r="G1234" s="6" t="s">
        <v>5434</v>
      </c>
      <c r="J1234" s="9" t="s">
        <v>5435</v>
      </c>
      <c r="O1234" s="10">
        <f>IFERROR(__xludf.DUMMYFUNCTION("VALUE(REGEXEXTRACT(A1234, ""\d+""))"),1446.0)</f>
        <v>1446</v>
      </c>
    </row>
    <row r="1235">
      <c r="A1235" s="9" t="s">
        <v>5436</v>
      </c>
      <c r="B1235" s="9" t="s">
        <v>5437</v>
      </c>
      <c r="D1235" s="9" t="s">
        <v>5438</v>
      </c>
      <c r="G1235" s="6" t="s">
        <v>5439</v>
      </c>
      <c r="J1235" s="9" t="s">
        <v>5440</v>
      </c>
      <c r="O1235" s="10">
        <f>IFERROR(__xludf.DUMMYFUNCTION("VALUE(REGEXEXTRACT(A1235, ""\d+""))"),1447.0)</f>
        <v>1447</v>
      </c>
    </row>
    <row r="1236">
      <c r="A1236" s="9" t="s">
        <v>5441</v>
      </c>
      <c r="B1236" s="9" t="s">
        <v>5442</v>
      </c>
      <c r="D1236" s="9" t="s">
        <v>5443</v>
      </c>
      <c r="G1236" s="6" t="s">
        <v>5444</v>
      </c>
      <c r="J1236" s="9" t="s">
        <v>5445</v>
      </c>
      <c r="O1236" s="10">
        <f>IFERROR(__xludf.DUMMYFUNCTION("VALUE(REGEXEXTRACT(A1236, ""\d+""))"),1448.0)</f>
        <v>1448</v>
      </c>
    </row>
    <row r="1237">
      <c r="A1237" s="9" t="s">
        <v>5446</v>
      </c>
      <c r="B1237" s="9" t="s">
        <v>5447</v>
      </c>
      <c r="D1237" s="9" t="s">
        <v>5448</v>
      </c>
      <c r="G1237" s="6" t="s">
        <v>5449</v>
      </c>
      <c r="J1237" s="9" t="s">
        <v>5450</v>
      </c>
      <c r="O1237" s="10">
        <f>IFERROR(__xludf.DUMMYFUNCTION("VALUE(REGEXEXTRACT(A1237, ""\d+""))"),1450.0)</f>
        <v>1450</v>
      </c>
    </row>
    <row r="1238">
      <c r="A1238" s="9" t="s">
        <v>5451</v>
      </c>
      <c r="B1238" s="9" t="s">
        <v>5452</v>
      </c>
      <c r="D1238" s="9" t="s">
        <v>5453</v>
      </c>
      <c r="G1238" s="6" t="s">
        <v>5454</v>
      </c>
      <c r="J1238" s="9" t="s">
        <v>5455</v>
      </c>
      <c r="O1238" s="10">
        <f>IFERROR(__xludf.DUMMYFUNCTION("VALUE(REGEXEXTRACT(A1238, ""\d+""))"),1454.0)</f>
        <v>1454</v>
      </c>
    </row>
    <row r="1239">
      <c r="A1239" s="9" t="s">
        <v>5456</v>
      </c>
      <c r="B1239" s="9" t="s">
        <v>5457</v>
      </c>
      <c r="D1239" s="9" t="s">
        <v>1057</v>
      </c>
      <c r="G1239" s="6" t="s">
        <v>5458</v>
      </c>
      <c r="J1239" s="9" t="s">
        <v>1059</v>
      </c>
      <c r="O1239" s="10">
        <f>IFERROR(__xludf.DUMMYFUNCTION("VALUE(REGEXEXTRACT(A1239, ""\d+""))"),1458.0)</f>
        <v>1458</v>
      </c>
    </row>
    <row r="1240">
      <c r="A1240" s="9" t="s">
        <v>5459</v>
      </c>
      <c r="B1240" s="9" t="s">
        <v>5460</v>
      </c>
      <c r="D1240" s="9" t="s">
        <v>5461</v>
      </c>
      <c r="G1240" s="6" t="s">
        <v>5462</v>
      </c>
      <c r="J1240" s="9" t="s">
        <v>5463</v>
      </c>
      <c r="O1240" s="10">
        <f>IFERROR(__xludf.DUMMYFUNCTION("VALUE(REGEXEXTRACT(A1240, ""\d+""))"),1459.0)</f>
        <v>1459</v>
      </c>
    </row>
    <row r="1241">
      <c r="A1241" s="9" t="s">
        <v>5464</v>
      </c>
      <c r="B1241" s="9" t="s">
        <v>5465</v>
      </c>
      <c r="D1241" s="9" t="s">
        <v>5466</v>
      </c>
      <c r="G1241" s="6" t="s">
        <v>5467</v>
      </c>
      <c r="J1241" s="9" t="s">
        <v>5468</v>
      </c>
      <c r="O1241" s="10">
        <f>IFERROR(__xludf.DUMMYFUNCTION("VALUE(REGEXEXTRACT(A1241, ""\d+""))"),1461.0)</f>
        <v>1461</v>
      </c>
    </row>
    <row r="1242">
      <c r="A1242" s="9" t="s">
        <v>5469</v>
      </c>
      <c r="B1242" s="9" t="s">
        <v>5470</v>
      </c>
      <c r="D1242" s="9" t="s">
        <v>5471</v>
      </c>
      <c r="G1242" s="6" t="s">
        <v>5472</v>
      </c>
      <c r="J1242" s="9" t="s">
        <v>5473</v>
      </c>
      <c r="O1242" s="10">
        <f>IFERROR(__xludf.DUMMYFUNCTION("VALUE(REGEXEXTRACT(A1242, ""\d+""))"),1462.0)</f>
        <v>1462</v>
      </c>
    </row>
    <row r="1243">
      <c r="A1243" s="9" t="s">
        <v>5474</v>
      </c>
      <c r="B1243" s="9" t="s">
        <v>5475</v>
      </c>
      <c r="D1243" s="9" t="s">
        <v>5476</v>
      </c>
      <c r="G1243" s="6" t="s">
        <v>5476</v>
      </c>
      <c r="J1243" s="9" t="s">
        <v>5477</v>
      </c>
      <c r="O1243" s="10">
        <f>IFERROR(__xludf.DUMMYFUNCTION("VALUE(REGEXEXTRACT(A1243, ""\d+""))"),1463.0)</f>
        <v>1463</v>
      </c>
    </row>
    <row r="1244">
      <c r="A1244" s="9" t="s">
        <v>5478</v>
      </c>
      <c r="B1244" s="9" t="s">
        <v>5479</v>
      </c>
      <c r="D1244" s="9" t="s">
        <v>5480</v>
      </c>
      <c r="G1244" s="6" t="s">
        <v>5480</v>
      </c>
      <c r="J1244" s="9" t="s">
        <v>5481</v>
      </c>
      <c r="O1244" s="10">
        <f>IFERROR(__xludf.DUMMYFUNCTION("VALUE(REGEXEXTRACT(A1244, ""\d+""))"),1464.0)</f>
        <v>1464</v>
      </c>
    </row>
    <row r="1245">
      <c r="A1245" s="9" t="s">
        <v>5482</v>
      </c>
      <c r="B1245" s="9" t="s">
        <v>5483</v>
      </c>
      <c r="D1245" s="9" t="s">
        <v>5484</v>
      </c>
      <c r="G1245" s="6" t="s">
        <v>5485</v>
      </c>
      <c r="J1245" s="9" t="s">
        <v>5486</v>
      </c>
      <c r="O1245" s="10">
        <f>IFERROR(__xludf.DUMMYFUNCTION("VALUE(REGEXEXTRACT(A1245, ""\d+""))"),1465.0)</f>
        <v>1465</v>
      </c>
    </row>
    <row r="1246">
      <c r="A1246" s="9" t="s">
        <v>5487</v>
      </c>
      <c r="B1246" s="9" t="s">
        <v>5488</v>
      </c>
      <c r="D1246" s="9" t="s">
        <v>5489</v>
      </c>
      <c r="G1246" s="6" t="s">
        <v>5489</v>
      </c>
      <c r="J1246" s="9" t="s">
        <v>5490</v>
      </c>
      <c r="O1246" s="10">
        <f>IFERROR(__xludf.DUMMYFUNCTION("VALUE(REGEXEXTRACT(A1246, ""\d+""))"),1466.0)</f>
        <v>1466</v>
      </c>
    </row>
    <row r="1247">
      <c r="A1247" s="9" t="s">
        <v>5491</v>
      </c>
      <c r="B1247" s="9" t="s">
        <v>5492</v>
      </c>
      <c r="D1247" s="9" t="s">
        <v>5493</v>
      </c>
      <c r="G1247" s="6" t="s">
        <v>5494</v>
      </c>
      <c r="J1247" s="9" t="s">
        <v>5495</v>
      </c>
      <c r="O1247" s="10">
        <f>IFERROR(__xludf.DUMMYFUNCTION("VALUE(REGEXEXTRACT(A1247, ""\d+""))"),1467.0)</f>
        <v>1467</v>
      </c>
    </row>
    <row r="1248">
      <c r="A1248" s="9" t="s">
        <v>5496</v>
      </c>
      <c r="B1248" s="9" t="s">
        <v>5497</v>
      </c>
      <c r="D1248" s="9" t="s">
        <v>5498</v>
      </c>
      <c r="G1248" s="6" t="s">
        <v>5498</v>
      </c>
      <c r="J1248" s="9" t="s">
        <v>5499</v>
      </c>
      <c r="O1248" s="10">
        <f>IFERROR(__xludf.DUMMYFUNCTION("VALUE(REGEXEXTRACT(A1248, ""\d+""))"),1468.0)</f>
        <v>1468</v>
      </c>
    </row>
    <row r="1249">
      <c r="A1249" s="9" t="s">
        <v>5500</v>
      </c>
      <c r="B1249" s="9" t="s">
        <v>5501</v>
      </c>
      <c r="D1249" s="9" t="s">
        <v>5502</v>
      </c>
      <c r="G1249" s="6" t="s">
        <v>5502</v>
      </c>
      <c r="J1249" s="9" t="s">
        <v>5503</v>
      </c>
      <c r="O1249" s="10">
        <f>IFERROR(__xludf.DUMMYFUNCTION("VALUE(REGEXEXTRACT(A1249, ""\d+""))"),1469.0)</f>
        <v>1469</v>
      </c>
    </row>
    <row r="1250">
      <c r="A1250" s="9" t="s">
        <v>5504</v>
      </c>
      <c r="B1250" s="9" t="s">
        <v>5505</v>
      </c>
      <c r="D1250" s="9" t="s">
        <v>5506</v>
      </c>
      <c r="G1250" s="6" t="s">
        <v>5506</v>
      </c>
      <c r="J1250" s="9" t="s">
        <v>1103</v>
      </c>
      <c r="O1250" s="10">
        <f>IFERROR(__xludf.DUMMYFUNCTION("VALUE(REGEXEXTRACT(A1250, ""\d+""))"),1470.0)</f>
        <v>1470</v>
      </c>
    </row>
    <row r="1251">
      <c r="A1251" s="9" t="s">
        <v>5507</v>
      </c>
      <c r="B1251" s="9" t="s">
        <v>5508</v>
      </c>
      <c r="D1251" s="9" t="s">
        <v>5509</v>
      </c>
      <c r="G1251" s="6" t="s">
        <v>5509</v>
      </c>
      <c r="J1251" s="9" t="s">
        <v>5510</v>
      </c>
      <c r="O1251" s="10">
        <f>IFERROR(__xludf.DUMMYFUNCTION("VALUE(REGEXEXTRACT(A1251, ""\d+""))"),1471.0)</f>
        <v>1471</v>
      </c>
    </row>
    <row r="1252">
      <c r="A1252" s="9" t="s">
        <v>5511</v>
      </c>
      <c r="B1252" s="9" t="s">
        <v>5512</v>
      </c>
      <c r="D1252" s="9" t="s">
        <v>5513</v>
      </c>
      <c r="G1252" s="6" t="s">
        <v>5513</v>
      </c>
      <c r="J1252" s="9" t="s">
        <v>5514</v>
      </c>
      <c r="O1252" s="10">
        <f>IFERROR(__xludf.DUMMYFUNCTION("VALUE(REGEXEXTRACT(A1252, ""\d+""))"),1473.0)</f>
        <v>1473</v>
      </c>
    </row>
    <row r="1253">
      <c r="A1253" s="9" t="s">
        <v>5515</v>
      </c>
      <c r="B1253" s="9" t="s">
        <v>5516</v>
      </c>
      <c r="D1253" s="9" t="s">
        <v>5517</v>
      </c>
      <c r="G1253" s="6" t="s">
        <v>5517</v>
      </c>
      <c r="J1253" s="9" t="s">
        <v>5518</v>
      </c>
      <c r="O1253" s="10">
        <f>IFERROR(__xludf.DUMMYFUNCTION("VALUE(REGEXEXTRACT(A1253, ""\d+""))"),1474.0)</f>
        <v>1474</v>
      </c>
    </row>
    <row r="1254">
      <c r="A1254" s="9" t="s">
        <v>5519</v>
      </c>
      <c r="B1254" s="9" t="s">
        <v>5520</v>
      </c>
      <c r="D1254" s="9" t="s">
        <v>5521</v>
      </c>
      <c r="G1254" s="6" t="s">
        <v>5522</v>
      </c>
      <c r="J1254" s="9" t="s">
        <v>5523</v>
      </c>
      <c r="O1254" s="10">
        <f>IFERROR(__xludf.DUMMYFUNCTION("VALUE(REGEXEXTRACT(A1254, ""\d+""))"),1476.0)</f>
        <v>1476</v>
      </c>
    </row>
    <row r="1255">
      <c r="A1255" s="9" t="s">
        <v>5524</v>
      </c>
      <c r="B1255" s="9" t="s">
        <v>5525</v>
      </c>
      <c r="D1255" s="9" t="s">
        <v>5526</v>
      </c>
      <c r="G1255" s="6" t="s">
        <v>5526</v>
      </c>
      <c r="J1255" s="9" t="s">
        <v>5527</v>
      </c>
      <c r="O1255" s="10">
        <f>IFERROR(__xludf.DUMMYFUNCTION("VALUE(REGEXEXTRACT(A1255, ""\d+""))"),1478.0)</f>
        <v>1478</v>
      </c>
    </row>
    <row r="1256">
      <c r="A1256" s="9" t="s">
        <v>5528</v>
      </c>
      <c r="B1256" s="9" t="s">
        <v>5529</v>
      </c>
      <c r="D1256" s="9" t="s">
        <v>5530</v>
      </c>
      <c r="G1256" s="6" t="s">
        <v>5531</v>
      </c>
      <c r="J1256" s="9" t="s">
        <v>5532</v>
      </c>
      <c r="O1256" s="10">
        <f>IFERROR(__xludf.DUMMYFUNCTION("VALUE(REGEXEXTRACT(A1256, ""\d+""))"),1479.0)</f>
        <v>1479</v>
      </c>
    </row>
    <row r="1257">
      <c r="A1257" s="9" t="s">
        <v>5533</v>
      </c>
      <c r="B1257" s="9" t="s">
        <v>5534</v>
      </c>
      <c r="D1257" s="9" t="s">
        <v>5535</v>
      </c>
      <c r="G1257" s="6" t="s">
        <v>5536</v>
      </c>
      <c r="J1257" s="9" t="s">
        <v>5537</v>
      </c>
      <c r="O1257" s="10">
        <f>IFERROR(__xludf.DUMMYFUNCTION("VALUE(REGEXEXTRACT(A1257, ""\d+""))"),1480.0)</f>
        <v>1480</v>
      </c>
    </row>
    <row r="1258">
      <c r="A1258" s="9" t="s">
        <v>5538</v>
      </c>
      <c r="B1258" s="9" t="s">
        <v>5539</v>
      </c>
      <c r="D1258" s="9" t="s">
        <v>5540</v>
      </c>
      <c r="G1258" s="6" t="s">
        <v>5540</v>
      </c>
      <c r="J1258" s="9" t="s">
        <v>5541</v>
      </c>
      <c r="O1258" s="10">
        <f>IFERROR(__xludf.DUMMYFUNCTION("VALUE(REGEXEXTRACT(A1258, ""\d+""))"),1481.0)</f>
        <v>1481</v>
      </c>
    </row>
    <row r="1259">
      <c r="A1259" s="9" t="s">
        <v>5542</v>
      </c>
      <c r="B1259" s="9" t="s">
        <v>5543</v>
      </c>
      <c r="D1259" s="9" t="s">
        <v>5544</v>
      </c>
      <c r="G1259" s="6" t="s">
        <v>5545</v>
      </c>
      <c r="J1259" s="9" t="s">
        <v>5546</v>
      </c>
      <c r="O1259" s="10">
        <f>IFERROR(__xludf.DUMMYFUNCTION("VALUE(REGEXEXTRACT(A1259, ""\d+""))"),1483.0)</f>
        <v>1483</v>
      </c>
    </row>
    <row r="1260">
      <c r="A1260" s="9" t="s">
        <v>5547</v>
      </c>
      <c r="B1260" s="9" t="s">
        <v>5548</v>
      </c>
      <c r="D1260" s="9" t="s">
        <v>1158</v>
      </c>
      <c r="G1260" s="6" t="s">
        <v>5549</v>
      </c>
      <c r="J1260" s="9" t="s">
        <v>1160</v>
      </c>
      <c r="O1260" s="10">
        <f>IFERROR(__xludf.DUMMYFUNCTION("VALUE(REGEXEXTRACT(A1260, ""\d+""))"),1484.0)</f>
        <v>1484</v>
      </c>
    </row>
    <row r="1261">
      <c r="A1261" s="9" t="s">
        <v>5550</v>
      </c>
      <c r="B1261" s="9" t="s">
        <v>5551</v>
      </c>
      <c r="D1261" s="9" t="s">
        <v>1163</v>
      </c>
      <c r="G1261" s="6" t="s">
        <v>5552</v>
      </c>
      <c r="J1261" s="9" t="s">
        <v>1165</v>
      </c>
      <c r="O1261" s="10">
        <f>IFERROR(__xludf.DUMMYFUNCTION("VALUE(REGEXEXTRACT(A1261, ""\d+""))"),1485.0)</f>
        <v>1485</v>
      </c>
    </row>
    <row r="1262">
      <c r="A1262" s="9" t="s">
        <v>5553</v>
      </c>
      <c r="B1262" s="9" t="s">
        <v>5554</v>
      </c>
      <c r="D1262" s="9" t="s">
        <v>1168</v>
      </c>
      <c r="G1262" s="6" t="s">
        <v>5555</v>
      </c>
      <c r="J1262" s="9" t="s">
        <v>1170</v>
      </c>
      <c r="O1262" s="10">
        <f>IFERROR(__xludf.DUMMYFUNCTION("VALUE(REGEXEXTRACT(A1262, ""\d+""))"),1486.0)</f>
        <v>1486</v>
      </c>
    </row>
    <row r="1263">
      <c r="A1263" s="9" t="s">
        <v>5556</v>
      </c>
      <c r="B1263" s="9" t="s">
        <v>5557</v>
      </c>
      <c r="D1263" s="9" t="s">
        <v>5558</v>
      </c>
      <c r="G1263" s="6" t="s">
        <v>5559</v>
      </c>
      <c r="J1263" s="9" t="s">
        <v>5560</v>
      </c>
      <c r="O1263" s="10">
        <f>IFERROR(__xludf.DUMMYFUNCTION("VALUE(REGEXEXTRACT(A1263, ""\d+""))"),1487.0)</f>
        <v>1487</v>
      </c>
    </row>
    <row r="1264">
      <c r="A1264" s="9" t="s">
        <v>5561</v>
      </c>
      <c r="B1264" s="9" t="s">
        <v>5562</v>
      </c>
      <c r="D1264" s="9" t="s">
        <v>5563</v>
      </c>
      <c r="G1264" s="6" t="s">
        <v>5564</v>
      </c>
      <c r="J1264" s="9" t="s">
        <v>5565</v>
      </c>
      <c r="O1264" s="10">
        <f>IFERROR(__xludf.DUMMYFUNCTION("VALUE(REGEXEXTRACT(A1264, ""\d+""))"),1488.0)</f>
        <v>1488</v>
      </c>
    </row>
    <row r="1265">
      <c r="A1265" s="9" t="s">
        <v>5566</v>
      </c>
      <c r="B1265" s="9" t="s">
        <v>5567</v>
      </c>
      <c r="D1265" s="9" t="s">
        <v>5568</v>
      </c>
      <c r="G1265" s="6" t="s">
        <v>5568</v>
      </c>
      <c r="J1265" s="9" t="s">
        <v>5569</v>
      </c>
      <c r="O1265" s="10">
        <f>IFERROR(__xludf.DUMMYFUNCTION("VALUE(REGEXEXTRACT(A1265, ""\d+""))"),1489.0)</f>
        <v>1489</v>
      </c>
    </row>
    <row r="1266">
      <c r="A1266" s="9" t="s">
        <v>5570</v>
      </c>
      <c r="B1266" s="9" t="s">
        <v>5571</v>
      </c>
      <c r="D1266" s="9" t="s">
        <v>5572</v>
      </c>
      <c r="G1266" s="6" t="s">
        <v>5572</v>
      </c>
      <c r="J1266" s="9" t="s">
        <v>5573</v>
      </c>
      <c r="O1266" s="10">
        <f>IFERROR(__xludf.DUMMYFUNCTION("VALUE(REGEXEXTRACT(A1266, ""\d+""))"),1491.0)</f>
        <v>1491</v>
      </c>
    </row>
    <row r="1267">
      <c r="A1267" s="9" t="s">
        <v>5574</v>
      </c>
      <c r="B1267" s="9" t="s">
        <v>5575</v>
      </c>
      <c r="D1267" s="9" t="s">
        <v>5576</v>
      </c>
      <c r="G1267" s="6" t="s">
        <v>5577</v>
      </c>
      <c r="J1267" s="9" t="s">
        <v>5578</v>
      </c>
      <c r="O1267" s="10">
        <f>IFERROR(__xludf.DUMMYFUNCTION("VALUE(REGEXEXTRACT(A1267, ""\d+""))"),1492.0)</f>
        <v>1492</v>
      </c>
    </row>
    <row r="1268">
      <c r="A1268" s="9" t="s">
        <v>5579</v>
      </c>
      <c r="B1268" s="9" t="s">
        <v>5580</v>
      </c>
      <c r="D1268" s="9" t="s">
        <v>5581</v>
      </c>
      <c r="G1268" s="6" t="s">
        <v>5581</v>
      </c>
      <c r="J1268" s="9" t="s">
        <v>5582</v>
      </c>
      <c r="O1268" s="10">
        <f>IFERROR(__xludf.DUMMYFUNCTION("VALUE(REGEXEXTRACT(A1268, ""\d+""))"),1493.0)</f>
        <v>1493</v>
      </c>
    </row>
    <row r="1269">
      <c r="A1269" s="9" t="s">
        <v>5583</v>
      </c>
      <c r="B1269" s="9" t="s">
        <v>5584</v>
      </c>
      <c r="D1269" s="9" t="s">
        <v>5585</v>
      </c>
      <c r="G1269" s="6" t="s">
        <v>5585</v>
      </c>
      <c r="J1269" s="9" t="s">
        <v>5586</v>
      </c>
      <c r="O1269" s="10">
        <f>IFERROR(__xludf.DUMMYFUNCTION("VALUE(REGEXEXTRACT(A1269, ""\d+""))"),1510.0)</f>
        <v>1510</v>
      </c>
    </row>
    <row r="1270">
      <c r="A1270" s="9" t="s">
        <v>5587</v>
      </c>
      <c r="B1270" s="9" t="s">
        <v>5588</v>
      </c>
      <c r="D1270" s="9" t="s">
        <v>5589</v>
      </c>
      <c r="G1270" s="6" t="s">
        <v>5590</v>
      </c>
      <c r="J1270" s="9" t="s">
        <v>5591</v>
      </c>
      <c r="O1270" s="10">
        <f>IFERROR(__xludf.DUMMYFUNCTION("VALUE(REGEXEXTRACT(A1270, ""\d+""))"),1511.0)</f>
        <v>1511</v>
      </c>
    </row>
    <row r="1271">
      <c r="A1271" s="9" t="s">
        <v>5592</v>
      </c>
      <c r="B1271" s="9" t="s">
        <v>5593</v>
      </c>
      <c r="D1271" s="9" t="s">
        <v>5594</v>
      </c>
      <c r="G1271" s="6" t="s">
        <v>5595</v>
      </c>
      <c r="J1271" s="9" t="s">
        <v>5596</v>
      </c>
      <c r="O1271" s="10">
        <f>IFERROR(__xludf.DUMMYFUNCTION("VALUE(REGEXEXTRACT(A1271, ""\d+""))"),1512.0)</f>
        <v>1512</v>
      </c>
    </row>
    <row r="1272">
      <c r="A1272" s="9" t="s">
        <v>5597</v>
      </c>
      <c r="B1272" s="9" t="s">
        <v>5598</v>
      </c>
      <c r="D1272" s="9" t="s">
        <v>5599</v>
      </c>
      <c r="G1272" s="6" t="s">
        <v>5600</v>
      </c>
      <c r="J1272" s="9" t="s">
        <v>5601</v>
      </c>
      <c r="O1272" s="10">
        <f>IFERROR(__xludf.DUMMYFUNCTION("VALUE(REGEXEXTRACT(A1272, ""\d+""))"),1513.0)</f>
        <v>1513</v>
      </c>
    </row>
    <row r="1273">
      <c r="A1273" s="9" t="s">
        <v>5602</v>
      </c>
      <c r="B1273" s="9" t="s">
        <v>5603</v>
      </c>
      <c r="D1273" s="9" t="s">
        <v>5604</v>
      </c>
      <c r="G1273" s="6" t="s">
        <v>5605</v>
      </c>
      <c r="J1273" s="9" t="s">
        <v>5606</v>
      </c>
      <c r="O1273" s="10">
        <f>IFERROR(__xludf.DUMMYFUNCTION("VALUE(REGEXEXTRACT(A1273, ""\d+""))"),1514.0)</f>
        <v>1514</v>
      </c>
    </row>
    <row r="1274">
      <c r="A1274" s="9" t="s">
        <v>5607</v>
      </c>
      <c r="B1274" s="9" t="s">
        <v>5608</v>
      </c>
      <c r="D1274" s="9" t="s">
        <v>5609</v>
      </c>
      <c r="G1274" s="6" t="s">
        <v>5610</v>
      </c>
      <c r="J1274" s="9" t="s">
        <v>5611</v>
      </c>
      <c r="O1274" s="10">
        <f>IFERROR(__xludf.DUMMYFUNCTION("VALUE(REGEXEXTRACT(A1274, ""\d+""))"),1515.0)</f>
        <v>1515</v>
      </c>
    </row>
    <row r="1275">
      <c r="A1275" s="9" t="s">
        <v>5612</v>
      </c>
      <c r="B1275" s="9" t="s">
        <v>5613</v>
      </c>
      <c r="D1275" s="9" t="s">
        <v>5614</v>
      </c>
      <c r="G1275" s="6" t="s">
        <v>5615</v>
      </c>
      <c r="J1275" s="9" t="s">
        <v>5616</v>
      </c>
      <c r="O1275" s="10">
        <f>IFERROR(__xludf.DUMMYFUNCTION("VALUE(REGEXEXTRACT(A1275, ""\d+""))"),1521.0)</f>
        <v>1521</v>
      </c>
    </row>
    <row r="1276">
      <c r="A1276" s="9" t="s">
        <v>5617</v>
      </c>
      <c r="B1276" s="9" t="s">
        <v>5618</v>
      </c>
      <c r="D1276" s="9" t="s">
        <v>5619</v>
      </c>
      <c r="G1276" s="6" t="s">
        <v>5620</v>
      </c>
      <c r="J1276" s="9" t="s">
        <v>5621</v>
      </c>
      <c r="O1276" s="10">
        <f>IFERROR(__xludf.DUMMYFUNCTION("VALUE(REGEXEXTRACT(A1276, ""\d+""))"),1522.0)</f>
        <v>1522</v>
      </c>
    </row>
    <row r="1277">
      <c r="A1277" s="9" t="s">
        <v>5622</v>
      </c>
      <c r="B1277" s="9" t="s">
        <v>5623</v>
      </c>
      <c r="D1277" s="9" t="s">
        <v>5624</v>
      </c>
      <c r="G1277" s="6" t="s">
        <v>5625</v>
      </c>
      <c r="J1277" s="9" t="s">
        <v>5626</v>
      </c>
      <c r="O1277" s="10">
        <f>IFERROR(__xludf.DUMMYFUNCTION("VALUE(REGEXEXTRACT(A1277, ""\d+""))"),1524.0)</f>
        <v>1524</v>
      </c>
    </row>
    <row r="1278">
      <c r="A1278" s="9" t="s">
        <v>5627</v>
      </c>
      <c r="B1278" s="9" t="s">
        <v>5628</v>
      </c>
      <c r="D1278" s="9" t="s">
        <v>5629</v>
      </c>
      <c r="G1278" s="6" t="s">
        <v>5630</v>
      </c>
      <c r="J1278" s="9" t="s">
        <v>5631</v>
      </c>
      <c r="O1278" s="10">
        <f>IFERROR(__xludf.DUMMYFUNCTION("VALUE(REGEXEXTRACT(A1278, ""\d+""))"),1525.0)</f>
        <v>1525</v>
      </c>
    </row>
    <row r="1279">
      <c r="A1279" s="9" t="s">
        <v>5632</v>
      </c>
      <c r="B1279" s="9" t="s">
        <v>5633</v>
      </c>
      <c r="D1279" s="9" t="s">
        <v>5634</v>
      </c>
      <c r="G1279" s="6" t="s">
        <v>5635</v>
      </c>
      <c r="J1279" s="9" t="s">
        <v>5636</v>
      </c>
      <c r="O1279" s="10">
        <f>IFERROR(__xludf.DUMMYFUNCTION("VALUE(REGEXEXTRACT(A1279, ""\d+""))"),1526.0)</f>
        <v>1526</v>
      </c>
    </row>
    <row r="1280">
      <c r="A1280" s="9" t="s">
        <v>5637</v>
      </c>
      <c r="B1280" s="9" t="s">
        <v>5638</v>
      </c>
      <c r="D1280" s="9" t="s">
        <v>5639</v>
      </c>
      <c r="G1280" s="6" t="s">
        <v>5640</v>
      </c>
      <c r="J1280" s="9" t="s">
        <v>5641</v>
      </c>
      <c r="O1280" s="10">
        <f>IFERROR(__xludf.DUMMYFUNCTION("VALUE(REGEXEXTRACT(A1280, ""\d+""))"),1527.0)</f>
        <v>1527</v>
      </c>
    </row>
    <row r="1281">
      <c r="A1281" s="9" t="s">
        <v>5642</v>
      </c>
      <c r="B1281" s="9" t="s">
        <v>5643</v>
      </c>
      <c r="D1281" s="9" t="s">
        <v>5644</v>
      </c>
      <c r="G1281" s="6" t="s">
        <v>5645</v>
      </c>
      <c r="J1281" s="9" t="s">
        <v>5646</v>
      </c>
      <c r="O1281" s="10">
        <f>IFERROR(__xludf.DUMMYFUNCTION("VALUE(REGEXEXTRACT(A1281, ""\d+""))"),1528.0)</f>
        <v>1528</v>
      </c>
    </row>
    <row r="1282">
      <c r="A1282" s="9" t="s">
        <v>5647</v>
      </c>
      <c r="B1282" s="9" t="s">
        <v>5648</v>
      </c>
      <c r="D1282" s="9" t="s">
        <v>5649</v>
      </c>
      <c r="G1282" s="6" t="s">
        <v>5650</v>
      </c>
      <c r="J1282" s="9" t="s">
        <v>5651</v>
      </c>
      <c r="O1282" s="10">
        <f>IFERROR(__xludf.DUMMYFUNCTION("VALUE(REGEXEXTRACT(A1282, ""\d+""))"),1529.0)</f>
        <v>1529</v>
      </c>
    </row>
    <row r="1283">
      <c r="A1283" s="9" t="s">
        <v>5652</v>
      </c>
      <c r="B1283" s="9" t="s">
        <v>5653</v>
      </c>
      <c r="D1283" s="9" t="s">
        <v>5654</v>
      </c>
      <c r="G1283" s="6" t="s">
        <v>5655</v>
      </c>
      <c r="J1283" s="9" t="s">
        <v>5653</v>
      </c>
      <c r="O1283" s="10">
        <f>IFERROR(__xludf.DUMMYFUNCTION("VALUE(REGEXEXTRACT(A1283, ""\d+""))"),1530.0)</f>
        <v>1530</v>
      </c>
    </row>
    <row r="1284">
      <c r="A1284" s="9" t="s">
        <v>5656</v>
      </c>
      <c r="B1284" s="9" t="s">
        <v>5657</v>
      </c>
      <c r="D1284" s="9" t="s">
        <v>5658</v>
      </c>
      <c r="G1284" s="6" t="s">
        <v>5659</v>
      </c>
      <c r="J1284" s="9" t="s">
        <v>5657</v>
      </c>
      <c r="O1284" s="10">
        <f>IFERROR(__xludf.DUMMYFUNCTION("VALUE(REGEXEXTRACT(A1284, ""\d+""))"),1531.0)</f>
        <v>1531</v>
      </c>
    </row>
    <row r="1285">
      <c r="A1285" s="9" t="s">
        <v>5660</v>
      </c>
      <c r="B1285" s="9" t="s">
        <v>1283</v>
      </c>
      <c r="D1285" s="9" t="s">
        <v>5661</v>
      </c>
      <c r="G1285" s="6" t="s">
        <v>5662</v>
      </c>
      <c r="J1285" s="9" t="s">
        <v>1283</v>
      </c>
      <c r="O1285" s="10">
        <f>IFERROR(__xludf.DUMMYFUNCTION("VALUE(REGEXEXTRACT(A1285, ""\d+""))"),1532.0)</f>
        <v>1532</v>
      </c>
    </row>
    <row r="1286">
      <c r="A1286" s="9" t="s">
        <v>5663</v>
      </c>
      <c r="B1286" s="9" t="s">
        <v>5664</v>
      </c>
      <c r="D1286" s="9" t="s">
        <v>5665</v>
      </c>
      <c r="G1286" s="6" t="s">
        <v>5666</v>
      </c>
      <c r="J1286" s="9" t="s">
        <v>1287</v>
      </c>
      <c r="O1286" s="10">
        <f>IFERROR(__xludf.DUMMYFUNCTION("VALUE(REGEXEXTRACT(A1286, ""\d+""))"),1533.0)</f>
        <v>1533</v>
      </c>
    </row>
    <row r="1287">
      <c r="A1287" s="9" t="s">
        <v>5667</v>
      </c>
      <c r="B1287" s="9" t="s">
        <v>5668</v>
      </c>
      <c r="D1287" s="9" t="s">
        <v>5669</v>
      </c>
      <c r="G1287" s="6" t="s">
        <v>5670</v>
      </c>
      <c r="J1287" s="9" t="s">
        <v>1291</v>
      </c>
      <c r="O1287" s="10">
        <f>IFERROR(__xludf.DUMMYFUNCTION("VALUE(REGEXEXTRACT(A1287, ""\d+""))"),1534.0)</f>
        <v>1534</v>
      </c>
    </row>
    <row r="1288">
      <c r="A1288" s="9" t="s">
        <v>5671</v>
      </c>
      <c r="B1288" s="9" t="s">
        <v>5672</v>
      </c>
      <c r="D1288" s="9" t="s">
        <v>5673</v>
      </c>
      <c r="G1288" s="6" t="s">
        <v>5674</v>
      </c>
      <c r="J1288" s="9" t="s">
        <v>1300</v>
      </c>
      <c r="O1288" s="10">
        <f>IFERROR(__xludf.DUMMYFUNCTION("VALUE(REGEXEXTRACT(A1288, ""\d+""))"),1539.0)</f>
        <v>1539</v>
      </c>
    </row>
    <row r="1289">
      <c r="A1289" s="9" t="s">
        <v>5675</v>
      </c>
      <c r="B1289" s="9" t="s">
        <v>5676</v>
      </c>
      <c r="D1289" s="9" t="s">
        <v>5677</v>
      </c>
      <c r="G1289" s="6" t="s">
        <v>5678</v>
      </c>
      <c r="J1289" s="9" t="s">
        <v>1300</v>
      </c>
      <c r="O1289" s="10">
        <f>IFERROR(__xludf.DUMMYFUNCTION("VALUE(REGEXEXTRACT(A1289, ""\d+""))"),1540.0)</f>
        <v>1540</v>
      </c>
    </row>
    <row r="1290">
      <c r="A1290" s="9" t="s">
        <v>5679</v>
      </c>
      <c r="B1290" s="9" t="s">
        <v>5680</v>
      </c>
      <c r="D1290" s="9" t="s">
        <v>5681</v>
      </c>
      <c r="G1290" s="6" t="s">
        <v>5682</v>
      </c>
      <c r="J1290" s="9" t="s">
        <v>1304</v>
      </c>
      <c r="O1290" s="10">
        <f>IFERROR(__xludf.DUMMYFUNCTION("VALUE(REGEXEXTRACT(A1290, ""\d+""))"),1541.0)</f>
        <v>1541</v>
      </c>
    </row>
    <row r="1291">
      <c r="A1291" s="9" t="s">
        <v>5683</v>
      </c>
      <c r="B1291" s="9" t="s">
        <v>5684</v>
      </c>
      <c r="D1291" s="9" t="s">
        <v>5685</v>
      </c>
      <c r="G1291" s="6" t="s">
        <v>5686</v>
      </c>
      <c r="J1291" s="9" t="s">
        <v>5687</v>
      </c>
      <c r="O1291" s="10">
        <f>IFERROR(__xludf.DUMMYFUNCTION("VALUE(REGEXEXTRACT(A1291, ""\d+""))"),1542.0)</f>
        <v>1542</v>
      </c>
    </row>
    <row r="1292">
      <c r="A1292" s="9" t="s">
        <v>5688</v>
      </c>
      <c r="B1292" s="9" t="s">
        <v>5689</v>
      </c>
      <c r="D1292" s="9" t="s">
        <v>5690</v>
      </c>
      <c r="G1292" s="6" t="s">
        <v>5691</v>
      </c>
      <c r="J1292" s="9" t="s">
        <v>5692</v>
      </c>
      <c r="O1292" s="10">
        <f>IFERROR(__xludf.DUMMYFUNCTION("VALUE(REGEXEXTRACT(A1292, ""\d+""))"),1543.0)</f>
        <v>1543</v>
      </c>
    </row>
    <row r="1293">
      <c r="A1293" s="9" t="s">
        <v>5693</v>
      </c>
      <c r="B1293" s="9" t="s">
        <v>5694</v>
      </c>
      <c r="D1293" s="9" t="s">
        <v>5695</v>
      </c>
      <c r="G1293" s="6" t="s">
        <v>5696</v>
      </c>
      <c r="J1293" s="9" t="s">
        <v>5697</v>
      </c>
      <c r="O1293" s="10">
        <f>IFERROR(__xludf.DUMMYFUNCTION("VALUE(REGEXEXTRACT(A1293, ""\d+""))"),1544.0)</f>
        <v>1544</v>
      </c>
    </row>
    <row r="1294">
      <c r="A1294" s="9" t="s">
        <v>5698</v>
      </c>
      <c r="B1294" s="9" t="s">
        <v>5699</v>
      </c>
      <c r="D1294" s="9" t="s">
        <v>5700</v>
      </c>
      <c r="G1294" s="6" t="s">
        <v>5701</v>
      </c>
      <c r="J1294" s="9" t="s">
        <v>1323</v>
      </c>
      <c r="O1294" s="10">
        <f>IFERROR(__xludf.DUMMYFUNCTION("VALUE(REGEXEXTRACT(A1294, ""\d+""))"),1545.0)</f>
        <v>1545</v>
      </c>
    </row>
    <row r="1295">
      <c r="A1295" s="9" t="s">
        <v>5702</v>
      </c>
      <c r="B1295" s="9" t="s">
        <v>5703</v>
      </c>
      <c r="D1295" s="9" t="s">
        <v>5704</v>
      </c>
      <c r="G1295" s="6" t="s">
        <v>5705</v>
      </c>
      <c r="J1295" s="9" t="s">
        <v>5706</v>
      </c>
      <c r="O1295" s="10">
        <f>IFERROR(__xludf.DUMMYFUNCTION("VALUE(REGEXEXTRACT(A1295, ""\d+""))"),1546.0)</f>
        <v>1546</v>
      </c>
    </row>
    <row r="1296">
      <c r="A1296" s="9" t="s">
        <v>5707</v>
      </c>
      <c r="B1296" s="9" t="s">
        <v>5708</v>
      </c>
      <c r="D1296" s="9" t="s">
        <v>5709</v>
      </c>
      <c r="G1296" s="6" t="s">
        <v>5710</v>
      </c>
      <c r="J1296" s="9" t="s">
        <v>5706</v>
      </c>
      <c r="O1296" s="10">
        <f>IFERROR(__xludf.DUMMYFUNCTION("VALUE(REGEXEXTRACT(A1296, ""\d+""))"),1547.0)</f>
        <v>1547</v>
      </c>
    </row>
    <row r="1297">
      <c r="A1297" s="9" t="s">
        <v>5711</v>
      </c>
      <c r="B1297" s="9" t="s">
        <v>5712</v>
      </c>
      <c r="D1297" s="9" t="s">
        <v>5713</v>
      </c>
      <c r="G1297" s="6" t="s">
        <v>5714</v>
      </c>
      <c r="J1297" s="9" t="s">
        <v>5715</v>
      </c>
      <c r="O1297" s="10">
        <f>IFERROR(__xludf.DUMMYFUNCTION("VALUE(REGEXEXTRACT(A1297, ""\d+""))"),1548.0)</f>
        <v>1548</v>
      </c>
    </row>
    <row r="1298">
      <c r="A1298" s="9" t="s">
        <v>5716</v>
      </c>
      <c r="B1298" s="9" t="s">
        <v>5717</v>
      </c>
      <c r="D1298" s="9" t="s">
        <v>5717</v>
      </c>
      <c r="G1298" s="9" t="s">
        <v>5718</v>
      </c>
      <c r="J1298" s="9" t="s">
        <v>5719</v>
      </c>
      <c r="O1298" s="10">
        <f>IFERROR(__xludf.DUMMYFUNCTION("VALUE(REGEXEXTRACT(A1298, ""\d+""))"),1550.0)</f>
        <v>1550</v>
      </c>
    </row>
    <row r="1299">
      <c r="A1299" s="9" t="s">
        <v>5720</v>
      </c>
      <c r="B1299" s="9" t="s">
        <v>5721</v>
      </c>
      <c r="D1299" s="9" t="s">
        <v>5721</v>
      </c>
      <c r="G1299" s="9" t="s">
        <v>5722</v>
      </c>
      <c r="J1299" s="9" t="s">
        <v>5723</v>
      </c>
      <c r="O1299" s="10">
        <f>IFERROR(__xludf.DUMMYFUNCTION("VALUE(REGEXEXTRACT(A1299, ""\d+""))"),1551.0)</f>
        <v>1551</v>
      </c>
    </row>
    <row r="1300">
      <c r="A1300" s="9" t="s">
        <v>5724</v>
      </c>
      <c r="B1300" s="9" t="s">
        <v>5725</v>
      </c>
      <c r="D1300" s="9" t="s">
        <v>5725</v>
      </c>
      <c r="G1300" s="9" t="s">
        <v>5726</v>
      </c>
      <c r="J1300" s="9" t="s">
        <v>5727</v>
      </c>
      <c r="O1300" s="10">
        <f>IFERROR(__xludf.DUMMYFUNCTION("VALUE(REGEXEXTRACT(A1300, ""\d+""))"),1552.0)</f>
        <v>1552</v>
      </c>
    </row>
    <row r="1301">
      <c r="A1301" s="9" t="s">
        <v>5728</v>
      </c>
      <c r="B1301" s="9" t="s">
        <v>5729</v>
      </c>
      <c r="D1301" s="9" t="s">
        <v>5729</v>
      </c>
      <c r="G1301" s="9" t="s">
        <v>5730</v>
      </c>
      <c r="J1301" s="9" t="s">
        <v>5731</v>
      </c>
      <c r="O1301" s="10">
        <f>IFERROR(__xludf.DUMMYFUNCTION("VALUE(REGEXEXTRACT(A1301, ""\d+""))"),1553.0)</f>
        <v>1553</v>
      </c>
    </row>
    <row r="1302">
      <c r="A1302" s="9" t="s">
        <v>5732</v>
      </c>
      <c r="B1302" s="9" t="s">
        <v>5733</v>
      </c>
      <c r="D1302" s="9" t="s">
        <v>5733</v>
      </c>
      <c r="G1302" s="9" t="s">
        <v>5734</v>
      </c>
      <c r="J1302" s="9" t="s">
        <v>5735</v>
      </c>
      <c r="O1302" s="10">
        <f>IFERROR(__xludf.DUMMYFUNCTION("VALUE(REGEXEXTRACT(A1302, ""\d+""))"),1554.0)</f>
        <v>1554</v>
      </c>
    </row>
    <row r="1303">
      <c r="A1303" s="9" t="s">
        <v>5736</v>
      </c>
      <c r="B1303" s="9" t="s">
        <v>5737</v>
      </c>
      <c r="D1303" s="9" t="s">
        <v>5737</v>
      </c>
      <c r="G1303" s="9" t="s">
        <v>5738</v>
      </c>
      <c r="J1303" s="9" t="s">
        <v>5739</v>
      </c>
      <c r="O1303" s="10">
        <f>IFERROR(__xludf.DUMMYFUNCTION("VALUE(REGEXEXTRACT(A1303, ""\d+""))"),1555.0)</f>
        <v>1555</v>
      </c>
    </row>
    <row r="1304">
      <c r="A1304" s="9" t="s">
        <v>5740</v>
      </c>
      <c r="B1304" s="9" t="s">
        <v>5741</v>
      </c>
      <c r="D1304" s="9" t="s">
        <v>5741</v>
      </c>
      <c r="G1304" s="9" t="s">
        <v>5742</v>
      </c>
      <c r="J1304" s="9" t="s">
        <v>5743</v>
      </c>
      <c r="O1304" s="10">
        <f>IFERROR(__xludf.DUMMYFUNCTION("VALUE(REGEXEXTRACT(A1304, ""\d+""))"),1556.0)</f>
        <v>1556</v>
      </c>
    </row>
    <row r="1305">
      <c r="A1305" s="9" t="s">
        <v>5744</v>
      </c>
      <c r="B1305" s="9" t="s">
        <v>5745</v>
      </c>
      <c r="D1305" s="9" t="s">
        <v>5745</v>
      </c>
      <c r="G1305" s="9" t="s">
        <v>5746</v>
      </c>
      <c r="J1305" s="9" t="s">
        <v>5747</v>
      </c>
      <c r="O1305" s="10">
        <f>IFERROR(__xludf.DUMMYFUNCTION("VALUE(REGEXEXTRACT(A1305, ""\d+""))"),1557.0)</f>
        <v>1557</v>
      </c>
    </row>
    <row r="1306">
      <c r="A1306" s="9" t="s">
        <v>5748</v>
      </c>
      <c r="B1306" s="9" t="s">
        <v>5749</v>
      </c>
      <c r="D1306" s="9" t="s">
        <v>5749</v>
      </c>
      <c r="G1306" s="9" t="s">
        <v>5750</v>
      </c>
      <c r="J1306" s="9" t="s">
        <v>5751</v>
      </c>
      <c r="O1306" s="10">
        <f>IFERROR(__xludf.DUMMYFUNCTION("VALUE(REGEXEXTRACT(A1306, ""\d+""))"),1567.0)</f>
        <v>1567</v>
      </c>
    </row>
    <row r="1307">
      <c r="A1307" s="9" t="s">
        <v>5752</v>
      </c>
      <c r="B1307" s="9" t="s">
        <v>5753</v>
      </c>
      <c r="D1307" s="9" t="s">
        <v>5753</v>
      </c>
      <c r="G1307" s="9" t="s">
        <v>5754</v>
      </c>
      <c r="J1307" s="9" t="s">
        <v>5755</v>
      </c>
      <c r="O1307" s="10">
        <f>IFERROR(__xludf.DUMMYFUNCTION("VALUE(REGEXEXTRACT(A1307, ""\d+""))"),1571.0)</f>
        <v>1571</v>
      </c>
    </row>
    <row r="1308">
      <c r="A1308" s="9" t="s">
        <v>5756</v>
      </c>
      <c r="B1308" s="9" t="s">
        <v>5757</v>
      </c>
      <c r="D1308" s="9" t="s">
        <v>5757</v>
      </c>
      <c r="G1308" s="9" t="s">
        <v>5758</v>
      </c>
      <c r="J1308" s="9" t="s">
        <v>5759</v>
      </c>
      <c r="O1308" s="10">
        <f>IFERROR(__xludf.DUMMYFUNCTION("VALUE(REGEXEXTRACT(A1308, ""\d+""))"),1574.0)</f>
        <v>1574</v>
      </c>
    </row>
    <row r="1309">
      <c r="A1309" s="9" t="s">
        <v>5760</v>
      </c>
      <c r="B1309" s="9" t="s">
        <v>5761</v>
      </c>
      <c r="D1309" s="9" t="s">
        <v>5761</v>
      </c>
      <c r="G1309" s="9" t="s">
        <v>5762</v>
      </c>
      <c r="J1309" s="9" t="s">
        <v>5763</v>
      </c>
      <c r="O1309" s="10">
        <f>IFERROR(__xludf.DUMMYFUNCTION("VALUE(REGEXEXTRACT(A1309, ""\d+""))"),1575.0)</f>
        <v>1575</v>
      </c>
    </row>
    <row r="1310">
      <c r="A1310" s="9" t="s">
        <v>5764</v>
      </c>
      <c r="B1310" s="9" t="s">
        <v>5765</v>
      </c>
      <c r="D1310" s="9" t="s">
        <v>5765</v>
      </c>
      <c r="G1310" s="9" t="s">
        <v>5766</v>
      </c>
      <c r="J1310" s="9" t="s">
        <v>5767</v>
      </c>
      <c r="O1310" s="10">
        <f>IFERROR(__xludf.DUMMYFUNCTION("VALUE(REGEXEXTRACT(A1310, ""\d+""))"),1576.0)</f>
        <v>1576</v>
      </c>
    </row>
    <row r="1311">
      <c r="A1311" s="9" t="s">
        <v>5768</v>
      </c>
      <c r="B1311" s="9" t="s">
        <v>5769</v>
      </c>
      <c r="D1311" s="9" t="s">
        <v>5769</v>
      </c>
      <c r="G1311" s="9" t="s">
        <v>5770</v>
      </c>
      <c r="J1311" s="9" t="s">
        <v>5771</v>
      </c>
      <c r="O1311" s="10">
        <f>IFERROR(__xludf.DUMMYFUNCTION("VALUE(REGEXEXTRACT(A1311, ""\d+""))"),1577.0)</f>
        <v>1577</v>
      </c>
    </row>
    <row r="1312">
      <c r="A1312" s="9" t="s">
        <v>5772</v>
      </c>
      <c r="B1312" s="9" t="s">
        <v>5773</v>
      </c>
      <c r="D1312" s="9" t="s">
        <v>5773</v>
      </c>
      <c r="G1312" s="9" t="s">
        <v>5774</v>
      </c>
      <c r="J1312" s="9" t="s">
        <v>5775</v>
      </c>
      <c r="O1312" s="10">
        <f>IFERROR(__xludf.DUMMYFUNCTION("VALUE(REGEXEXTRACT(A1312, ""\d+""))"),1578.0)</f>
        <v>1578</v>
      </c>
    </row>
    <row r="1313">
      <c r="A1313" s="9" t="s">
        <v>5776</v>
      </c>
      <c r="B1313" s="9" t="s">
        <v>5777</v>
      </c>
      <c r="D1313" s="9" t="s">
        <v>5777</v>
      </c>
      <c r="G1313" s="9" t="s">
        <v>5778</v>
      </c>
      <c r="J1313" s="9" t="s">
        <v>5779</v>
      </c>
      <c r="O1313" s="10">
        <f>IFERROR(__xludf.DUMMYFUNCTION("VALUE(REGEXEXTRACT(A1313, ""\d+""))"),1579.0)</f>
        <v>1579</v>
      </c>
    </row>
    <row r="1314">
      <c r="A1314" s="9" t="s">
        <v>5780</v>
      </c>
      <c r="B1314" s="9" t="s">
        <v>5781</v>
      </c>
      <c r="D1314" s="9" t="s">
        <v>5781</v>
      </c>
      <c r="G1314" s="9" t="s">
        <v>5782</v>
      </c>
      <c r="J1314" s="9" t="s">
        <v>5783</v>
      </c>
      <c r="O1314" s="10">
        <f>IFERROR(__xludf.DUMMYFUNCTION("VALUE(REGEXEXTRACT(A1314, ""\d+""))"),1580.0)</f>
        <v>1580</v>
      </c>
    </row>
    <row r="1315">
      <c r="A1315" s="9" t="s">
        <v>5784</v>
      </c>
      <c r="B1315" s="9" t="s">
        <v>5785</v>
      </c>
      <c r="D1315" s="9" t="s">
        <v>5785</v>
      </c>
      <c r="G1315" s="9" t="s">
        <v>5786</v>
      </c>
      <c r="J1315" s="9" t="s">
        <v>5787</v>
      </c>
      <c r="O1315" s="10">
        <f>IFERROR(__xludf.DUMMYFUNCTION("VALUE(REGEXEXTRACT(A1315, ""\d+""))"),1581.0)</f>
        <v>1581</v>
      </c>
    </row>
    <row r="1316">
      <c r="A1316" s="9" t="s">
        <v>5788</v>
      </c>
      <c r="B1316" s="9" t="s">
        <v>5789</v>
      </c>
      <c r="D1316" s="9" t="s">
        <v>5790</v>
      </c>
      <c r="G1316" s="6" t="s">
        <v>5791</v>
      </c>
      <c r="J1316" s="9" t="s">
        <v>5792</v>
      </c>
      <c r="O1316" s="10">
        <f>IFERROR(__xludf.DUMMYFUNCTION("VALUE(REGEXEXTRACT(A1316, ""\d+""))"),1582.0)</f>
        <v>1582</v>
      </c>
    </row>
    <row r="1317">
      <c r="A1317" s="9" t="s">
        <v>5793</v>
      </c>
      <c r="B1317" s="9" t="s">
        <v>5794</v>
      </c>
      <c r="D1317" s="9" t="s">
        <v>5794</v>
      </c>
      <c r="G1317" s="9" t="s">
        <v>5795</v>
      </c>
      <c r="J1317" s="9" t="s">
        <v>5796</v>
      </c>
      <c r="O1317" s="10">
        <f>IFERROR(__xludf.DUMMYFUNCTION("VALUE(REGEXEXTRACT(A1317, ""\d+""))"),1583.0)</f>
        <v>1583</v>
      </c>
    </row>
    <row r="1318">
      <c r="A1318" s="9" t="s">
        <v>5797</v>
      </c>
      <c r="B1318" s="9" t="s">
        <v>5798</v>
      </c>
      <c r="D1318" s="9" t="s">
        <v>5798</v>
      </c>
      <c r="G1318" s="9" t="s">
        <v>5799</v>
      </c>
      <c r="J1318" s="9" t="s">
        <v>5800</v>
      </c>
      <c r="O1318" s="10">
        <f>IFERROR(__xludf.DUMMYFUNCTION("VALUE(REGEXEXTRACT(A1318, ""\d+""))"),1584.0)</f>
        <v>1584</v>
      </c>
    </row>
    <row r="1319">
      <c r="A1319" s="9" t="s">
        <v>5801</v>
      </c>
      <c r="B1319" s="9" t="s">
        <v>5802</v>
      </c>
      <c r="D1319" s="9" t="s">
        <v>5802</v>
      </c>
      <c r="G1319" s="9" t="s">
        <v>5803</v>
      </c>
      <c r="J1319" s="9" t="s">
        <v>5804</v>
      </c>
      <c r="O1319" s="10">
        <f>IFERROR(__xludf.DUMMYFUNCTION("VALUE(REGEXEXTRACT(A1319, ""\d+""))"),1585.0)</f>
        <v>1585</v>
      </c>
    </row>
    <row r="1320">
      <c r="A1320" s="9" t="s">
        <v>5805</v>
      </c>
      <c r="B1320" s="9" t="s">
        <v>5806</v>
      </c>
      <c r="D1320" s="9" t="s">
        <v>5806</v>
      </c>
      <c r="G1320" s="9" t="s">
        <v>5807</v>
      </c>
      <c r="J1320" s="9" t="s">
        <v>5808</v>
      </c>
      <c r="O1320" s="10">
        <f>IFERROR(__xludf.DUMMYFUNCTION("VALUE(REGEXEXTRACT(A1320, ""\d+""))"),1586.0)</f>
        <v>1586</v>
      </c>
    </row>
    <row r="1321">
      <c r="A1321" s="9" t="s">
        <v>5809</v>
      </c>
      <c r="B1321" s="9" t="s">
        <v>5810</v>
      </c>
      <c r="D1321" s="9" t="s">
        <v>5810</v>
      </c>
      <c r="G1321" s="9" t="s">
        <v>5811</v>
      </c>
      <c r="J1321" s="9" t="s">
        <v>5812</v>
      </c>
      <c r="O1321" s="10">
        <f>IFERROR(__xludf.DUMMYFUNCTION("VALUE(REGEXEXTRACT(A1321, ""\d+""))"),1587.0)</f>
        <v>1587</v>
      </c>
    </row>
    <row r="1322">
      <c r="A1322" s="9" t="s">
        <v>5813</v>
      </c>
      <c r="B1322" s="9" t="s">
        <v>5814</v>
      </c>
      <c r="D1322" s="9" t="s">
        <v>5815</v>
      </c>
      <c r="G1322" s="6" t="s">
        <v>5816</v>
      </c>
      <c r="J1322" s="9" t="s">
        <v>5817</v>
      </c>
      <c r="O1322" s="10">
        <f>IFERROR(__xludf.DUMMYFUNCTION("VALUE(REGEXEXTRACT(A1322, ""\d+""))"),1592.0)</f>
        <v>1592</v>
      </c>
    </row>
    <row r="1323">
      <c r="A1323" s="9" t="s">
        <v>5818</v>
      </c>
      <c r="B1323" s="9" t="s">
        <v>5819</v>
      </c>
      <c r="D1323" s="9" t="s">
        <v>5820</v>
      </c>
      <c r="G1323" s="6" t="s">
        <v>5821</v>
      </c>
      <c r="J1323" s="9" t="s">
        <v>5822</v>
      </c>
      <c r="O1323" s="10">
        <f>IFERROR(__xludf.DUMMYFUNCTION("VALUE(REGEXEXTRACT(A1323, ""\d+""))"),1593.0)</f>
        <v>1593</v>
      </c>
    </row>
    <row r="1324">
      <c r="A1324" s="9" t="s">
        <v>5823</v>
      </c>
      <c r="B1324" s="9" t="s">
        <v>5824</v>
      </c>
      <c r="G1324" s="9" t="s">
        <v>5824</v>
      </c>
      <c r="O1324" s="10">
        <f>IFERROR(__xludf.DUMMYFUNCTION("VALUE(REGEXEXTRACT(A1324, ""\d+""))"),1594.0)</f>
        <v>1594</v>
      </c>
    </row>
    <row r="1325">
      <c r="A1325" s="9" t="s">
        <v>5825</v>
      </c>
      <c r="B1325" s="9" t="s">
        <v>5826</v>
      </c>
      <c r="G1325" s="6" t="s">
        <v>5827</v>
      </c>
      <c r="O1325" s="10">
        <f>IFERROR(__xludf.DUMMYFUNCTION("VALUE(REGEXEXTRACT(A1325, ""\d+""))"),1596.0)</f>
        <v>1596</v>
      </c>
    </row>
    <row r="1326">
      <c r="A1326" s="9" t="s">
        <v>5828</v>
      </c>
      <c r="B1326" s="9" t="s">
        <v>5829</v>
      </c>
      <c r="D1326" s="9" t="s">
        <v>5829</v>
      </c>
      <c r="G1326" s="6" t="s">
        <v>5829</v>
      </c>
      <c r="J1326" s="9" t="s">
        <v>5829</v>
      </c>
      <c r="O1326" s="10">
        <f>IFERROR(__xludf.DUMMYFUNCTION("VALUE(REGEXEXTRACT(A1326, ""\d+""))"),1597.0)</f>
        <v>1597</v>
      </c>
    </row>
    <row r="1327">
      <c r="A1327" s="9" t="s">
        <v>5830</v>
      </c>
      <c r="B1327" s="9" t="s">
        <v>5831</v>
      </c>
      <c r="D1327" s="9" t="s">
        <v>5832</v>
      </c>
      <c r="G1327" s="6" t="s">
        <v>5833</v>
      </c>
      <c r="J1327" s="9" t="s">
        <v>5834</v>
      </c>
      <c r="O1327" s="10">
        <f>IFERROR(__xludf.DUMMYFUNCTION("VALUE(REGEXEXTRACT(A1327, ""\d+""))"),1598.0)</f>
        <v>1598</v>
      </c>
    </row>
    <row r="1328">
      <c r="A1328" s="9" t="s">
        <v>5835</v>
      </c>
      <c r="B1328" s="9" t="s">
        <v>5836</v>
      </c>
      <c r="D1328" s="9" t="s">
        <v>5837</v>
      </c>
      <c r="G1328" s="6" t="s">
        <v>5838</v>
      </c>
      <c r="J1328" s="9" t="s">
        <v>5836</v>
      </c>
      <c r="O1328" s="10">
        <f>IFERROR(__xludf.DUMMYFUNCTION("VALUE(REGEXEXTRACT(A1328, ""\d+""))"),1599.0)</f>
        <v>1599</v>
      </c>
    </row>
    <row r="1329">
      <c r="A1329" s="9" t="s">
        <v>5839</v>
      </c>
      <c r="B1329" s="9" t="s">
        <v>5840</v>
      </c>
      <c r="D1329" s="9" t="s">
        <v>5840</v>
      </c>
      <c r="G1329" s="6" t="s">
        <v>5840</v>
      </c>
      <c r="J1329" s="9" t="s">
        <v>5841</v>
      </c>
      <c r="O1329" s="10">
        <f>IFERROR(__xludf.DUMMYFUNCTION("VALUE(REGEXEXTRACT(A1329, ""\d+""))"),1600.0)</f>
        <v>1600</v>
      </c>
    </row>
    <row r="1330">
      <c r="A1330" s="9" t="s">
        <v>5842</v>
      </c>
      <c r="B1330" s="9" t="s">
        <v>5843</v>
      </c>
      <c r="D1330" s="9" t="s">
        <v>5843</v>
      </c>
      <c r="G1330" s="6" t="s">
        <v>5843</v>
      </c>
      <c r="J1330" s="9" t="s">
        <v>5844</v>
      </c>
      <c r="O1330" s="10">
        <f>IFERROR(__xludf.DUMMYFUNCTION("VALUE(REGEXEXTRACT(A1330, ""\d+""))"),1601.0)</f>
        <v>1601</v>
      </c>
    </row>
    <row r="1331">
      <c r="A1331" s="9" t="s">
        <v>5845</v>
      </c>
      <c r="B1331" s="9" t="s">
        <v>5846</v>
      </c>
      <c r="D1331" s="9" t="s">
        <v>5847</v>
      </c>
      <c r="G1331" s="6" t="s">
        <v>5848</v>
      </c>
      <c r="J1331" s="9" t="s">
        <v>5849</v>
      </c>
      <c r="O1331" s="10">
        <f>IFERROR(__xludf.DUMMYFUNCTION("VALUE(REGEXEXTRACT(A1331, ""\d+""))"),1602.0)</f>
        <v>1602</v>
      </c>
    </row>
    <row r="1332">
      <c r="A1332" s="9" t="s">
        <v>5850</v>
      </c>
      <c r="B1332" s="9" t="s">
        <v>5851</v>
      </c>
      <c r="D1332" s="9" t="s">
        <v>5852</v>
      </c>
      <c r="G1332" s="6" t="s">
        <v>5852</v>
      </c>
      <c r="J1332" s="9" t="s">
        <v>5853</v>
      </c>
      <c r="O1332" s="10">
        <f>IFERROR(__xludf.DUMMYFUNCTION("VALUE(REGEXEXTRACT(A1332, ""\d+""))"),1603.0)</f>
        <v>1603</v>
      </c>
    </row>
    <row r="1333">
      <c r="A1333" s="9" t="s">
        <v>5854</v>
      </c>
      <c r="B1333" s="9" t="s">
        <v>5855</v>
      </c>
      <c r="D1333" s="9" t="s">
        <v>5856</v>
      </c>
      <c r="G1333" s="6" t="s">
        <v>5857</v>
      </c>
      <c r="J1333" s="9" t="s">
        <v>5858</v>
      </c>
      <c r="O1333" s="10">
        <f>IFERROR(__xludf.DUMMYFUNCTION("VALUE(REGEXEXTRACT(A1333, ""\d+""))"),1605.0)</f>
        <v>1605</v>
      </c>
    </row>
    <row r="1334">
      <c r="A1334" s="9" t="s">
        <v>5859</v>
      </c>
      <c r="B1334" s="9" t="s">
        <v>5860</v>
      </c>
      <c r="D1334" s="9" t="s">
        <v>5861</v>
      </c>
      <c r="G1334" s="6" t="s">
        <v>5862</v>
      </c>
      <c r="J1334" s="9" t="s">
        <v>5863</v>
      </c>
      <c r="O1334" s="10">
        <f>IFERROR(__xludf.DUMMYFUNCTION("VALUE(REGEXEXTRACT(A1334, ""\d+""))"),1606.0)</f>
        <v>1606</v>
      </c>
    </row>
    <row r="1335">
      <c r="A1335" s="9" t="s">
        <v>5864</v>
      </c>
      <c r="B1335" s="9" t="s">
        <v>5865</v>
      </c>
      <c r="D1335" s="9" t="s">
        <v>5866</v>
      </c>
      <c r="G1335" s="6" t="s">
        <v>5867</v>
      </c>
      <c r="J1335" s="9" t="s">
        <v>5868</v>
      </c>
      <c r="O1335" s="10">
        <f>IFERROR(__xludf.DUMMYFUNCTION("VALUE(REGEXEXTRACT(A1335, ""\d+""))"),1607.0)</f>
        <v>1607</v>
      </c>
    </row>
    <row r="1336">
      <c r="A1336" s="9" t="s">
        <v>5869</v>
      </c>
      <c r="B1336" s="9" t="s">
        <v>5870</v>
      </c>
      <c r="D1336" s="9" t="s">
        <v>5871</v>
      </c>
      <c r="G1336" s="6" t="s">
        <v>5872</v>
      </c>
      <c r="J1336" s="9" t="s">
        <v>5873</v>
      </c>
      <c r="O1336" s="10">
        <f>IFERROR(__xludf.DUMMYFUNCTION("VALUE(REGEXEXTRACT(A1336, ""\d+""))"),1608.0)</f>
        <v>1608</v>
      </c>
    </row>
    <row r="1337">
      <c r="A1337" s="9" t="s">
        <v>5874</v>
      </c>
      <c r="B1337" s="9" t="s">
        <v>5875</v>
      </c>
      <c r="D1337" s="9" t="s">
        <v>5876</v>
      </c>
      <c r="G1337" s="6" t="s">
        <v>5877</v>
      </c>
      <c r="J1337" s="9" t="s">
        <v>5878</v>
      </c>
      <c r="O1337" s="10">
        <f>IFERROR(__xludf.DUMMYFUNCTION("VALUE(REGEXEXTRACT(A1337, ""\d+""))"),1609.0)</f>
        <v>1609</v>
      </c>
    </row>
    <row r="1338">
      <c r="A1338" s="9" t="s">
        <v>5879</v>
      </c>
      <c r="B1338" s="9" t="s">
        <v>5880</v>
      </c>
      <c r="D1338" s="9" t="s">
        <v>5881</v>
      </c>
      <c r="G1338" s="6" t="s">
        <v>5881</v>
      </c>
      <c r="J1338" s="9" t="s">
        <v>5882</v>
      </c>
      <c r="O1338" s="10">
        <f>IFERROR(__xludf.DUMMYFUNCTION("VALUE(REGEXEXTRACT(A1338, ""\d+""))"),1610.0)</f>
        <v>1610</v>
      </c>
    </row>
    <row r="1339">
      <c r="A1339" s="9" t="s">
        <v>5883</v>
      </c>
      <c r="B1339" s="9" t="s">
        <v>5884</v>
      </c>
      <c r="D1339" s="9" t="s">
        <v>5885</v>
      </c>
      <c r="G1339" s="6" t="s">
        <v>5886</v>
      </c>
      <c r="J1339" s="9" t="s">
        <v>5887</v>
      </c>
      <c r="O1339" s="10">
        <f>IFERROR(__xludf.DUMMYFUNCTION("VALUE(REGEXEXTRACT(A1339, ""\d+""))"),1611.0)</f>
        <v>1611</v>
      </c>
    </row>
    <row r="1340">
      <c r="A1340" s="9" t="s">
        <v>5888</v>
      </c>
      <c r="B1340" s="9" t="s">
        <v>5889</v>
      </c>
      <c r="D1340" s="9" t="s">
        <v>5890</v>
      </c>
      <c r="G1340" s="6" t="s">
        <v>5891</v>
      </c>
      <c r="J1340" s="9" t="s">
        <v>5892</v>
      </c>
      <c r="O1340" s="10">
        <f>IFERROR(__xludf.DUMMYFUNCTION("VALUE(REGEXEXTRACT(A1340, ""\d+""))"),1612.0)</f>
        <v>1612</v>
      </c>
    </row>
    <row r="1341">
      <c r="A1341" s="9" t="s">
        <v>5893</v>
      </c>
      <c r="B1341" s="9" t="s">
        <v>5894</v>
      </c>
      <c r="D1341" s="9" t="s">
        <v>5895</v>
      </c>
      <c r="G1341" s="6" t="s">
        <v>5896</v>
      </c>
      <c r="J1341" s="9" t="s">
        <v>5897</v>
      </c>
      <c r="O1341" s="10">
        <f>IFERROR(__xludf.DUMMYFUNCTION("VALUE(REGEXEXTRACT(A1341, ""\d+""))"),1613.0)</f>
        <v>1613</v>
      </c>
    </row>
    <row r="1342">
      <c r="A1342" s="9" t="s">
        <v>5898</v>
      </c>
      <c r="B1342" s="9" t="s">
        <v>5899</v>
      </c>
      <c r="D1342" s="9" t="s">
        <v>5900</v>
      </c>
      <c r="G1342" s="6" t="s">
        <v>5901</v>
      </c>
      <c r="J1342" s="9" t="s">
        <v>5902</v>
      </c>
      <c r="O1342" s="10">
        <f>IFERROR(__xludf.DUMMYFUNCTION("VALUE(REGEXEXTRACT(A1342, ""\d+""))"),1614.0)</f>
        <v>1614</v>
      </c>
    </row>
    <row r="1343">
      <c r="A1343" s="9" t="s">
        <v>5903</v>
      </c>
      <c r="B1343" s="9" t="s">
        <v>5904</v>
      </c>
      <c r="D1343" s="9" t="s">
        <v>5905</v>
      </c>
      <c r="G1343" s="6" t="s">
        <v>5906</v>
      </c>
      <c r="J1343" s="9" t="s">
        <v>5907</v>
      </c>
      <c r="O1343" s="10">
        <f>IFERROR(__xludf.DUMMYFUNCTION("VALUE(REGEXEXTRACT(A1343, ""\d+""))"),1615.0)</f>
        <v>1615</v>
      </c>
    </row>
    <row r="1344">
      <c r="A1344" s="9" t="s">
        <v>5908</v>
      </c>
      <c r="B1344" s="9" t="s">
        <v>5909</v>
      </c>
      <c r="D1344" s="9" t="s">
        <v>5910</v>
      </c>
      <c r="G1344" s="6" t="s">
        <v>5911</v>
      </c>
      <c r="J1344" s="9" t="s">
        <v>5912</v>
      </c>
      <c r="O1344" s="10">
        <f>IFERROR(__xludf.DUMMYFUNCTION("VALUE(REGEXEXTRACT(A1344, ""\d+""))"),1616.0)</f>
        <v>1616</v>
      </c>
    </row>
    <row r="1345">
      <c r="A1345" s="9" t="s">
        <v>5913</v>
      </c>
      <c r="B1345" s="9" t="s">
        <v>5914</v>
      </c>
      <c r="D1345" s="9" t="s">
        <v>5915</v>
      </c>
      <c r="G1345" s="6" t="s">
        <v>5915</v>
      </c>
      <c r="J1345" s="9" t="s">
        <v>5916</v>
      </c>
      <c r="O1345" s="10">
        <f>IFERROR(__xludf.DUMMYFUNCTION("VALUE(REGEXEXTRACT(A1345, ""\d+""))"),1617.0)</f>
        <v>1617</v>
      </c>
    </row>
    <row r="1346">
      <c r="A1346" s="9" t="s">
        <v>5917</v>
      </c>
      <c r="B1346" s="9" t="s">
        <v>5918</v>
      </c>
      <c r="D1346" s="9" t="s">
        <v>5919</v>
      </c>
      <c r="G1346" s="6" t="s">
        <v>5920</v>
      </c>
      <c r="J1346" s="9" t="s">
        <v>5921</v>
      </c>
      <c r="O1346" s="10">
        <f>IFERROR(__xludf.DUMMYFUNCTION("VALUE(REGEXEXTRACT(A1346, ""\d+""))"),1618.0)</f>
        <v>1618</v>
      </c>
    </row>
    <row r="1347">
      <c r="A1347" s="9" t="s">
        <v>5922</v>
      </c>
      <c r="B1347" s="9" t="s">
        <v>5923</v>
      </c>
      <c r="D1347" s="9" t="s">
        <v>5924</v>
      </c>
      <c r="G1347" s="6" t="s">
        <v>5925</v>
      </c>
      <c r="J1347" s="9" t="s">
        <v>5926</v>
      </c>
      <c r="O1347" s="10">
        <f>IFERROR(__xludf.DUMMYFUNCTION("VALUE(REGEXEXTRACT(A1347, ""\d+""))"),1619.0)</f>
        <v>1619</v>
      </c>
    </row>
    <row r="1348">
      <c r="A1348" s="9" t="s">
        <v>5927</v>
      </c>
      <c r="B1348" s="9" t="s">
        <v>5928</v>
      </c>
      <c r="D1348" s="9" t="s">
        <v>5929</v>
      </c>
      <c r="G1348" s="6" t="s">
        <v>5929</v>
      </c>
      <c r="J1348" s="9" t="s">
        <v>5930</v>
      </c>
      <c r="O1348" s="10">
        <f>IFERROR(__xludf.DUMMYFUNCTION("VALUE(REGEXEXTRACT(A1348, ""\d+""))"),1620.0)</f>
        <v>1620</v>
      </c>
    </row>
    <row r="1349">
      <c r="A1349" s="9" t="s">
        <v>5931</v>
      </c>
      <c r="B1349" s="9" t="s">
        <v>5932</v>
      </c>
      <c r="D1349" s="9" t="s">
        <v>5933</v>
      </c>
      <c r="G1349" s="6" t="s">
        <v>5934</v>
      </c>
      <c r="J1349" s="9" t="s">
        <v>5935</v>
      </c>
      <c r="O1349" s="10">
        <f>IFERROR(__xludf.DUMMYFUNCTION("VALUE(REGEXEXTRACT(A1349, ""\d+""))"),1621.0)</f>
        <v>1621</v>
      </c>
    </row>
    <row r="1350">
      <c r="A1350" s="9" t="s">
        <v>5936</v>
      </c>
      <c r="B1350" s="9" t="s">
        <v>5937</v>
      </c>
      <c r="D1350" s="9" t="s">
        <v>5938</v>
      </c>
      <c r="G1350" s="6" t="s">
        <v>5939</v>
      </c>
      <c r="J1350" s="9" t="s">
        <v>5940</v>
      </c>
      <c r="O1350" s="10">
        <f>IFERROR(__xludf.DUMMYFUNCTION("VALUE(REGEXEXTRACT(A1350, ""\d+""))"),1622.0)</f>
        <v>1622</v>
      </c>
    </row>
    <row r="1351">
      <c r="A1351" s="9" t="s">
        <v>5941</v>
      </c>
      <c r="B1351" s="9" t="s">
        <v>5942</v>
      </c>
      <c r="D1351" s="9" t="s">
        <v>5943</v>
      </c>
      <c r="G1351" s="6" t="s">
        <v>5944</v>
      </c>
      <c r="J1351" s="9" t="s">
        <v>5945</v>
      </c>
      <c r="O1351" s="10">
        <f>IFERROR(__xludf.DUMMYFUNCTION("VALUE(REGEXEXTRACT(A1351, ""\d+""))"),1624.0)</f>
        <v>1624</v>
      </c>
    </row>
    <row r="1352">
      <c r="A1352" s="9" t="s">
        <v>5946</v>
      </c>
      <c r="B1352" s="9" t="s">
        <v>5947</v>
      </c>
      <c r="D1352" s="9" t="s">
        <v>5948</v>
      </c>
      <c r="G1352" s="6" t="s">
        <v>5949</v>
      </c>
      <c r="J1352" s="9" t="s">
        <v>5950</v>
      </c>
      <c r="O1352" s="10">
        <f>IFERROR(__xludf.DUMMYFUNCTION("VALUE(REGEXEXTRACT(A1352, ""\d+""))"),1625.0)</f>
        <v>1625</v>
      </c>
    </row>
    <row r="1353">
      <c r="A1353" s="9" t="s">
        <v>5951</v>
      </c>
      <c r="B1353" s="9" t="s">
        <v>5952</v>
      </c>
      <c r="D1353" s="9" t="s">
        <v>5953</v>
      </c>
      <c r="G1353" s="6" t="s">
        <v>5954</v>
      </c>
      <c r="J1353" s="9" t="s">
        <v>5955</v>
      </c>
      <c r="O1353" s="10">
        <f>IFERROR(__xludf.DUMMYFUNCTION("VALUE(REGEXEXTRACT(A1353, ""\d+""))"),1626.0)</f>
        <v>1626</v>
      </c>
    </row>
    <row r="1354">
      <c r="A1354" s="9" t="s">
        <v>5956</v>
      </c>
      <c r="B1354" s="9" t="s">
        <v>5957</v>
      </c>
      <c r="D1354" s="9" t="s">
        <v>5958</v>
      </c>
      <c r="G1354" s="6" t="s">
        <v>5959</v>
      </c>
      <c r="J1354" s="9" t="s">
        <v>5960</v>
      </c>
      <c r="O1354" s="10">
        <f>IFERROR(__xludf.DUMMYFUNCTION("VALUE(REGEXEXTRACT(A1354, ""\d+""))"),1627.0)</f>
        <v>1627</v>
      </c>
    </row>
    <row r="1355">
      <c r="A1355" s="9" t="s">
        <v>5961</v>
      </c>
      <c r="B1355" s="9" t="s">
        <v>5962</v>
      </c>
      <c r="D1355" s="9" t="s">
        <v>5963</v>
      </c>
      <c r="G1355" s="6" t="s">
        <v>5963</v>
      </c>
      <c r="J1355" s="9" t="s">
        <v>5964</v>
      </c>
      <c r="O1355" s="10">
        <f>IFERROR(__xludf.DUMMYFUNCTION("VALUE(REGEXEXTRACT(A1355, ""\d+""))"),1628.0)</f>
        <v>1628</v>
      </c>
    </row>
    <row r="1356">
      <c r="A1356" s="9" t="s">
        <v>5965</v>
      </c>
      <c r="B1356" s="9" t="s">
        <v>5966</v>
      </c>
      <c r="D1356" s="9" t="s">
        <v>5967</v>
      </c>
      <c r="G1356" s="6" t="s">
        <v>5967</v>
      </c>
      <c r="J1356" s="9" t="s">
        <v>5968</v>
      </c>
      <c r="O1356" s="10">
        <f>IFERROR(__xludf.DUMMYFUNCTION("VALUE(REGEXEXTRACT(A1356, ""\d+""))"),1629.0)</f>
        <v>1629</v>
      </c>
    </row>
    <row r="1357">
      <c r="A1357" s="9" t="s">
        <v>5969</v>
      </c>
      <c r="B1357" s="9" t="s">
        <v>5970</v>
      </c>
      <c r="D1357" s="9" t="s">
        <v>5971</v>
      </c>
      <c r="G1357" s="6" t="s">
        <v>5972</v>
      </c>
      <c r="J1357" s="9" t="s">
        <v>5973</v>
      </c>
      <c r="O1357" s="10">
        <f>IFERROR(__xludf.DUMMYFUNCTION("VALUE(REGEXEXTRACT(A1357, ""\d+""))"),1630.0)</f>
        <v>1630</v>
      </c>
    </row>
    <row r="1358">
      <c r="A1358" s="9" t="s">
        <v>5974</v>
      </c>
      <c r="B1358" s="9" t="s">
        <v>5975</v>
      </c>
      <c r="D1358" s="9" t="s">
        <v>5976</v>
      </c>
      <c r="G1358" s="6" t="s">
        <v>5977</v>
      </c>
      <c r="J1358" s="9" t="s">
        <v>5978</v>
      </c>
      <c r="O1358" s="10">
        <f>IFERROR(__xludf.DUMMYFUNCTION("VALUE(REGEXEXTRACT(A1358, ""\d+""))"),1631.0)</f>
        <v>1631</v>
      </c>
    </row>
    <row r="1359">
      <c r="A1359" s="9" t="s">
        <v>5979</v>
      </c>
      <c r="B1359" s="9" t="s">
        <v>5980</v>
      </c>
      <c r="D1359" s="9" t="s">
        <v>5981</v>
      </c>
      <c r="G1359" s="6" t="s">
        <v>5981</v>
      </c>
      <c r="J1359" s="9" t="s">
        <v>5982</v>
      </c>
      <c r="O1359" s="10">
        <f>IFERROR(__xludf.DUMMYFUNCTION("VALUE(REGEXEXTRACT(A1359, ""\d+""))"),1632.0)</f>
        <v>1632</v>
      </c>
    </row>
    <row r="1360">
      <c r="A1360" s="9" t="s">
        <v>5983</v>
      </c>
      <c r="B1360" s="9" t="s">
        <v>5984</v>
      </c>
      <c r="D1360" s="9" t="s">
        <v>5985</v>
      </c>
      <c r="G1360" s="6" t="s">
        <v>5986</v>
      </c>
      <c r="J1360" s="9" t="s">
        <v>5987</v>
      </c>
      <c r="O1360" s="10">
        <f>IFERROR(__xludf.DUMMYFUNCTION("VALUE(REGEXEXTRACT(A1360, ""\d+""))"),1633.0)</f>
        <v>1633</v>
      </c>
    </row>
    <row r="1361">
      <c r="A1361" s="9" t="s">
        <v>5988</v>
      </c>
      <c r="B1361" s="9" t="s">
        <v>5989</v>
      </c>
      <c r="D1361" s="9" t="s">
        <v>5990</v>
      </c>
      <c r="G1361" s="6" t="s">
        <v>5990</v>
      </c>
      <c r="J1361" s="9" t="s">
        <v>5991</v>
      </c>
      <c r="O1361" s="10">
        <f>IFERROR(__xludf.DUMMYFUNCTION("VALUE(REGEXEXTRACT(A1361, ""\d+""))"),1634.0)</f>
        <v>1634</v>
      </c>
    </row>
    <row r="1362">
      <c r="A1362" s="9" t="s">
        <v>5992</v>
      </c>
      <c r="B1362" s="9" t="s">
        <v>5993</v>
      </c>
      <c r="D1362" s="9" t="s">
        <v>5994</v>
      </c>
      <c r="G1362" s="6" t="s">
        <v>5995</v>
      </c>
      <c r="J1362" s="9" t="s">
        <v>5996</v>
      </c>
      <c r="O1362" s="10">
        <f>IFERROR(__xludf.DUMMYFUNCTION("VALUE(REGEXEXTRACT(A1362, ""\d+""))"),1635.0)</f>
        <v>1635</v>
      </c>
    </row>
    <row r="1363">
      <c r="A1363" s="9" t="s">
        <v>5997</v>
      </c>
      <c r="B1363" s="9" t="s">
        <v>5998</v>
      </c>
      <c r="D1363" s="9" t="s">
        <v>5999</v>
      </c>
      <c r="G1363" s="6" t="s">
        <v>6000</v>
      </c>
      <c r="J1363" s="9" t="s">
        <v>6001</v>
      </c>
      <c r="O1363" s="10">
        <f>IFERROR(__xludf.DUMMYFUNCTION("VALUE(REGEXEXTRACT(A1363, ""\d+""))"),1636.0)</f>
        <v>1636</v>
      </c>
    </row>
    <row r="1364">
      <c r="A1364" s="9" t="s">
        <v>6002</v>
      </c>
      <c r="B1364" s="9" t="s">
        <v>6003</v>
      </c>
      <c r="D1364" s="9" t="s">
        <v>6004</v>
      </c>
      <c r="G1364" s="6" t="s">
        <v>6004</v>
      </c>
      <c r="J1364" s="9" t="s">
        <v>6005</v>
      </c>
      <c r="O1364" s="10">
        <f>IFERROR(__xludf.DUMMYFUNCTION("VALUE(REGEXEXTRACT(A1364, ""\d+""))"),1637.0)</f>
        <v>1637</v>
      </c>
    </row>
    <row r="1365">
      <c r="A1365" s="9" t="s">
        <v>6006</v>
      </c>
      <c r="B1365" s="9" t="s">
        <v>6007</v>
      </c>
      <c r="D1365" s="9" t="s">
        <v>6008</v>
      </c>
      <c r="G1365" s="6" t="s">
        <v>6009</v>
      </c>
      <c r="J1365" s="9" t="s">
        <v>6010</v>
      </c>
      <c r="O1365" s="10">
        <f>IFERROR(__xludf.DUMMYFUNCTION("VALUE(REGEXEXTRACT(A1365, ""\d+""))"),1638.0)</f>
        <v>1638</v>
      </c>
    </row>
    <row r="1366">
      <c r="A1366" s="9" t="s">
        <v>6011</v>
      </c>
      <c r="B1366" s="9" t="s">
        <v>6012</v>
      </c>
      <c r="D1366" s="9" t="s">
        <v>6013</v>
      </c>
      <c r="G1366" s="6" t="s">
        <v>6013</v>
      </c>
      <c r="J1366" s="9" t="s">
        <v>6014</v>
      </c>
      <c r="O1366" s="10">
        <f>IFERROR(__xludf.DUMMYFUNCTION("VALUE(REGEXEXTRACT(A1366, ""\d+""))"),1639.0)</f>
        <v>1639</v>
      </c>
    </row>
    <row r="1367">
      <c r="A1367" s="9" t="s">
        <v>6015</v>
      </c>
      <c r="B1367" s="9" t="s">
        <v>6016</v>
      </c>
      <c r="D1367" s="9" t="s">
        <v>6017</v>
      </c>
      <c r="G1367" s="6" t="s">
        <v>6018</v>
      </c>
      <c r="J1367" s="9" t="s">
        <v>6019</v>
      </c>
      <c r="O1367" s="10">
        <f>IFERROR(__xludf.DUMMYFUNCTION("VALUE(REGEXEXTRACT(A1367, ""\d+""))"),1640.0)</f>
        <v>1640</v>
      </c>
    </row>
    <row r="1368">
      <c r="A1368" s="9" t="s">
        <v>6020</v>
      </c>
      <c r="B1368" s="9" t="s">
        <v>6021</v>
      </c>
      <c r="D1368" s="9" t="s">
        <v>6021</v>
      </c>
      <c r="G1368" s="6" t="s">
        <v>6021</v>
      </c>
      <c r="J1368" s="9" t="s">
        <v>6021</v>
      </c>
      <c r="O1368" s="10">
        <f>IFERROR(__xludf.DUMMYFUNCTION("VALUE(REGEXEXTRACT(A1368, ""\d+""))"),1641.0)</f>
        <v>1641</v>
      </c>
    </row>
    <row r="1369">
      <c r="A1369" s="9" t="s">
        <v>6022</v>
      </c>
      <c r="B1369" s="9" t="s">
        <v>6023</v>
      </c>
      <c r="D1369" s="9" t="s">
        <v>6024</v>
      </c>
      <c r="G1369" s="6" t="s">
        <v>6025</v>
      </c>
      <c r="J1369" s="9" t="s">
        <v>6026</v>
      </c>
      <c r="O1369" s="10">
        <f>IFERROR(__xludf.DUMMYFUNCTION("VALUE(REGEXEXTRACT(A1369, ""\d+""))"),1642.0)</f>
        <v>1642</v>
      </c>
    </row>
    <row r="1370">
      <c r="A1370" s="9" t="s">
        <v>6027</v>
      </c>
      <c r="B1370" s="9" t="s">
        <v>6028</v>
      </c>
      <c r="D1370" s="9" t="s">
        <v>6029</v>
      </c>
      <c r="G1370" s="6" t="s">
        <v>6029</v>
      </c>
      <c r="J1370" s="9" t="s">
        <v>6030</v>
      </c>
      <c r="O1370" s="10">
        <f>IFERROR(__xludf.DUMMYFUNCTION("VALUE(REGEXEXTRACT(A1370, ""\d+""))"),1643.0)</f>
        <v>1643</v>
      </c>
    </row>
    <row r="1371">
      <c r="A1371" s="9" t="s">
        <v>6031</v>
      </c>
      <c r="B1371" s="9" t="s">
        <v>6032</v>
      </c>
      <c r="D1371" s="9" t="s">
        <v>6033</v>
      </c>
      <c r="G1371" s="6" t="s">
        <v>6033</v>
      </c>
      <c r="J1371" s="9" t="s">
        <v>6034</v>
      </c>
      <c r="O1371" s="10">
        <f>IFERROR(__xludf.DUMMYFUNCTION("VALUE(REGEXEXTRACT(A1371, ""\d+""))"),1644.0)</f>
        <v>1644</v>
      </c>
    </row>
    <row r="1372">
      <c r="A1372" s="9" t="s">
        <v>6035</v>
      </c>
      <c r="B1372" s="9" t="s">
        <v>6036</v>
      </c>
      <c r="D1372" s="9" t="s">
        <v>6037</v>
      </c>
      <c r="G1372" s="6" t="s">
        <v>6038</v>
      </c>
      <c r="J1372" s="9" t="s">
        <v>6039</v>
      </c>
      <c r="O1372" s="10">
        <f>IFERROR(__xludf.DUMMYFUNCTION("VALUE(REGEXEXTRACT(A1372, ""\d+""))"),1645.0)</f>
        <v>1645</v>
      </c>
    </row>
    <row r="1373">
      <c r="A1373" s="9" t="s">
        <v>6040</v>
      </c>
      <c r="B1373" s="9" t="s">
        <v>6041</v>
      </c>
      <c r="D1373" s="9" t="s">
        <v>6042</v>
      </c>
      <c r="G1373" s="6" t="s">
        <v>6043</v>
      </c>
      <c r="J1373" s="9" t="s">
        <v>6044</v>
      </c>
      <c r="O1373" s="10">
        <f>IFERROR(__xludf.DUMMYFUNCTION("VALUE(REGEXEXTRACT(A1373, ""\d+""))"),1646.0)</f>
        <v>1646</v>
      </c>
    </row>
    <row r="1374">
      <c r="A1374" s="9" t="s">
        <v>6045</v>
      </c>
      <c r="B1374" s="9" t="s">
        <v>6046</v>
      </c>
      <c r="D1374" s="9" t="s">
        <v>6047</v>
      </c>
      <c r="G1374" s="6" t="s">
        <v>6048</v>
      </c>
      <c r="J1374" s="9" t="s">
        <v>6049</v>
      </c>
      <c r="O1374" s="10">
        <f>IFERROR(__xludf.DUMMYFUNCTION("VALUE(REGEXEXTRACT(A1374, ""\d+""))"),1647.0)</f>
        <v>1647</v>
      </c>
    </row>
    <row r="1375">
      <c r="A1375" s="9" t="s">
        <v>6050</v>
      </c>
      <c r="B1375" s="9" t="s">
        <v>6051</v>
      </c>
      <c r="D1375" s="9" t="s">
        <v>6052</v>
      </c>
      <c r="G1375" s="6" t="s">
        <v>6053</v>
      </c>
      <c r="J1375" s="9" t="s">
        <v>6054</v>
      </c>
      <c r="O1375" s="10">
        <f>IFERROR(__xludf.DUMMYFUNCTION("VALUE(REGEXEXTRACT(A1375, ""\d+""))"),1648.0)</f>
        <v>1648</v>
      </c>
    </row>
    <row r="1376">
      <c r="A1376" s="9" t="s">
        <v>6055</v>
      </c>
      <c r="B1376" s="9" t="s">
        <v>6056</v>
      </c>
      <c r="D1376" s="9" t="s">
        <v>1698</v>
      </c>
      <c r="G1376" s="6" t="s">
        <v>6057</v>
      </c>
      <c r="J1376" s="9" t="s">
        <v>1700</v>
      </c>
      <c r="O1376" s="10">
        <f>IFERROR(__xludf.DUMMYFUNCTION("VALUE(REGEXEXTRACT(A1376, ""\d+""))"),1649.0)</f>
        <v>1649</v>
      </c>
    </row>
    <row r="1377">
      <c r="A1377" s="9" t="s">
        <v>6058</v>
      </c>
      <c r="B1377" s="9" t="s">
        <v>6059</v>
      </c>
      <c r="D1377" s="9" t="s">
        <v>6060</v>
      </c>
      <c r="G1377" s="6" t="s">
        <v>6061</v>
      </c>
      <c r="J1377" s="9" t="s">
        <v>6062</v>
      </c>
      <c r="O1377" s="10">
        <f>IFERROR(__xludf.DUMMYFUNCTION("VALUE(REGEXEXTRACT(A1377, ""\d+""))"),1650.0)</f>
        <v>1650</v>
      </c>
    </row>
    <row r="1378">
      <c r="A1378" s="9" t="s">
        <v>6063</v>
      </c>
      <c r="B1378" s="9" t="s">
        <v>6064</v>
      </c>
      <c r="D1378" s="9" t="s">
        <v>6065</v>
      </c>
      <c r="G1378" s="6" t="s">
        <v>6066</v>
      </c>
      <c r="J1378" s="9" t="s">
        <v>6067</v>
      </c>
      <c r="O1378" s="10">
        <f>IFERROR(__xludf.DUMMYFUNCTION("VALUE(REGEXEXTRACT(A1378, ""\d+""))"),1651.0)</f>
        <v>1651</v>
      </c>
    </row>
    <row r="1379">
      <c r="A1379" s="9" t="s">
        <v>6068</v>
      </c>
      <c r="B1379" s="9" t="s">
        <v>6069</v>
      </c>
      <c r="D1379" s="9" t="s">
        <v>6070</v>
      </c>
      <c r="G1379" s="6" t="s">
        <v>6071</v>
      </c>
      <c r="J1379" s="9" t="s">
        <v>6072</v>
      </c>
      <c r="O1379" s="10">
        <f>IFERROR(__xludf.DUMMYFUNCTION("VALUE(REGEXEXTRACT(A1379, ""\d+""))"),1652.0)</f>
        <v>1652</v>
      </c>
    </row>
    <row r="1380">
      <c r="A1380" s="9" t="s">
        <v>6073</v>
      </c>
      <c r="B1380" s="9" t="s">
        <v>6074</v>
      </c>
      <c r="D1380" s="9" t="s">
        <v>6075</v>
      </c>
      <c r="G1380" s="6" t="s">
        <v>6076</v>
      </c>
      <c r="J1380" s="9" t="s">
        <v>6077</v>
      </c>
      <c r="O1380" s="10">
        <f>IFERROR(__xludf.DUMMYFUNCTION("VALUE(REGEXEXTRACT(A1380, ""\d+""))"),1653.0)</f>
        <v>1653</v>
      </c>
    </row>
    <row r="1381">
      <c r="A1381" s="9" t="s">
        <v>6078</v>
      </c>
      <c r="B1381" s="9" t="s">
        <v>6079</v>
      </c>
      <c r="D1381" s="9" t="s">
        <v>6080</v>
      </c>
      <c r="G1381" s="6" t="s">
        <v>6081</v>
      </c>
      <c r="J1381" s="9" t="s">
        <v>6082</v>
      </c>
      <c r="O1381" s="10">
        <f>IFERROR(__xludf.DUMMYFUNCTION("VALUE(REGEXEXTRACT(A1381, ""\d+""))"),1654.0)</f>
        <v>1654</v>
      </c>
    </row>
    <row r="1382">
      <c r="A1382" s="9" t="s">
        <v>6083</v>
      </c>
      <c r="B1382" s="9" t="s">
        <v>6084</v>
      </c>
      <c r="D1382" s="9" t="s">
        <v>6085</v>
      </c>
      <c r="G1382" s="6" t="s">
        <v>6085</v>
      </c>
      <c r="J1382" s="9" t="s">
        <v>6086</v>
      </c>
      <c r="O1382" s="10">
        <f>IFERROR(__xludf.DUMMYFUNCTION("VALUE(REGEXEXTRACT(A1382, ""\d+""))"),1655.0)</f>
        <v>1655</v>
      </c>
    </row>
    <row r="1383">
      <c r="A1383" s="9" t="s">
        <v>6087</v>
      </c>
      <c r="B1383" s="9" t="s">
        <v>6088</v>
      </c>
      <c r="D1383" s="9" t="s">
        <v>6089</v>
      </c>
      <c r="G1383" s="6" t="s">
        <v>6089</v>
      </c>
      <c r="J1383" s="9" t="s">
        <v>6090</v>
      </c>
      <c r="O1383" s="10">
        <f>IFERROR(__xludf.DUMMYFUNCTION("VALUE(REGEXEXTRACT(A1383, ""\d+""))"),1656.0)</f>
        <v>1656</v>
      </c>
    </row>
    <row r="1384">
      <c r="A1384" s="9" t="s">
        <v>6091</v>
      </c>
      <c r="B1384" s="9" t="s">
        <v>6092</v>
      </c>
      <c r="D1384" s="9" t="s">
        <v>6093</v>
      </c>
      <c r="G1384" s="6" t="s">
        <v>6093</v>
      </c>
      <c r="J1384" s="9" t="s">
        <v>6094</v>
      </c>
      <c r="O1384" s="10">
        <f>IFERROR(__xludf.DUMMYFUNCTION("VALUE(REGEXEXTRACT(A1384, ""\d+""))"),1657.0)</f>
        <v>1657</v>
      </c>
    </row>
    <row r="1385">
      <c r="A1385" s="9" t="s">
        <v>6095</v>
      </c>
      <c r="B1385" s="9" t="s">
        <v>6096</v>
      </c>
      <c r="D1385" s="9" t="s">
        <v>6097</v>
      </c>
      <c r="G1385" s="6" t="s">
        <v>6098</v>
      </c>
      <c r="J1385" s="9" t="s">
        <v>6099</v>
      </c>
      <c r="O1385" s="10">
        <f>IFERROR(__xludf.DUMMYFUNCTION("VALUE(REGEXEXTRACT(A1385, ""\d+""))"),1658.0)</f>
        <v>1658</v>
      </c>
    </row>
    <row r="1386">
      <c r="A1386" s="9" t="s">
        <v>6100</v>
      </c>
      <c r="B1386" s="9" t="s">
        <v>6101</v>
      </c>
      <c r="D1386" s="9" t="s">
        <v>6102</v>
      </c>
      <c r="G1386" s="6" t="s">
        <v>6102</v>
      </c>
      <c r="J1386" s="9" t="s">
        <v>6103</v>
      </c>
      <c r="O1386" s="10">
        <f>IFERROR(__xludf.DUMMYFUNCTION("VALUE(REGEXEXTRACT(A1386, ""\d+""))"),1659.0)</f>
        <v>1659</v>
      </c>
    </row>
    <row r="1387">
      <c r="A1387" s="9" t="s">
        <v>6104</v>
      </c>
      <c r="B1387" s="9" t="s">
        <v>6105</v>
      </c>
      <c r="D1387" s="9" t="s">
        <v>6106</v>
      </c>
      <c r="G1387" s="6" t="s">
        <v>6107</v>
      </c>
      <c r="J1387" s="9" t="s">
        <v>6108</v>
      </c>
      <c r="O1387" s="10">
        <f>IFERROR(__xludf.DUMMYFUNCTION("VALUE(REGEXEXTRACT(A1387, ""\d+""))"),1660.0)</f>
        <v>1660</v>
      </c>
    </row>
    <row r="1388">
      <c r="A1388" s="9" t="s">
        <v>6109</v>
      </c>
      <c r="B1388" s="9" t="s">
        <v>6110</v>
      </c>
      <c r="D1388" s="9" t="s">
        <v>6111</v>
      </c>
      <c r="G1388" s="6" t="s">
        <v>6112</v>
      </c>
      <c r="J1388" s="9" t="s">
        <v>6113</v>
      </c>
      <c r="O1388" s="10">
        <f>IFERROR(__xludf.DUMMYFUNCTION("VALUE(REGEXEXTRACT(A1388, ""\d+""))"),1661.0)</f>
        <v>1661</v>
      </c>
    </row>
    <row r="1389">
      <c r="A1389" s="9" t="s">
        <v>6114</v>
      </c>
      <c r="B1389" s="9" t="s">
        <v>6115</v>
      </c>
      <c r="D1389" s="9" t="s">
        <v>6116</v>
      </c>
      <c r="G1389" s="6" t="s">
        <v>6117</v>
      </c>
      <c r="J1389" s="9" t="s">
        <v>6118</v>
      </c>
      <c r="O1389" s="10">
        <f>IFERROR(__xludf.DUMMYFUNCTION("VALUE(REGEXEXTRACT(A1389, ""\d+""))"),1662.0)</f>
        <v>1662</v>
      </c>
    </row>
    <row r="1390">
      <c r="A1390" s="9" t="s">
        <v>6119</v>
      </c>
      <c r="B1390" s="9" t="s">
        <v>6120</v>
      </c>
      <c r="D1390" s="9" t="s">
        <v>6121</v>
      </c>
      <c r="G1390" s="6" t="s">
        <v>6122</v>
      </c>
      <c r="J1390" s="9" t="s">
        <v>6123</v>
      </c>
      <c r="O1390" s="10">
        <f>IFERROR(__xludf.DUMMYFUNCTION("VALUE(REGEXEXTRACT(A1390, ""\d+""))"),1663.0)</f>
        <v>1663</v>
      </c>
    </row>
    <row r="1391">
      <c r="A1391" s="9" t="s">
        <v>6124</v>
      </c>
      <c r="B1391" s="9" t="s">
        <v>6125</v>
      </c>
      <c r="D1391" s="9" t="s">
        <v>6126</v>
      </c>
      <c r="G1391" s="6" t="s">
        <v>6127</v>
      </c>
      <c r="J1391" s="9" t="s">
        <v>6128</v>
      </c>
      <c r="O1391" s="10">
        <f>IFERROR(__xludf.DUMMYFUNCTION("VALUE(REGEXEXTRACT(A1391, ""\d+""))"),1664.0)</f>
        <v>1664</v>
      </c>
    </row>
    <row r="1392">
      <c r="A1392" s="9" t="s">
        <v>6129</v>
      </c>
      <c r="B1392" s="9" t="s">
        <v>6130</v>
      </c>
      <c r="D1392" s="9" t="s">
        <v>6131</v>
      </c>
      <c r="G1392" s="6" t="s">
        <v>6131</v>
      </c>
      <c r="J1392" s="9" t="s">
        <v>6132</v>
      </c>
      <c r="O1392" s="10">
        <f>IFERROR(__xludf.DUMMYFUNCTION("VALUE(REGEXEXTRACT(A1392, ""\d+""))"),1665.0)</f>
        <v>1665</v>
      </c>
    </row>
    <row r="1393">
      <c r="A1393" s="9" t="s">
        <v>6133</v>
      </c>
      <c r="B1393" s="9" t="s">
        <v>6134</v>
      </c>
      <c r="D1393" s="9" t="s">
        <v>6135</v>
      </c>
      <c r="G1393" s="6" t="s">
        <v>6135</v>
      </c>
      <c r="J1393" s="9" t="s">
        <v>6136</v>
      </c>
      <c r="O1393" s="10">
        <f>IFERROR(__xludf.DUMMYFUNCTION("VALUE(REGEXEXTRACT(A1393, ""\d+""))"),1667.0)</f>
        <v>1667</v>
      </c>
    </row>
    <row r="1394">
      <c r="A1394" s="9" t="s">
        <v>6137</v>
      </c>
      <c r="B1394" s="9" t="s">
        <v>6138</v>
      </c>
      <c r="D1394" s="9" t="s">
        <v>6139</v>
      </c>
      <c r="G1394" s="6" t="s">
        <v>6140</v>
      </c>
      <c r="J1394" s="9" t="s">
        <v>6141</v>
      </c>
      <c r="O1394" s="10">
        <f>IFERROR(__xludf.DUMMYFUNCTION("VALUE(REGEXEXTRACT(A1394, ""\d+""))"),1668.0)</f>
        <v>1668</v>
      </c>
    </row>
    <row r="1395">
      <c r="A1395" s="9" t="s">
        <v>6142</v>
      </c>
      <c r="B1395" s="9" t="s">
        <v>6143</v>
      </c>
      <c r="D1395" s="9" t="s">
        <v>6144</v>
      </c>
      <c r="G1395" s="6" t="s">
        <v>6144</v>
      </c>
      <c r="J1395" s="9" t="s">
        <v>6145</v>
      </c>
      <c r="O1395" s="10">
        <f>IFERROR(__xludf.DUMMYFUNCTION("VALUE(REGEXEXTRACT(A1395, ""\d+""))"),1669.0)</f>
        <v>1669</v>
      </c>
    </row>
    <row r="1396">
      <c r="A1396" s="9" t="s">
        <v>6146</v>
      </c>
      <c r="B1396" s="9" t="s">
        <v>6147</v>
      </c>
      <c r="D1396" s="9" t="s">
        <v>6148</v>
      </c>
      <c r="G1396" s="6" t="s">
        <v>6149</v>
      </c>
      <c r="J1396" s="9" t="s">
        <v>6150</v>
      </c>
      <c r="O1396" s="10">
        <f>IFERROR(__xludf.DUMMYFUNCTION("VALUE(REGEXEXTRACT(A1396, ""\d+""))"),1670.0)</f>
        <v>1670</v>
      </c>
    </row>
    <row r="1397">
      <c r="A1397" s="9" t="s">
        <v>6151</v>
      </c>
      <c r="B1397" s="9" t="s">
        <v>6152</v>
      </c>
      <c r="D1397" s="9" t="s">
        <v>6153</v>
      </c>
      <c r="G1397" s="6" t="s">
        <v>6154</v>
      </c>
      <c r="J1397" s="9" t="s">
        <v>6155</v>
      </c>
      <c r="O1397" s="10">
        <f>IFERROR(__xludf.DUMMYFUNCTION("VALUE(REGEXEXTRACT(A1397, ""\d+""))"),1671.0)</f>
        <v>1671</v>
      </c>
    </row>
    <row r="1398">
      <c r="A1398" s="9" t="s">
        <v>6156</v>
      </c>
      <c r="B1398" s="9" t="s">
        <v>6157</v>
      </c>
      <c r="D1398" s="9" t="s">
        <v>6158</v>
      </c>
      <c r="G1398" s="6" t="s">
        <v>6159</v>
      </c>
      <c r="J1398" s="9" t="s">
        <v>6160</v>
      </c>
      <c r="O1398" s="10">
        <f>IFERROR(__xludf.DUMMYFUNCTION("VALUE(REGEXEXTRACT(A1398, ""\d+""))"),1672.0)</f>
        <v>1672</v>
      </c>
    </row>
    <row r="1399">
      <c r="A1399" s="9" t="s">
        <v>6161</v>
      </c>
      <c r="B1399" s="9" t="s">
        <v>6162</v>
      </c>
      <c r="D1399" s="9" t="s">
        <v>6163</v>
      </c>
      <c r="G1399" s="6" t="s">
        <v>6164</v>
      </c>
      <c r="J1399" s="9" t="s">
        <v>6165</v>
      </c>
      <c r="O1399" s="10">
        <f>IFERROR(__xludf.DUMMYFUNCTION("VALUE(REGEXEXTRACT(A1399, ""\d+""))"),1673.0)</f>
        <v>1673</v>
      </c>
    </row>
    <row r="1400">
      <c r="A1400" s="9" t="s">
        <v>6166</v>
      </c>
      <c r="B1400" s="9" t="s">
        <v>6167</v>
      </c>
      <c r="D1400" s="9" t="s">
        <v>6168</v>
      </c>
      <c r="G1400" s="6" t="s">
        <v>6169</v>
      </c>
      <c r="J1400" s="9" t="s">
        <v>6170</v>
      </c>
      <c r="O1400" s="10">
        <f>IFERROR(__xludf.DUMMYFUNCTION("VALUE(REGEXEXTRACT(A1400, ""\d+""))"),1674.0)</f>
        <v>1674</v>
      </c>
    </row>
    <row r="1401">
      <c r="A1401" s="9" t="s">
        <v>6171</v>
      </c>
      <c r="B1401" s="9" t="s">
        <v>6172</v>
      </c>
      <c r="D1401" s="9" t="s">
        <v>6173</v>
      </c>
      <c r="G1401" s="6" t="s">
        <v>6173</v>
      </c>
      <c r="J1401" s="9" t="s">
        <v>6174</v>
      </c>
      <c r="O1401" s="10">
        <f>IFERROR(__xludf.DUMMYFUNCTION("VALUE(REGEXEXTRACT(A1401, ""\d+""))"),1675.0)</f>
        <v>1675</v>
      </c>
    </row>
    <row r="1402">
      <c r="A1402" s="9" t="s">
        <v>6175</v>
      </c>
      <c r="B1402" s="9" t="s">
        <v>6176</v>
      </c>
      <c r="G1402" s="6" t="s">
        <v>6177</v>
      </c>
      <c r="O1402" s="10">
        <f>IFERROR(__xludf.DUMMYFUNCTION("VALUE(REGEXEXTRACT(A1402, ""\d+""))"),1676.0)</f>
        <v>1676</v>
      </c>
    </row>
    <row r="1403">
      <c r="A1403" s="9" t="s">
        <v>6178</v>
      </c>
      <c r="B1403" s="9" t="s">
        <v>6179</v>
      </c>
      <c r="G1403" s="6" t="s">
        <v>6180</v>
      </c>
      <c r="O1403" s="10">
        <f>IFERROR(__xludf.DUMMYFUNCTION("VALUE(REGEXEXTRACT(A1403, ""\d+""))"),1677.0)</f>
        <v>1677</v>
      </c>
    </row>
    <row r="1404">
      <c r="A1404" s="9" t="s">
        <v>6181</v>
      </c>
      <c r="B1404" s="9" t="s">
        <v>6182</v>
      </c>
      <c r="G1404" s="6" t="s">
        <v>6183</v>
      </c>
      <c r="O1404" s="10">
        <f>IFERROR(__xludf.DUMMYFUNCTION("VALUE(REGEXEXTRACT(A1404, ""\d+""))"),1678.0)</f>
        <v>1678</v>
      </c>
    </row>
    <row r="1405">
      <c r="A1405" s="9" t="s">
        <v>6184</v>
      </c>
      <c r="B1405" s="9" t="s">
        <v>6185</v>
      </c>
      <c r="G1405" s="6" t="s">
        <v>6186</v>
      </c>
      <c r="O1405" s="10">
        <f>IFERROR(__xludf.DUMMYFUNCTION("VALUE(REGEXEXTRACT(A1405, ""\d+""))"),1679.0)</f>
        <v>1679</v>
      </c>
    </row>
    <row r="1406">
      <c r="A1406" s="9" t="s">
        <v>6187</v>
      </c>
      <c r="B1406" s="9" t="s">
        <v>6188</v>
      </c>
      <c r="G1406" s="6" t="s">
        <v>6189</v>
      </c>
      <c r="O1406" s="10">
        <f>IFERROR(__xludf.DUMMYFUNCTION("VALUE(REGEXEXTRACT(A1406, ""\d+""))"),1680.0)</f>
        <v>1680</v>
      </c>
    </row>
    <row r="1407">
      <c r="A1407" s="9" t="s">
        <v>6190</v>
      </c>
      <c r="B1407" s="9" t="s">
        <v>6191</v>
      </c>
      <c r="G1407" s="6" t="s">
        <v>6192</v>
      </c>
      <c r="O1407" s="10">
        <f>IFERROR(__xludf.DUMMYFUNCTION("VALUE(REGEXEXTRACT(A1407, ""\d+""))"),1681.0)</f>
        <v>1681</v>
      </c>
    </row>
    <row r="1408">
      <c r="A1408" s="9" t="s">
        <v>6193</v>
      </c>
      <c r="B1408" s="9" t="s">
        <v>6194</v>
      </c>
      <c r="G1408" s="6" t="s">
        <v>6195</v>
      </c>
      <c r="O1408" s="10">
        <f>IFERROR(__xludf.DUMMYFUNCTION("VALUE(REGEXEXTRACT(A1408, ""\d+""))"),1682.0)</f>
        <v>1682</v>
      </c>
    </row>
    <row r="1409">
      <c r="A1409" s="9" t="s">
        <v>6196</v>
      </c>
      <c r="B1409" s="9" t="s">
        <v>6197</v>
      </c>
      <c r="G1409" s="6" t="s">
        <v>6198</v>
      </c>
      <c r="O1409" s="10">
        <f>IFERROR(__xludf.DUMMYFUNCTION("VALUE(REGEXEXTRACT(A1409, ""\d+""))"),1683.0)</f>
        <v>1683</v>
      </c>
    </row>
    <row r="1410">
      <c r="A1410" s="9" t="s">
        <v>6199</v>
      </c>
      <c r="B1410" s="9" t="s">
        <v>6200</v>
      </c>
      <c r="G1410" s="6" t="s">
        <v>6201</v>
      </c>
      <c r="O1410" s="10">
        <f>IFERROR(__xludf.DUMMYFUNCTION("VALUE(REGEXEXTRACT(A1410, ""\d+""))"),1684.0)</f>
        <v>1684</v>
      </c>
    </row>
    <row r="1411">
      <c r="A1411" s="9" t="s">
        <v>6202</v>
      </c>
      <c r="B1411" s="9" t="s">
        <v>6203</v>
      </c>
      <c r="D1411" s="9" t="s">
        <v>6204</v>
      </c>
      <c r="G1411" s="6" t="s">
        <v>6205</v>
      </c>
      <c r="J1411" s="9" t="s">
        <v>6206</v>
      </c>
      <c r="O1411" s="10">
        <f>IFERROR(__xludf.DUMMYFUNCTION("VALUE(REGEXEXTRACT(A1411, ""\d+""))"),1685.0)</f>
        <v>1685</v>
      </c>
    </row>
    <row r="1412">
      <c r="A1412" s="9" t="s">
        <v>6207</v>
      </c>
      <c r="B1412" s="9" t="s">
        <v>6208</v>
      </c>
      <c r="D1412" s="9" t="s">
        <v>6209</v>
      </c>
      <c r="G1412" s="6" t="s">
        <v>6210</v>
      </c>
      <c r="J1412" s="9" t="s">
        <v>6211</v>
      </c>
      <c r="O1412" s="10">
        <f>IFERROR(__xludf.DUMMYFUNCTION("VALUE(REGEXEXTRACT(A1412, ""\d+""))"),1686.0)</f>
        <v>1686</v>
      </c>
    </row>
    <row r="1413">
      <c r="A1413" s="9" t="s">
        <v>6212</v>
      </c>
      <c r="B1413" s="9" t="s">
        <v>6213</v>
      </c>
      <c r="D1413" s="9" t="s">
        <v>6214</v>
      </c>
      <c r="G1413" s="6" t="s">
        <v>6215</v>
      </c>
      <c r="J1413" s="9" t="s">
        <v>6216</v>
      </c>
      <c r="O1413" s="10">
        <f>IFERROR(__xludf.DUMMYFUNCTION("VALUE(REGEXEXTRACT(A1413, ""\d+""))"),1687.0)</f>
        <v>1687</v>
      </c>
    </row>
    <row r="1414">
      <c r="A1414" s="9" t="s">
        <v>6217</v>
      </c>
      <c r="B1414" s="9" t="s">
        <v>6218</v>
      </c>
      <c r="D1414" s="9" t="s">
        <v>1872</v>
      </c>
      <c r="G1414" s="6" t="s">
        <v>6219</v>
      </c>
      <c r="J1414" s="9" t="s">
        <v>1874</v>
      </c>
      <c r="O1414" s="10">
        <f>IFERROR(__xludf.DUMMYFUNCTION("VALUE(REGEXEXTRACT(A1414, ""\d+""))"),1688.0)</f>
        <v>1688</v>
      </c>
    </row>
    <row r="1415">
      <c r="A1415" s="9" t="s">
        <v>6220</v>
      </c>
      <c r="B1415" s="9" t="s">
        <v>6221</v>
      </c>
      <c r="D1415" s="9" t="s">
        <v>6222</v>
      </c>
      <c r="G1415" s="6" t="s">
        <v>6223</v>
      </c>
      <c r="J1415" s="9" t="s">
        <v>6224</v>
      </c>
      <c r="O1415" s="10">
        <f>IFERROR(__xludf.DUMMYFUNCTION("VALUE(REGEXEXTRACT(A1415, ""\d+""))"),1689.0)</f>
        <v>1689</v>
      </c>
    </row>
    <row r="1416">
      <c r="A1416" s="9" t="s">
        <v>6225</v>
      </c>
      <c r="B1416" s="9" t="s">
        <v>6226</v>
      </c>
      <c r="D1416" s="9" t="s">
        <v>6227</v>
      </c>
      <c r="G1416" s="6" t="s">
        <v>6228</v>
      </c>
      <c r="J1416" s="9" t="s">
        <v>6229</v>
      </c>
      <c r="O1416" s="10">
        <f>IFERROR(__xludf.DUMMYFUNCTION("VALUE(REGEXEXTRACT(A1416, ""\d+""))"),1690.0)</f>
        <v>1690</v>
      </c>
    </row>
    <row r="1417">
      <c r="A1417" s="9" t="s">
        <v>6230</v>
      </c>
      <c r="B1417" s="9" t="s">
        <v>6231</v>
      </c>
      <c r="D1417" s="9" t="s">
        <v>6232</v>
      </c>
      <c r="G1417" s="6" t="s">
        <v>6233</v>
      </c>
      <c r="J1417" s="9" t="s">
        <v>6234</v>
      </c>
      <c r="O1417" s="10">
        <f>IFERROR(__xludf.DUMMYFUNCTION("VALUE(REGEXEXTRACT(A1417, ""\d+""))"),1691.0)</f>
        <v>1691</v>
      </c>
    </row>
    <row r="1418">
      <c r="A1418" s="9" t="s">
        <v>6235</v>
      </c>
      <c r="B1418" s="9" t="s">
        <v>6236</v>
      </c>
      <c r="D1418" s="9" t="s">
        <v>6237</v>
      </c>
      <c r="G1418" s="6" t="s">
        <v>6238</v>
      </c>
      <c r="J1418" s="9" t="s">
        <v>6239</v>
      </c>
      <c r="O1418" s="10">
        <f>IFERROR(__xludf.DUMMYFUNCTION("VALUE(REGEXEXTRACT(A1418, ""\d+""))"),1692.0)</f>
        <v>1692</v>
      </c>
    </row>
    <row r="1419">
      <c r="A1419" s="9" t="s">
        <v>6240</v>
      </c>
      <c r="B1419" s="9" t="s">
        <v>6241</v>
      </c>
      <c r="D1419" s="9" t="s">
        <v>6242</v>
      </c>
      <c r="G1419" s="6" t="s">
        <v>6243</v>
      </c>
      <c r="J1419" s="9" t="s">
        <v>6244</v>
      </c>
      <c r="O1419" s="10">
        <f>IFERROR(__xludf.DUMMYFUNCTION("VALUE(REGEXEXTRACT(A1419, ""\d+""))"),1693.0)</f>
        <v>1693</v>
      </c>
    </row>
    <row r="1420">
      <c r="A1420" s="9" t="s">
        <v>6245</v>
      </c>
      <c r="B1420" s="9" t="s">
        <v>6246</v>
      </c>
      <c r="D1420" s="9" t="s">
        <v>6247</v>
      </c>
      <c r="G1420" s="6" t="s">
        <v>6248</v>
      </c>
      <c r="J1420" s="9" t="s">
        <v>6249</v>
      </c>
      <c r="O1420" s="10">
        <f>IFERROR(__xludf.DUMMYFUNCTION("VALUE(REGEXEXTRACT(A1420, ""\d+""))"),1694.0)</f>
        <v>1694</v>
      </c>
    </row>
    <row r="1421">
      <c r="A1421" s="9" t="s">
        <v>6250</v>
      </c>
      <c r="B1421" s="9" t="s">
        <v>6251</v>
      </c>
      <c r="D1421" s="9" t="s">
        <v>6252</v>
      </c>
      <c r="G1421" s="6" t="s">
        <v>6253</v>
      </c>
      <c r="J1421" s="9" t="s">
        <v>6254</v>
      </c>
      <c r="O1421" s="10">
        <f>IFERROR(__xludf.DUMMYFUNCTION("VALUE(REGEXEXTRACT(A1421, ""\d+""))"),1695.0)</f>
        <v>1695</v>
      </c>
    </row>
    <row r="1422">
      <c r="A1422" s="9" t="s">
        <v>6255</v>
      </c>
      <c r="B1422" s="9" t="s">
        <v>6256</v>
      </c>
      <c r="D1422" s="9" t="s">
        <v>6257</v>
      </c>
      <c r="G1422" s="6" t="s">
        <v>6258</v>
      </c>
      <c r="J1422" s="9" t="s">
        <v>6259</v>
      </c>
      <c r="O1422" s="10">
        <f>IFERROR(__xludf.DUMMYFUNCTION("VALUE(REGEXEXTRACT(A1422, ""\d+""))"),1696.0)</f>
        <v>1696</v>
      </c>
    </row>
    <row r="1423">
      <c r="A1423" s="9" t="s">
        <v>6260</v>
      </c>
      <c r="B1423" s="9" t="s">
        <v>6261</v>
      </c>
      <c r="D1423" s="9" t="s">
        <v>6262</v>
      </c>
      <c r="G1423" s="6" t="s">
        <v>6263</v>
      </c>
      <c r="J1423" s="9" t="s">
        <v>6264</v>
      </c>
      <c r="O1423" s="10">
        <f>IFERROR(__xludf.DUMMYFUNCTION("VALUE(REGEXEXTRACT(A1423, ""\d+""))"),1697.0)</f>
        <v>1697</v>
      </c>
    </row>
    <row r="1424">
      <c r="A1424" s="9" t="s">
        <v>6265</v>
      </c>
      <c r="B1424" s="9" t="s">
        <v>6266</v>
      </c>
      <c r="D1424" s="9" t="s">
        <v>6267</v>
      </c>
      <c r="G1424" s="6" t="s">
        <v>6268</v>
      </c>
      <c r="J1424" s="9" t="s">
        <v>6269</v>
      </c>
      <c r="O1424" s="10">
        <f>IFERROR(__xludf.DUMMYFUNCTION("VALUE(REGEXEXTRACT(A1424, ""\d+""))"),1698.0)</f>
        <v>1698</v>
      </c>
    </row>
    <row r="1425">
      <c r="A1425" s="9" t="s">
        <v>6270</v>
      </c>
      <c r="B1425" s="9" t="s">
        <v>6271</v>
      </c>
      <c r="D1425" s="9" t="s">
        <v>6272</v>
      </c>
      <c r="G1425" s="6" t="s">
        <v>6273</v>
      </c>
      <c r="J1425" s="9" t="s">
        <v>6274</v>
      </c>
      <c r="O1425" s="10">
        <f>IFERROR(__xludf.DUMMYFUNCTION("VALUE(REGEXEXTRACT(A1425, ""\d+""))"),1699.0)</f>
        <v>1699</v>
      </c>
    </row>
    <row r="1426">
      <c r="A1426" s="9" t="s">
        <v>6275</v>
      </c>
      <c r="B1426" s="9" t="s">
        <v>6276</v>
      </c>
      <c r="D1426" s="9" t="s">
        <v>6277</v>
      </c>
      <c r="G1426" s="6" t="s">
        <v>6278</v>
      </c>
      <c r="J1426" s="9" t="s">
        <v>6279</v>
      </c>
      <c r="O1426" s="10">
        <f>IFERROR(__xludf.DUMMYFUNCTION("VALUE(REGEXEXTRACT(A1426, ""\d+""))"),1700.0)</f>
        <v>1700</v>
      </c>
    </row>
    <row r="1427">
      <c r="A1427" s="9" t="s">
        <v>6280</v>
      </c>
      <c r="B1427" s="9" t="s">
        <v>6281</v>
      </c>
      <c r="D1427" s="9" t="s">
        <v>6282</v>
      </c>
      <c r="G1427" s="6" t="s">
        <v>6283</v>
      </c>
      <c r="J1427" s="9" t="s">
        <v>6284</v>
      </c>
      <c r="O1427" s="10">
        <f>IFERROR(__xludf.DUMMYFUNCTION("VALUE(REGEXEXTRACT(A1427, ""\d+""))"),1701.0)</f>
        <v>1701</v>
      </c>
    </row>
    <row r="1428">
      <c r="A1428" s="9" t="s">
        <v>6285</v>
      </c>
      <c r="B1428" s="9" t="s">
        <v>6286</v>
      </c>
      <c r="D1428" s="9" t="s">
        <v>6287</v>
      </c>
      <c r="G1428" s="6" t="s">
        <v>6288</v>
      </c>
      <c r="J1428" s="9" t="s">
        <v>6289</v>
      </c>
      <c r="O1428" s="10">
        <f>IFERROR(__xludf.DUMMYFUNCTION("VALUE(REGEXEXTRACT(A1428, ""\d+""))"),1702.0)</f>
        <v>1702</v>
      </c>
    </row>
    <row r="1429">
      <c r="A1429" s="9" t="s">
        <v>6290</v>
      </c>
      <c r="B1429" s="9" t="s">
        <v>6291</v>
      </c>
      <c r="D1429" s="9" t="s">
        <v>6292</v>
      </c>
      <c r="G1429" s="6" t="s">
        <v>6293</v>
      </c>
      <c r="J1429" s="9" t="s">
        <v>6294</v>
      </c>
      <c r="O1429" s="10">
        <f>IFERROR(__xludf.DUMMYFUNCTION("VALUE(REGEXEXTRACT(A1429, ""\d+""))"),1703.0)</f>
        <v>1703</v>
      </c>
    </row>
    <row r="1430">
      <c r="A1430" s="9" t="s">
        <v>6295</v>
      </c>
      <c r="B1430" s="9" t="s">
        <v>6296</v>
      </c>
      <c r="D1430" s="9" t="s">
        <v>6297</v>
      </c>
      <c r="G1430" s="6" t="s">
        <v>6298</v>
      </c>
      <c r="J1430" s="9" t="s">
        <v>6299</v>
      </c>
      <c r="O1430" s="10">
        <f>IFERROR(__xludf.DUMMYFUNCTION("VALUE(REGEXEXTRACT(A1430, ""\d+""))"),1704.0)</f>
        <v>1704</v>
      </c>
    </row>
    <row r="1431">
      <c r="A1431" s="9" t="s">
        <v>6300</v>
      </c>
      <c r="B1431" s="9" t="s">
        <v>6301</v>
      </c>
      <c r="D1431" s="9" t="s">
        <v>6302</v>
      </c>
      <c r="G1431" s="6" t="s">
        <v>6303</v>
      </c>
      <c r="J1431" s="9" t="s">
        <v>6304</v>
      </c>
      <c r="O1431" s="10">
        <f>IFERROR(__xludf.DUMMYFUNCTION("VALUE(REGEXEXTRACT(A1431, ""\d+""))"),1705.0)</f>
        <v>1705</v>
      </c>
    </row>
    <row r="1432">
      <c r="A1432" s="9" t="s">
        <v>6305</v>
      </c>
      <c r="B1432" s="9" t="s">
        <v>6306</v>
      </c>
      <c r="D1432" s="9" t="s">
        <v>6307</v>
      </c>
      <c r="G1432" s="6" t="s">
        <v>6308</v>
      </c>
      <c r="J1432" s="9" t="s">
        <v>6309</v>
      </c>
      <c r="O1432" s="10">
        <f>IFERROR(__xludf.DUMMYFUNCTION("VALUE(REGEXEXTRACT(A1432, ""\d+""))"),1706.0)</f>
        <v>1706</v>
      </c>
    </row>
    <row r="1433">
      <c r="A1433" s="9" t="s">
        <v>6310</v>
      </c>
      <c r="B1433" s="9" t="s">
        <v>6311</v>
      </c>
      <c r="D1433" s="9" t="s">
        <v>6312</v>
      </c>
      <c r="G1433" s="6" t="s">
        <v>6313</v>
      </c>
      <c r="J1433" s="9" t="s">
        <v>6314</v>
      </c>
      <c r="O1433" s="10">
        <f>IFERROR(__xludf.DUMMYFUNCTION("VALUE(REGEXEXTRACT(A1433, ""\d+""))"),1707.0)</f>
        <v>1707</v>
      </c>
    </row>
    <row r="1434">
      <c r="A1434" s="9" t="s">
        <v>6315</v>
      </c>
      <c r="B1434" s="9" t="s">
        <v>6316</v>
      </c>
      <c r="D1434" s="9" t="s">
        <v>6317</v>
      </c>
      <c r="G1434" s="6" t="s">
        <v>6318</v>
      </c>
      <c r="J1434" s="9" t="s">
        <v>6319</v>
      </c>
      <c r="O1434" s="10">
        <f>IFERROR(__xludf.DUMMYFUNCTION("VALUE(REGEXEXTRACT(A1434, ""\d+""))"),1708.0)</f>
        <v>1708</v>
      </c>
    </row>
    <row r="1435">
      <c r="A1435" s="9" t="s">
        <v>6320</v>
      </c>
      <c r="B1435" s="9" t="s">
        <v>6321</v>
      </c>
      <c r="D1435" s="9" t="s">
        <v>6322</v>
      </c>
      <c r="G1435" s="6" t="s">
        <v>6323</v>
      </c>
      <c r="J1435" s="9" t="s">
        <v>6324</v>
      </c>
      <c r="O1435" s="10">
        <f>IFERROR(__xludf.DUMMYFUNCTION("VALUE(REGEXEXTRACT(A1435, ""\d+""))"),1709.0)</f>
        <v>1709</v>
      </c>
    </row>
    <row r="1436">
      <c r="A1436" s="9" t="s">
        <v>6325</v>
      </c>
      <c r="B1436" s="9" t="s">
        <v>6326</v>
      </c>
      <c r="D1436" s="9" t="s">
        <v>1977</v>
      </c>
      <c r="G1436" s="6" t="s">
        <v>6327</v>
      </c>
      <c r="J1436" s="9" t="s">
        <v>1979</v>
      </c>
      <c r="O1436" s="10">
        <f>IFERROR(__xludf.DUMMYFUNCTION("VALUE(REGEXEXTRACT(A1436, ""\d+""))"),1710.0)</f>
        <v>1710</v>
      </c>
    </row>
    <row r="1437">
      <c r="A1437" s="9" t="s">
        <v>6328</v>
      </c>
      <c r="B1437" s="9" t="s">
        <v>6329</v>
      </c>
      <c r="D1437" s="9" t="s">
        <v>1981</v>
      </c>
      <c r="G1437" s="6" t="s">
        <v>6330</v>
      </c>
      <c r="J1437" s="9" t="s">
        <v>1982</v>
      </c>
      <c r="O1437" s="10">
        <f>IFERROR(__xludf.DUMMYFUNCTION("VALUE(REGEXEXTRACT(A1437, ""\d+""))"),1711.0)</f>
        <v>1711</v>
      </c>
    </row>
    <row r="1438">
      <c r="A1438" s="9" t="s">
        <v>6331</v>
      </c>
      <c r="B1438" s="9" t="s">
        <v>6332</v>
      </c>
      <c r="D1438" s="9" t="s">
        <v>6333</v>
      </c>
      <c r="G1438" s="6" t="s">
        <v>6334</v>
      </c>
      <c r="J1438" s="9" t="s">
        <v>6335</v>
      </c>
      <c r="O1438" s="10">
        <f>IFERROR(__xludf.DUMMYFUNCTION("VALUE(REGEXEXTRACT(A1438, ""\d+""))"),1716.0)</f>
        <v>1716</v>
      </c>
    </row>
    <row r="1439">
      <c r="A1439" s="9" t="s">
        <v>6336</v>
      </c>
      <c r="B1439" s="9" t="s">
        <v>6337</v>
      </c>
      <c r="D1439" s="9" t="s">
        <v>6338</v>
      </c>
      <c r="G1439" s="6" t="s">
        <v>6339</v>
      </c>
      <c r="J1439" s="9" t="s">
        <v>6340</v>
      </c>
      <c r="O1439" s="10">
        <f>IFERROR(__xludf.DUMMYFUNCTION("VALUE(REGEXEXTRACT(A1439, ""\d+""))"),1717.0)</f>
        <v>1717</v>
      </c>
    </row>
    <row r="1440">
      <c r="A1440" s="9" t="s">
        <v>6341</v>
      </c>
      <c r="B1440" s="9" t="s">
        <v>6342</v>
      </c>
      <c r="D1440" s="9" t="s">
        <v>6343</v>
      </c>
      <c r="G1440" s="6" t="s">
        <v>6344</v>
      </c>
      <c r="J1440" s="9" t="s">
        <v>6345</v>
      </c>
      <c r="O1440" s="10">
        <f>IFERROR(__xludf.DUMMYFUNCTION("VALUE(REGEXEXTRACT(A1440, ""\d+""))"),1718.0)</f>
        <v>1718</v>
      </c>
    </row>
    <row r="1441">
      <c r="A1441" s="9" t="s">
        <v>6346</v>
      </c>
      <c r="B1441" s="9" t="s">
        <v>6347</v>
      </c>
      <c r="D1441" s="9" t="s">
        <v>6348</v>
      </c>
      <c r="G1441" s="6" t="s">
        <v>6349</v>
      </c>
      <c r="J1441" s="9" t="s">
        <v>6350</v>
      </c>
      <c r="O1441" s="10">
        <f>IFERROR(__xludf.DUMMYFUNCTION("VALUE(REGEXEXTRACT(A1441, ""\d+""))"),1719.0)</f>
        <v>1719</v>
      </c>
    </row>
    <row r="1442">
      <c r="A1442" s="9" t="s">
        <v>6351</v>
      </c>
      <c r="B1442" s="9" t="s">
        <v>6352</v>
      </c>
      <c r="D1442" s="9" t="s">
        <v>6353</v>
      </c>
      <c r="G1442" s="6" t="s">
        <v>6354</v>
      </c>
      <c r="J1442" s="9" t="s">
        <v>6355</v>
      </c>
      <c r="O1442" s="10">
        <f>IFERROR(__xludf.DUMMYFUNCTION("VALUE(REGEXEXTRACT(A1442, ""\d+""))"),1720.0)</f>
        <v>1720</v>
      </c>
    </row>
    <row r="1443">
      <c r="A1443" s="9" t="s">
        <v>6356</v>
      </c>
      <c r="B1443" s="9" t="s">
        <v>6357</v>
      </c>
      <c r="D1443" s="9" t="s">
        <v>6358</v>
      </c>
      <c r="G1443" s="6" t="s">
        <v>6359</v>
      </c>
      <c r="J1443" s="9" t="s">
        <v>6360</v>
      </c>
      <c r="O1443" s="10">
        <f>IFERROR(__xludf.DUMMYFUNCTION("VALUE(REGEXEXTRACT(A1443, ""\d+""))"),1721.0)</f>
        <v>1721</v>
      </c>
    </row>
    <row r="1444">
      <c r="A1444" s="9" t="s">
        <v>6361</v>
      </c>
      <c r="B1444" s="9" t="s">
        <v>6362</v>
      </c>
      <c r="D1444" s="9" t="s">
        <v>6363</v>
      </c>
      <c r="G1444" s="6" t="s">
        <v>6364</v>
      </c>
      <c r="J1444" s="9" t="s">
        <v>6365</v>
      </c>
      <c r="O1444" s="10">
        <f>IFERROR(__xludf.DUMMYFUNCTION("VALUE(REGEXEXTRACT(A1444, ""\d+""))"),1722.0)</f>
        <v>1722</v>
      </c>
    </row>
    <row r="1445">
      <c r="A1445" s="9" t="s">
        <v>6366</v>
      </c>
      <c r="B1445" s="9" t="s">
        <v>6367</v>
      </c>
      <c r="D1445" s="9" t="s">
        <v>6368</v>
      </c>
      <c r="G1445" s="6" t="s">
        <v>6369</v>
      </c>
      <c r="J1445" s="9" t="s">
        <v>6370</v>
      </c>
      <c r="O1445" s="10">
        <f>IFERROR(__xludf.DUMMYFUNCTION("VALUE(REGEXEXTRACT(A1445, ""\d+""))"),1723.0)</f>
        <v>1723</v>
      </c>
    </row>
    <row r="1446">
      <c r="A1446" s="9" t="s">
        <v>6371</v>
      </c>
      <c r="B1446" s="9" t="s">
        <v>6372</v>
      </c>
      <c r="D1446" s="9" t="s">
        <v>6373</v>
      </c>
      <c r="G1446" s="6" t="s">
        <v>6374</v>
      </c>
      <c r="J1446" s="9" t="s">
        <v>6375</v>
      </c>
      <c r="O1446" s="10">
        <f>IFERROR(__xludf.DUMMYFUNCTION("VALUE(REGEXEXTRACT(A1446, ""\d+""))"),1724.0)</f>
        <v>1724</v>
      </c>
    </row>
    <row r="1447">
      <c r="A1447" s="9" t="s">
        <v>6376</v>
      </c>
      <c r="B1447" s="9" t="s">
        <v>6377</v>
      </c>
      <c r="D1447" s="9" t="s">
        <v>6378</v>
      </c>
      <c r="G1447" s="6" t="s">
        <v>6379</v>
      </c>
      <c r="J1447" s="9" t="s">
        <v>6380</v>
      </c>
      <c r="O1447" s="10">
        <f>IFERROR(__xludf.DUMMYFUNCTION("VALUE(REGEXEXTRACT(A1447, ""\d+""))"),1725.0)</f>
        <v>1725</v>
      </c>
    </row>
    <row r="1448">
      <c r="A1448" s="9" t="s">
        <v>6381</v>
      </c>
      <c r="B1448" s="9" t="s">
        <v>6382</v>
      </c>
      <c r="D1448" s="9" t="s">
        <v>6383</v>
      </c>
      <c r="G1448" s="6" t="s">
        <v>6384</v>
      </c>
      <c r="J1448" s="9" t="s">
        <v>6385</v>
      </c>
      <c r="O1448" s="10">
        <f>IFERROR(__xludf.DUMMYFUNCTION("VALUE(REGEXEXTRACT(A1448, ""\d+""))"),1726.0)</f>
        <v>1726</v>
      </c>
    </row>
    <row r="1449">
      <c r="A1449" s="9" t="s">
        <v>6386</v>
      </c>
      <c r="B1449" s="9" t="s">
        <v>6387</v>
      </c>
      <c r="D1449" s="9" t="s">
        <v>6388</v>
      </c>
      <c r="G1449" s="6" t="s">
        <v>6389</v>
      </c>
      <c r="J1449" s="9" t="s">
        <v>6390</v>
      </c>
      <c r="O1449" s="10">
        <f>IFERROR(__xludf.DUMMYFUNCTION("VALUE(REGEXEXTRACT(A1449, ""\d+""))"),1727.0)</f>
        <v>1727</v>
      </c>
    </row>
    <row r="1450">
      <c r="A1450" s="9" t="s">
        <v>6391</v>
      </c>
      <c r="B1450" s="9" t="s">
        <v>6392</v>
      </c>
      <c r="D1450" s="9" t="s">
        <v>2055</v>
      </c>
      <c r="G1450" s="6" t="s">
        <v>6393</v>
      </c>
      <c r="J1450" s="9" t="s">
        <v>2057</v>
      </c>
      <c r="O1450" s="10">
        <f>IFERROR(__xludf.DUMMYFUNCTION("VALUE(REGEXEXTRACT(A1450, ""\d+""))"),1728.0)</f>
        <v>1728</v>
      </c>
    </row>
    <row r="1451">
      <c r="A1451" s="9" t="s">
        <v>6394</v>
      </c>
      <c r="B1451" s="9" t="s">
        <v>6395</v>
      </c>
      <c r="D1451" s="9" t="s">
        <v>6396</v>
      </c>
      <c r="G1451" s="6" t="s">
        <v>6397</v>
      </c>
      <c r="J1451" s="9" t="s">
        <v>6398</v>
      </c>
      <c r="O1451" s="10">
        <f>IFERROR(__xludf.DUMMYFUNCTION("VALUE(REGEXEXTRACT(A1451, ""\d+""))"),1729.0)</f>
        <v>1729</v>
      </c>
    </row>
    <row r="1452">
      <c r="A1452" s="9" t="s">
        <v>6399</v>
      </c>
      <c r="B1452" s="9" t="s">
        <v>6400</v>
      </c>
      <c r="D1452" s="9" t="s">
        <v>6401</v>
      </c>
      <c r="G1452" s="6" t="s">
        <v>6402</v>
      </c>
      <c r="J1452" s="9" t="s">
        <v>6403</v>
      </c>
      <c r="O1452" s="10">
        <f>IFERROR(__xludf.DUMMYFUNCTION("VALUE(REGEXEXTRACT(A1452, ""\d+""))"),1730.0)</f>
        <v>1730</v>
      </c>
    </row>
    <row r="1453">
      <c r="A1453" s="9" t="s">
        <v>6404</v>
      </c>
      <c r="B1453" s="9" t="s">
        <v>6405</v>
      </c>
      <c r="D1453" s="9" t="s">
        <v>6406</v>
      </c>
      <c r="G1453" s="6" t="s">
        <v>6407</v>
      </c>
      <c r="J1453" s="9" t="s">
        <v>6408</v>
      </c>
      <c r="O1453" s="10">
        <f>IFERROR(__xludf.DUMMYFUNCTION("VALUE(REGEXEXTRACT(A1453, ""\d+""))"),1731.0)</f>
        <v>1731</v>
      </c>
    </row>
    <row r="1454">
      <c r="A1454" s="9" t="s">
        <v>6409</v>
      </c>
      <c r="B1454" s="9" t="s">
        <v>6410</v>
      </c>
      <c r="D1454" s="9" t="s">
        <v>6411</v>
      </c>
      <c r="G1454" s="6" t="s">
        <v>6412</v>
      </c>
      <c r="J1454" s="9" t="s">
        <v>6413</v>
      </c>
      <c r="O1454" s="10">
        <f>IFERROR(__xludf.DUMMYFUNCTION("VALUE(REGEXEXTRACT(A1454, ""\d+""))"),1732.0)</f>
        <v>1732</v>
      </c>
    </row>
    <row r="1455">
      <c r="A1455" s="9" t="s">
        <v>6414</v>
      </c>
      <c r="B1455" s="9" t="s">
        <v>6415</v>
      </c>
      <c r="D1455" s="9" t="s">
        <v>6416</v>
      </c>
      <c r="G1455" s="6" t="s">
        <v>6417</v>
      </c>
      <c r="J1455" s="9" t="s">
        <v>6418</v>
      </c>
      <c r="O1455" s="10">
        <f>IFERROR(__xludf.DUMMYFUNCTION("VALUE(REGEXEXTRACT(A1455, ""\d+""))"),1733.0)</f>
        <v>1733</v>
      </c>
    </row>
    <row r="1456">
      <c r="A1456" s="9" t="s">
        <v>6419</v>
      </c>
      <c r="B1456" s="9" t="s">
        <v>6420</v>
      </c>
      <c r="D1456" s="9" t="s">
        <v>6421</v>
      </c>
      <c r="G1456" s="6" t="s">
        <v>6422</v>
      </c>
      <c r="J1456" s="9" t="s">
        <v>6423</v>
      </c>
      <c r="O1456" s="10">
        <f>IFERROR(__xludf.DUMMYFUNCTION("VALUE(REGEXEXTRACT(A1456, ""\d+""))"),1734.0)</f>
        <v>1734</v>
      </c>
    </row>
    <row r="1457">
      <c r="A1457" s="9" t="s">
        <v>6424</v>
      </c>
      <c r="B1457" s="9" t="s">
        <v>6425</v>
      </c>
      <c r="D1457" s="9" t="s">
        <v>6426</v>
      </c>
      <c r="G1457" s="6" t="s">
        <v>6427</v>
      </c>
      <c r="J1457" s="9" t="s">
        <v>6428</v>
      </c>
      <c r="O1457" s="10">
        <f>IFERROR(__xludf.DUMMYFUNCTION("VALUE(REGEXEXTRACT(A1457, ""\d+""))"),1735.0)</f>
        <v>1735</v>
      </c>
    </row>
    <row r="1458">
      <c r="A1458" s="9" t="s">
        <v>6429</v>
      </c>
      <c r="B1458" s="9" t="s">
        <v>6430</v>
      </c>
      <c r="D1458" s="9" t="s">
        <v>6431</v>
      </c>
      <c r="G1458" s="6" t="s">
        <v>6432</v>
      </c>
      <c r="J1458" s="9" t="s">
        <v>6433</v>
      </c>
      <c r="O1458" s="10">
        <f>IFERROR(__xludf.DUMMYFUNCTION("VALUE(REGEXEXTRACT(A1458, ""\d+""))"),1736.0)</f>
        <v>1736</v>
      </c>
    </row>
    <row r="1459">
      <c r="A1459" s="9" t="s">
        <v>6434</v>
      </c>
      <c r="B1459" s="9" t="s">
        <v>6435</v>
      </c>
      <c r="D1459" s="9" t="s">
        <v>6436</v>
      </c>
      <c r="G1459" s="6" t="s">
        <v>6437</v>
      </c>
      <c r="J1459" s="9" t="s">
        <v>6438</v>
      </c>
      <c r="O1459" s="10">
        <f>IFERROR(__xludf.DUMMYFUNCTION("VALUE(REGEXEXTRACT(A1459, ""\d+""))"),1737.0)</f>
        <v>1737</v>
      </c>
    </row>
    <row r="1460">
      <c r="A1460" s="9" t="s">
        <v>6439</v>
      </c>
      <c r="B1460" s="9" t="s">
        <v>6440</v>
      </c>
      <c r="D1460" s="9" t="s">
        <v>6441</v>
      </c>
      <c r="G1460" s="6" t="s">
        <v>6442</v>
      </c>
      <c r="J1460" s="9" t="s">
        <v>6443</v>
      </c>
      <c r="O1460" s="10">
        <f>IFERROR(__xludf.DUMMYFUNCTION("VALUE(REGEXEXTRACT(A1460, ""\d+""))"),1738.0)</f>
        <v>1738</v>
      </c>
    </row>
    <row r="1461">
      <c r="A1461" s="9" t="s">
        <v>6444</v>
      </c>
      <c r="B1461" s="9" t="s">
        <v>6445</v>
      </c>
      <c r="D1461" s="9" t="s">
        <v>2103</v>
      </c>
      <c r="G1461" s="6" t="s">
        <v>6446</v>
      </c>
      <c r="J1461" s="9" t="s">
        <v>2105</v>
      </c>
      <c r="O1461" s="10">
        <f>IFERROR(__xludf.DUMMYFUNCTION("VALUE(REGEXEXTRACT(A1461, ""\d+""))"),1739.0)</f>
        <v>1739</v>
      </c>
    </row>
    <row r="1462">
      <c r="A1462" s="9" t="s">
        <v>6447</v>
      </c>
      <c r="B1462" s="9" t="s">
        <v>6448</v>
      </c>
      <c r="D1462" s="9" t="s">
        <v>2108</v>
      </c>
      <c r="G1462" s="6" t="s">
        <v>6449</v>
      </c>
      <c r="J1462" s="9" t="s">
        <v>2110</v>
      </c>
      <c r="O1462" s="10">
        <f>IFERROR(__xludf.DUMMYFUNCTION("VALUE(REGEXEXTRACT(A1462, ""\d+""))"),1740.0)</f>
        <v>1740</v>
      </c>
    </row>
    <row r="1463">
      <c r="A1463" s="9" t="s">
        <v>6450</v>
      </c>
      <c r="B1463" s="9" t="s">
        <v>6451</v>
      </c>
      <c r="D1463" s="9" t="s">
        <v>2113</v>
      </c>
      <c r="G1463" s="6" t="s">
        <v>6452</v>
      </c>
      <c r="J1463" s="9" t="s">
        <v>2115</v>
      </c>
      <c r="O1463" s="10">
        <f>IFERROR(__xludf.DUMMYFUNCTION("VALUE(REGEXEXTRACT(A1463, ""\d+""))"),1741.0)</f>
        <v>1741</v>
      </c>
    </row>
    <row r="1464">
      <c r="A1464" s="9" t="s">
        <v>6453</v>
      </c>
      <c r="B1464" s="9" t="s">
        <v>6454</v>
      </c>
      <c r="D1464" s="9" t="s">
        <v>2118</v>
      </c>
      <c r="G1464" s="6" t="s">
        <v>6455</v>
      </c>
      <c r="J1464" s="9" t="s">
        <v>2120</v>
      </c>
      <c r="O1464" s="10">
        <f>IFERROR(__xludf.DUMMYFUNCTION("VALUE(REGEXEXTRACT(A1464, ""\d+""))"),1742.0)</f>
        <v>1742</v>
      </c>
    </row>
    <row r="1465">
      <c r="A1465" s="9" t="s">
        <v>6456</v>
      </c>
      <c r="B1465" s="9" t="s">
        <v>6457</v>
      </c>
      <c r="D1465" s="9" t="s">
        <v>6458</v>
      </c>
      <c r="G1465" s="6" t="s">
        <v>6459</v>
      </c>
      <c r="J1465" s="9" t="s">
        <v>6460</v>
      </c>
      <c r="O1465" s="10">
        <f>IFERROR(__xludf.DUMMYFUNCTION("VALUE(REGEXEXTRACT(A1465, ""\d+""))"),1743.0)</f>
        <v>1743</v>
      </c>
    </row>
    <row r="1466">
      <c r="A1466" s="9" t="s">
        <v>6461</v>
      </c>
      <c r="B1466" s="9" t="s">
        <v>6462</v>
      </c>
      <c r="D1466" s="9" t="s">
        <v>6463</v>
      </c>
      <c r="G1466" s="6" t="s">
        <v>6464</v>
      </c>
      <c r="J1466" s="9" t="s">
        <v>6465</v>
      </c>
      <c r="O1466" s="10">
        <f>IFERROR(__xludf.DUMMYFUNCTION("VALUE(REGEXEXTRACT(A1466, ""\d+""))"),1744.0)</f>
        <v>1744</v>
      </c>
    </row>
    <row r="1467">
      <c r="A1467" s="9" t="s">
        <v>6466</v>
      </c>
      <c r="B1467" s="9" t="s">
        <v>6467</v>
      </c>
      <c r="D1467" s="9" t="s">
        <v>6468</v>
      </c>
      <c r="G1467" s="6" t="s">
        <v>6469</v>
      </c>
      <c r="J1467" s="9" t="s">
        <v>6470</v>
      </c>
      <c r="O1467" s="10">
        <f>IFERROR(__xludf.DUMMYFUNCTION("VALUE(REGEXEXTRACT(A1467, ""\d+""))"),1745.0)</f>
        <v>1745</v>
      </c>
    </row>
    <row r="1468">
      <c r="A1468" s="9" t="s">
        <v>6471</v>
      </c>
      <c r="B1468" s="9" t="s">
        <v>6472</v>
      </c>
      <c r="D1468" s="9" t="s">
        <v>6473</v>
      </c>
      <c r="G1468" s="6" t="s">
        <v>6474</v>
      </c>
      <c r="J1468" s="9" t="s">
        <v>6475</v>
      </c>
      <c r="O1468" s="10">
        <f>IFERROR(__xludf.DUMMYFUNCTION("VALUE(REGEXEXTRACT(A1468, ""\d+""))"),1748.0)</f>
        <v>1748</v>
      </c>
    </row>
    <row r="1469">
      <c r="A1469" s="9" t="s">
        <v>6476</v>
      </c>
      <c r="B1469" s="9" t="s">
        <v>6477</v>
      </c>
      <c r="D1469" s="9" t="s">
        <v>6478</v>
      </c>
      <c r="G1469" s="6" t="s">
        <v>6479</v>
      </c>
      <c r="J1469" s="9" t="s">
        <v>6480</v>
      </c>
      <c r="O1469" s="10">
        <f>IFERROR(__xludf.DUMMYFUNCTION("VALUE(REGEXEXTRACT(A1469, ""\d+""))"),1749.0)</f>
        <v>1749</v>
      </c>
    </row>
    <row r="1470">
      <c r="A1470" s="9" t="s">
        <v>6481</v>
      </c>
      <c r="B1470" s="9" t="s">
        <v>6482</v>
      </c>
      <c r="D1470" s="9" t="s">
        <v>6483</v>
      </c>
      <c r="G1470" s="6" t="s">
        <v>6483</v>
      </c>
      <c r="J1470" s="9" t="s">
        <v>6484</v>
      </c>
      <c r="O1470" s="10">
        <f>IFERROR(__xludf.DUMMYFUNCTION("VALUE(REGEXEXTRACT(A1470, ""\d+""))"),1750.0)</f>
        <v>1750</v>
      </c>
    </row>
    <row r="1471">
      <c r="A1471" s="9" t="s">
        <v>6485</v>
      </c>
      <c r="B1471" s="9" t="s">
        <v>6486</v>
      </c>
      <c r="D1471" s="9" t="s">
        <v>6487</v>
      </c>
      <c r="G1471" s="6" t="s">
        <v>6488</v>
      </c>
      <c r="J1471" s="9" t="s">
        <v>6489</v>
      </c>
      <c r="O1471" s="10">
        <f>IFERROR(__xludf.DUMMYFUNCTION("VALUE(REGEXEXTRACT(A1471, ""\d+""))"),1752.0)</f>
        <v>1752</v>
      </c>
    </row>
    <row r="1472">
      <c r="A1472" s="9" t="s">
        <v>6490</v>
      </c>
      <c r="B1472" s="9" t="s">
        <v>6491</v>
      </c>
      <c r="D1472" s="9" t="s">
        <v>6492</v>
      </c>
      <c r="G1472" s="6" t="s">
        <v>6493</v>
      </c>
      <c r="J1472" s="9" t="s">
        <v>6494</v>
      </c>
      <c r="O1472" s="10">
        <f>IFERROR(__xludf.DUMMYFUNCTION("VALUE(REGEXEXTRACT(A1472, ""\d+""))"),1753.0)</f>
        <v>1753</v>
      </c>
    </row>
    <row r="1473">
      <c r="A1473" s="9" t="s">
        <v>6495</v>
      </c>
      <c r="B1473" s="9" t="s">
        <v>6496</v>
      </c>
      <c r="D1473" s="9" t="s">
        <v>6497</v>
      </c>
      <c r="G1473" s="6" t="s">
        <v>6498</v>
      </c>
      <c r="J1473" s="9" t="s">
        <v>6499</v>
      </c>
      <c r="O1473" s="10">
        <f>IFERROR(__xludf.DUMMYFUNCTION("VALUE(REGEXEXTRACT(A1473, ""\d+""))"),1754.0)</f>
        <v>1754</v>
      </c>
    </row>
    <row r="1474">
      <c r="A1474" s="9" t="s">
        <v>6500</v>
      </c>
      <c r="B1474" s="9" t="s">
        <v>6501</v>
      </c>
      <c r="D1474" s="9" t="s">
        <v>6502</v>
      </c>
      <c r="G1474" s="6" t="s">
        <v>6503</v>
      </c>
      <c r="J1474" s="9" t="s">
        <v>6504</v>
      </c>
      <c r="O1474" s="10">
        <f>IFERROR(__xludf.DUMMYFUNCTION("VALUE(REGEXEXTRACT(A1474, ""\d+""))"),1755.0)</f>
        <v>1755</v>
      </c>
    </row>
    <row r="1475">
      <c r="A1475" s="9" t="s">
        <v>6505</v>
      </c>
      <c r="B1475" s="9" t="s">
        <v>6506</v>
      </c>
      <c r="D1475" s="9" t="s">
        <v>6507</v>
      </c>
      <c r="G1475" s="6" t="s">
        <v>6508</v>
      </c>
      <c r="J1475" s="9" t="s">
        <v>6509</v>
      </c>
      <c r="O1475" s="10">
        <f>IFERROR(__xludf.DUMMYFUNCTION("VALUE(REGEXEXTRACT(A1475, ""\d+""))"),1756.0)</f>
        <v>1756</v>
      </c>
    </row>
    <row r="1476">
      <c r="A1476" s="9" t="s">
        <v>6510</v>
      </c>
      <c r="B1476" s="9" t="s">
        <v>6511</v>
      </c>
      <c r="D1476" s="9" t="s">
        <v>6512</v>
      </c>
      <c r="G1476" s="6" t="s">
        <v>6512</v>
      </c>
      <c r="J1476" s="9" t="s">
        <v>6513</v>
      </c>
      <c r="O1476" s="10">
        <f>IFERROR(__xludf.DUMMYFUNCTION("VALUE(REGEXEXTRACT(A1476, ""\d+""))"),1757.0)</f>
        <v>1757</v>
      </c>
    </row>
    <row r="1477">
      <c r="A1477" s="9" t="s">
        <v>6514</v>
      </c>
      <c r="B1477" s="9" t="s">
        <v>6515</v>
      </c>
      <c r="D1477" s="9" t="s">
        <v>2185</v>
      </c>
      <c r="G1477" s="6" t="s">
        <v>2185</v>
      </c>
      <c r="J1477" s="9" t="s">
        <v>2187</v>
      </c>
      <c r="O1477" s="10">
        <f>IFERROR(__xludf.DUMMYFUNCTION("VALUE(REGEXEXTRACT(A1477, ""\d+""))"),1758.0)</f>
        <v>1758</v>
      </c>
    </row>
    <row r="1478">
      <c r="A1478" s="9" t="s">
        <v>6516</v>
      </c>
      <c r="B1478" s="9" t="s">
        <v>6517</v>
      </c>
      <c r="D1478" s="9" t="s">
        <v>6518</v>
      </c>
      <c r="G1478" s="6" t="s">
        <v>6519</v>
      </c>
      <c r="J1478" s="9" t="s">
        <v>6520</v>
      </c>
      <c r="O1478" s="10">
        <f>IFERROR(__xludf.DUMMYFUNCTION("VALUE(REGEXEXTRACT(A1478, ""\d+""))"),1759.0)</f>
        <v>1759</v>
      </c>
    </row>
    <row r="1479">
      <c r="A1479" s="9" t="s">
        <v>6521</v>
      </c>
      <c r="B1479" s="9" t="s">
        <v>6522</v>
      </c>
      <c r="D1479" s="9" t="s">
        <v>6523</v>
      </c>
      <c r="G1479" s="6" t="s">
        <v>6523</v>
      </c>
      <c r="J1479" s="9" t="s">
        <v>6524</v>
      </c>
      <c r="O1479" s="10">
        <f>IFERROR(__xludf.DUMMYFUNCTION("VALUE(REGEXEXTRACT(A1479, ""\d+""))"),1760.0)</f>
        <v>1760</v>
      </c>
    </row>
    <row r="1480">
      <c r="A1480" s="9" t="s">
        <v>6525</v>
      </c>
      <c r="B1480" s="9" t="s">
        <v>6526</v>
      </c>
      <c r="D1480" s="9" t="s">
        <v>6527</v>
      </c>
      <c r="G1480" s="6" t="s">
        <v>6528</v>
      </c>
      <c r="J1480" s="9" t="s">
        <v>6529</v>
      </c>
      <c r="O1480" s="10">
        <f>IFERROR(__xludf.DUMMYFUNCTION("VALUE(REGEXEXTRACT(A1480, ""\d+""))"),1761.0)</f>
        <v>1761</v>
      </c>
    </row>
    <row r="1481">
      <c r="A1481" s="9" t="s">
        <v>6530</v>
      </c>
      <c r="B1481" s="9" t="s">
        <v>6531</v>
      </c>
      <c r="D1481" s="9" t="s">
        <v>6532</v>
      </c>
      <c r="G1481" s="6" t="s">
        <v>6532</v>
      </c>
      <c r="J1481" s="9" t="s">
        <v>6533</v>
      </c>
      <c r="O1481" s="10">
        <f>IFERROR(__xludf.DUMMYFUNCTION("VALUE(REGEXEXTRACT(A1481, ""\d+""))"),1762.0)</f>
        <v>1762</v>
      </c>
    </row>
    <row r="1482">
      <c r="A1482" s="9" t="s">
        <v>6534</v>
      </c>
      <c r="B1482" s="9" t="s">
        <v>6535</v>
      </c>
      <c r="D1482" s="9" t="s">
        <v>6536</v>
      </c>
      <c r="G1482" s="6" t="s">
        <v>6537</v>
      </c>
      <c r="J1482" s="9" t="s">
        <v>6538</v>
      </c>
      <c r="O1482" s="10">
        <f>IFERROR(__xludf.DUMMYFUNCTION("VALUE(REGEXEXTRACT(A1482, ""\d+""))"),1763.0)</f>
        <v>1763</v>
      </c>
    </row>
    <row r="1483">
      <c r="A1483" s="9" t="s">
        <v>6539</v>
      </c>
      <c r="B1483" s="9" t="s">
        <v>6540</v>
      </c>
      <c r="D1483" s="9" t="s">
        <v>6541</v>
      </c>
      <c r="G1483" s="6" t="s">
        <v>6542</v>
      </c>
      <c r="J1483" s="9" t="s">
        <v>6543</v>
      </c>
      <c r="O1483" s="10">
        <f>IFERROR(__xludf.DUMMYFUNCTION("VALUE(REGEXEXTRACT(A1483, ""\d+""))"),1764.0)</f>
        <v>1764</v>
      </c>
    </row>
    <row r="1484">
      <c r="A1484" s="9" t="s">
        <v>6544</v>
      </c>
      <c r="B1484" s="9" t="s">
        <v>6545</v>
      </c>
      <c r="D1484" s="9" t="s">
        <v>6546</v>
      </c>
      <c r="G1484" s="6" t="s">
        <v>6547</v>
      </c>
      <c r="J1484" s="9" t="s">
        <v>6548</v>
      </c>
      <c r="O1484" s="10">
        <f>IFERROR(__xludf.DUMMYFUNCTION("VALUE(REGEXEXTRACT(A1484, ""\d+""))"),1765.0)</f>
        <v>1765</v>
      </c>
    </row>
    <row r="1485">
      <c r="A1485" s="9" t="s">
        <v>6549</v>
      </c>
      <c r="B1485" s="9" t="s">
        <v>6550</v>
      </c>
      <c r="D1485" s="9" t="s">
        <v>6551</v>
      </c>
      <c r="G1485" s="6" t="s">
        <v>6552</v>
      </c>
      <c r="J1485" s="9" t="s">
        <v>6553</v>
      </c>
      <c r="O1485" s="10">
        <f>IFERROR(__xludf.DUMMYFUNCTION("VALUE(REGEXEXTRACT(A1485, ""\d+""))"),1766.0)</f>
        <v>1766</v>
      </c>
    </row>
    <row r="1486">
      <c r="A1486" s="9" t="s">
        <v>6554</v>
      </c>
      <c r="B1486" s="9" t="s">
        <v>6555</v>
      </c>
      <c r="D1486" s="9" t="s">
        <v>6556</v>
      </c>
      <c r="G1486" s="6" t="s">
        <v>6557</v>
      </c>
      <c r="J1486" s="9" t="s">
        <v>6558</v>
      </c>
      <c r="O1486" s="10">
        <f>IFERROR(__xludf.DUMMYFUNCTION("VALUE(REGEXEXTRACT(A1486, ""\d+""))"),1767.0)</f>
        <v>1767</v>
      </c>
    </row>
    <row r="1487">
      <c r="A1487" s="9" t="s">
        <v>6559</v>
      </c>
      <c r="B1487" s="9" t="s">
        <v>6560</v>
      </c>
      <c r="D1487" s="9" t="s">
        <v>6561</v>
      </c>
      <c r="G1487" s="6" t="s">
        <v>6561</v>
      </c>
      <c r="J1487" s="9" t="s">
        <v>6562</v>
      </c>
      <c r="O1487" s="10">
        <f>IFERROR(__xludf.DUMMYFUNCTION("VALUE(REGEXEXTRACT(A1487, ""\d+""))"),1768.0)</f>
        <v>1768</v>
      </c>
    </row>
    <row r="1488">
      <c r="A1488" s="9" t="s">
        <v>6563</v>
      </c>
      <c r="B1488" s="9" t="s">
        <v>6564</v>
      </c>
      <c r="D1488" s="9" t="s">
        <v>6565</v>
      </c>
      <c r="G1488" s="6" t="s">
        <v>6566</v>
      </c>
      <c r="J1488" s="9" t="s">
        <v>6567</v>
      </c>
      <c r="O1488" s="10">
        <f>IFERROR(__xludf.DUMMYFUNCTION("VALUE(REGEXEXTRACT(A1488, ""\d+""))"),1769.0)</f>
        <v>1769</v>
      </c>
    </row>
    <row r="1489">
      <c r="A1489" s="9" t="s">
        <v>6568</v>
      </c>
      <c r="B1489" s="9" t="s">
        <v>6569</v>
      </c>
      <c r="D1489" s="9" t="s">
        <v>6570</v>
      </c>
      <c r="G1489" s="6" t="s">
        <v>6571</v>
      </c>
      <c r="J1489" s="9" t="s">
        <v>6572</v>
      </c>
      <c r="O1489" s="10">
        <f>IFERROR(__xludf.DUMMYFUNCTION("VALUE(REGEXEXTRACT(A1489, ""\d+""))"),1770.0)</f>
        <v>1770</v>
      </c>
    </row>
    <row r="1490">
      <c r="A1490" s="9" t="s">
        <v>6573</v>
      </c>
      <c r="B1490" s="9" t="s">
        <v>6574</v>
      </c>
      <c r="D1490" s="9" t="s">
        <v>6575</v>
      </c>
      <c r="G1490" s="6" t="s">
        <v>6576</v>
      </c>
      <c r="J1490" s="9" t="s">
        <v>6577</v>
      </c>
      <c r="O1490" s="10">
        <f>IFERROR(__xludf.DUMMYFUNCTION("VALUE(REGEXEXTRACT(A1490, ""\d+""))"),1771.0)</f>
        <v>1771</v>
      </c>
    </row>
    <row r="1491">
      <c r="A1491" s="9" t="s">
        <v>6578</v>
      </c>
      <c r="B1491" s="9" t="s">
        <v>6579</v>
      </c>
      <c r="D1491" s="9" t="s">
        <v>6580</v>
      </c>
      <c r="G1491" s="6" t="s">
        <v>6581</v>
      </c>
      <c r="J1491" s="9" t="s">
        <v>6582</v>
      </c>
      <c r="O1491" s="10">
        <f>IFERROR(__xludf.DUMMYFUNCTION("VALUE(REGEXEXTRACT(A1491, ""\d+""))"),1772.0)</f>
        <v>1772</v>
      </c>
    </row>
    <row r="1492">
      <c r="A1492" s="9" t="s">
        <v>6583</v>
      </c>
      <c r="B1492" s="9" t="s">
        <v>6584</v>
      </c>
      <c r="D1492" s="9" t="s">
        <v>6585</v>
      </c>
      <c r="G1492" s="6" t="s">
        <v>6586</v>
      </c>
      <c r="J1492" s="9" t="s">
        <v>6587</v>
      </c>
      <c r="O1492" s="10">
        <f>IFERROR(__xludf.DUMMYFUNCTION("VALUE(REGEXEXTRACT(A1492, ""\d+""))"),1773.0)</f>
        <v>1773</v>
      </c>
    </row>
    <row r="1493">
      <c r="A1493" s="9" t="s">
        <v>6588</v>
      </c>
      <c r="B1493" s="9" t="s">
        <v>6589</v>
      </c>
      <c r="D1493" s="9" t="s">
        <v>6590</v>
      </c>
      <c r="G1493" s="6" t="s">
        <v>6591</v>
      </c>
      <c r="J1493" s="9" t="s">
        <v>6592</v>
      </c>
      <c r="O1493" s="10">
        <f>IFERROR(__xludf.DUMMYFUNCTION("VALUE(REGEXEXTRACT(A1493, ""\d+""))"),1774.0)</f>
        <v>1774</v>
      </c>
    </row>
    <row r="1494">
      <c r="A1494" s="9" t="s">
        <v>6593</v>
      </c>
      <c r="B1494" s="9" t="s">
        <v>6594</v>
      </c>
      <c r="D1494" s="9" t="s">
        <v>6595</v>
      </c>
      <c r="G1494" s="6" t="s">
        <v>6596</v>
      </c>
      <c r="J1494" s="9" t="s">
        <v>6597</v>
      </c>
      <c r="O1494" s="10">
        <f>IFERROR(__xludf.DUMMYFUNCTION("VALUE(REGEXEXTRACT(A1494, ""\d+""))"),1775.0)</f>
        <v>1775</v>
      </c>
    </row>
    <row r="1495">
      <c r="A1495" s="9" t="s">
        <v>6598</v>
      </c>
      <c r="B1495" s="9" t="s">
        <v>6599</v>
      </c>
      <c r="D1495" s="9" t="s">
        <v>6600</v>
      </c>
      <c r="G1495" s="6" t="s">
        <v>6601</v>
      </c>
      <c r="J1495" s="9" t="s">
        <v>6602</v>
      </c>
      <c r="O1495" s="10">
        <f>IFERROR(__xludf.DUMMYFUNCTION("VALUE(REGEXEXTRACT(A1495, ""\d+""))"),1776.0)</f>
        <v>1776</v>
      </c>
    </row>
    <row r="1496">
      <c r="A1496" s="9" t="s">
        <v>6603</v>
      </c>
      <c r="B1496" s="9" t="s">
        <v>6604</v>
      </c>
      <c r="D1496" s="9" t="s">
        <v>6605</v>
      </c>
      <c r="G1496" s="6" t="s">
        <v>6606</v>
      </c>
      <c r="J1496" s="9" t="s">
        <v>6607</v>
      </c>
      <c r="O1496" s="10">
        <f>IFERROR(__xludf.DUMMYFUNCTION("VALUE(REGEXEXTRACT(A1496, ""\d+""))"),1777.0)</f>
        <v>1777</v>
      </c>
    </row>
    <row r="1497">
      <c r="A1497" s="9" t="s">
        <v>6608</v>
      </c>
      <c r="B1497" s="9" t="s">
        <v>6609</v>
      </c>
      <c r="D1497" s="9" t="s">
        <v>6610</v>
      </c>
      <c r="G1497" s="6" t="s">
        <v>6611</v>
      </c>
      <c r="J1497" s="9" t="s">
        <v>6612</v>
      </c>
      <c r="O1497" s="10">
        <f>IFERROR(__xludf.DUMMYFUNCTION("VALUE(REGEXEXTRACT(A1497, ""\d+""))"),1778.0)</f>
        <v>1778</v>
      </c>
    </row>
    <row r="1498">
      <c r="A1498" s="9" t="s">
        <v>6613</v>
      </c>
      <c r="B1498" s="9" t="s">
        <v>6614</v>
      </c>
      <c r="D1498" s="9" t="s">
        <v>6615</v>
      </c>
      <c r="G1498" s="6" t="s">
        <v>6615</v>
      </c>
      <c r="J1498" s="9" t="s">
        <v>6616</v>
      </c>
      <c r="O1498" s="10">
        <f>IFERROR(__xludf.DUMMYFUNCTION("VALUE(REGEXEXTRACT(A1498, ""\d+""))"),1779.0)</f>
        <v>1779</v>
      </c>
    </row>
    <row r="1499">
      <c r="A1499" s="9" t="s">
        <v>6617</v>
      </c>
      <c r="B1499" s="9" t="s">
        <v>6618</v>
      </c>
      <c r="D1499" s="9" t="s">
        <v>6619</v>
      </c>
      <c r="G1499" s="6" t="s">
        <v>6620</v>
      </c>
      <c r="J1499" s="9" t="s">
        <v>6621</v>
      </c>
      <c r="O1499" s="10">
        <f>IFERROR(__xludf.DUMMYFUNCTION("VALUE(REGEXEXTRACT(A1499, ""\d+""))"),1780.0)</f>
        <v>1780</v>
      </c>
    </row>
    <row r="1500">
      <c r="A1500" s="9" t="s">
        <v>6622</v>
      </c>
      <c r="B1500" s="9" t="s">
        <v>6623</v>
      </c>
      <c r="D1500" s="9" t="s">
        <v>6624</v>
      </c>
      <c r="G1500" s="6" t="s">
        <v>6624</v>
      </c>
      <c r="J1500" s="9" t="s">
        <v>6625</v>
      </c>
      <c r="O1500" s="10">
        <f>IFERROR(__xludf.DUMMYFUNCTION("VALUE(REGEXEXTRACT(A1500, ""\d+""))"),1781.0)</f>
        <v>1781</v>
      </c>
    </row>
    <row r="1501">
      <c r="A1501" s="9" t="s">
        <v>6626</v>
      </c>
      <c r="B1501" s="9" t="s">
        <v>6627</v>
      </c>
      <c r="D1501" s="9" t="s">
        <v>6628</v>
      </c>
      <c r="G1501" s="6" t="s">
        <v>6628</v>
      </c>
      <c r="J1501" s="9" t="s">
        <v>6629</v>
      </c>
      <c r="O1501" s="10">
        <f>IFERROR(__xludf.DUMMYFUNCTION("VALUE(REGEXEXTRACT(A1501, ""\d+""))"),1782.0)</f>
        <v>1782</v>
      </c>
    </row>
    <row r="1502">
      <c r="A1502" s="9" t="s">
        <v>6630</v>
      </c>
      <c r="B1502" s="9" t="s">
        <v>6631</v>
      </c>
      <c r="D1502" s="9" t="s">
        <v>6632</v>
      </c>
      <c r="G1502" s="6" t="s">
        <v>6633</v>
      </c>
      <c r="J1502" s="9" t="s">
        <v>6634</v>
      </c>
      <c r="O1502" s="10">
        <f>IFERROR(__xludf.DUMMYFUNCTION("VALUE(REGEXEXTRACT(A1502, ""\d+""))"),1783.0)</f>
        <v>1783</v>
      </c>
    </row>
    <row r="1503">
      <c r="A1503" s="9" t="s">
        <v>6635</v>
      </c>
      <c r="B1503" s="9" t="s">
        <v>6636</v>
      </c>
      <c r="D1503" s="9" t="s">
        <v>6637</v>
      </c>
      <c r="G1503" s="6" t="s">
        <v>6638</v>
      </c>
      <c r="J1503" s="9" t="s">
        <v>6639</v>
      </c>
      <c r="O1503" s="10">
        <f>IFERROR(__xludf.DUMMYFUNCTION("VALUE(REGEXEXTRACT(A1503, ""\d+""))"),1784.0)</f>
        <v>1784</v>
      </c>
    </row>
    <row r="1504">
      <c r="A1504" s="9" t="s">
        <v>6640</v>
      </c>
      <c r="B1504" s="9" t="s">
        <v>6641</v>
      </c>
      <c r="D1504" s="9" t="s">
        <v>6642</v>
      </c>
      <c r="G1504" s="6" t="s">
        <v>6643</v>
      </c>
      <c r="J1504" s="9" t="s">
        <v>6644</v>
      </c>
      <c r="O1504" s="10">
        <f>IFERROR(__xludf.DUMMYFUNCTION("VALUE(REGEXEXTRACT(A1504, ""\d+""))"),1785.0)</f>
        <v>1785</v>
      </c>
    </row>
    <row r="1505">
      <c r="A1505" s="9" t="s">
        <v>6645</v>
      </c>
      <c r="B1505" s="9" t="s">
        <v>6646</v>
      </c>
      <c r="D1505" s="9" t="s">
        <v>6647</v>
      </c>
      <c r="G1505" s="6" t="s">
        <v>6648</v>
      </c>
      <c r="J1505" s="9" t="s">
        <v>6649</v>
      </c>
      <c r="O1505" s="10">
        <f>IFERROR(__xludf.DUMMYFUNCTION("VALUE(REGEXEXTRACT(A1505, ""\d+""))"),1786.0)</f>
        <v>1786</v>
      </c>
    </row>
    <row r="1506">
      <c r="A1506" s="9" t="s">
        <v>6650</v>
      </c>
      <c r="B1506" s="9" t="s">
        <v>6651</v>
      </c>
      <c r="D1506" s="9" t="s">
        <v>6652</v>
      </c>
      <c r="G1506" s="6" t="s">
        <v>6653</v>
      </c>
      <c r="J1506" s="9" t="s">
        <v>6654</v>
      </c>
      <c r="O1506" s="10">
        <f>IFERROR(__xludf.DUMMYFUNCTION("VALUE(REGEXEXTRACT(A1506, ""\d+""))"),1787.0)</f>
        <v>1787</v>
      </c>
    </row>
    <row r="1507">
      <c r="A1507" s="9" t="s">
        <v>6655</v>
      </c>
      <c r="B1507" s="9" t="s">
        <v>6656</v>
      </c>
      <c r="D1507" s="9" t="s">
        <v>6657</v>
      </c>
      <c r="G1507" s="6" t="s">
        <v>6657</v>
      </c>
      <c r="J1507" s="9" t="s">
        <v>6658</v>
      </c>
      <c r="O1507" s="10">
        <f>IFERROR(__xludf.DUMMYFUNCTION("VALUE(REGEXEXTRACT(A1507, ""\d+""))"),1788.0)</f>
        <v>1788</v>
      </c>
    </row>
    <row r="1508">
      <c r="A1508" s="9" t="s">
        <v>6659</v>
      </c>
      <c r="B1508" s="9" t="s">
        <v>6660</v>
      </c>
      <c r="D1508" s="9" t="s">
        <v>6661</v>
      </c>
      <c r="G1508" s="6" t="s">
        <v>6662</v>
      </c>
      <c r="J1508" s="9" t="s">
        <v>6663</v>
      </c>
      <c r="O1508" s="10">
        <f>IFERROR(__xludf.DUMMYFUNCTION("VALUE(REGEXEXTRACT(A1508, ""\d+""))"),1790.0)</f>
        <v>1790</v>
      </c>
    </row>
    <row r="1509">
      <c r="A1509" s="9" t="s">
        <v>6664</v>
      </c>
      <c r="B1509" s="9" t="s">
        <v>6665</v>
      </c>
      <c r="D1509" s="9" t="s">
        <v>6666</v>
      </c>
      <c r="G1509" s="6" t="s">
        <v>6667</v>
      </c>
      <c r="J1509" s="9" t="s">
        <v>6668</v>
      </c>
      <c r="O1509" s="10">
        <f>IFERROR(__xludf.DUMMYFUNCTION("VALUE(REGEXEXTRACT(A1509, ""\d+""))"),1791.0)</f>
        <v>1791</v>
      </c>
    </row>
    <row r="1510">
      <c r="A1510" s="9" t="s">
        <v>6669</v>
      </c>
      <c r="B1510" s="9" t="s">
        <v>6670</v>
      </c>
      <c r="D1510" s="9" t="s">
        <v>6671</v>
      </c>
      <c r="G1510" s="6" t="s">
        <v>6672</v>
      </c>
      <c r="J1510" s="9" t="s">
        <v>6673</v>
      </c>
      <c r="O1510" s="10">
        <f>IFERROR(__xludf.DUMMYFUNCTION("VALUE(REGEXEXTRACT(A1510, ""\d+""))"),1792.0)</f>
        <v>1792</v>
      </c>
    </row>
    <row r="1511">
      <c r="A1511" s="9" t="s">
        <v>6674</v>
      </c>
      <c r="B1511" s="9" t="s">
        <v>6675</v>
      </c>
      <c r="D1511" s="9" t="s">
        <v>6676</v>
      </c>
      <c r="G1511" s="6" t="s">
        <v>6677</v>
      </c>
      <c r="J1511" s="9" t="s">
        <v>6678</v>
      </c>
      <c r="O1511" s="10">
        <f>IFERROR(__xludf.DUMMYFUNCTION("VALUE(REGEXEXTRACT(A1511, ""\d+""))"),1793.0)</f>
        <v>1793</v>
      </c>
    </row>
    <row r="1512">
      <c r="A1512" s="9" t="s">
        <v>6679</v>
      </c>
      <c r="B1512" s="9" t="s">
        <v>6680</v>
      </c>
      <c r="D1512" s="9" t="s">
        <v>6681</v>
      </c>
      <c r="G1512" s="6" t="s">
        <v>6682</v>
      </c>
      <c r="J1512" s="9" t="s">
        <v>6683</v>
      </c>
      <c r="O1512" s="10">
        <f>IFERROR(__xludf.DUMMYFUNCTION("VALUE(REGEXEXTRACT(A1512, ""\d+""))"),1794.0)</f>
        <v>1794</v>
      </c>
    </row>
    <row r="1513">
      <c r="A1513" s="9" t="s">
        <v>6684</v>
      </c>
      <c r="B1513" s="9" t="s">
        <v>6685</v>
      </c>
      <c r="D1513" s="9" t="s">
        <v>6686</v>
      </c>
      <c r="G1513" s="6" t="s">
        <v>6687</v>
      </c>
      <c r="J1513" s="9" t="s">
        <v>6688</v>
      </c>
      <c r="O1513" s="10">
        <f>IFERROR(__xludf.DUMMYFUNCTION("VALUE(REGEXEXTRACT(A1513, ""\d+""))"),1795.0)</f>
        <v>1795</v>
      </c>
    </row>
    <row r="1514">
      <c r="A1514" s="9" t="s">
        <v>6689</v>
      </c>
      <c r="B1514" s="9" t="s">
        <v>6690</v>
      </c>
      <c r="D1514" s="9" t="s">
        <v>6691</v>
      </c>
      <c r="G1514" s="6" t="s">
        <v>6692</v>
      </c>
      <c r="J1514" s="9" t="s">
        <v>6693</v>
      </c>
      <c r="O1514" s="10">
        <f>IFERROR(__xludf.DUMMYFUNCTION("VALUE(REGEXEXTRACT(A1514, ""\d+""))"),1796.0)</f>
        <v>1796</v>
      </c>
    </row>
    <row r="1515">
      <c r="A1515" s="9" t="s">
        <v>6694</v>
      </c>
      <c r="B1515" s="9" t="s">
        <v>6695</v>
      </c>
      <c r="D1515" s="9" t="s">
        <v>6696</v>
      </c>
      <c r="G1515" s="6" t="s">
        <v>6697</v>
      </c>
      <c r="J1515" s="9" t="s">
        <v>6698</v>
      </c>
      <c r="O1515" s="10">
        <f>IFERROR(__xludf.DUMMYFUNCTION("VALUE(REGEXEXTRACT(A1515, ""\d+""))"),1797.0)</f>
        <v>1797</v>
      </c>
    </row>
    <row r="1516">
      <c r="A1516" s="9" t="s">
        <v>6699</v>
      </c>
      <c r="B1516" s="9" t="s">
        <v>6700</v>
      </c>
      <c r="D1516" s="9" t="s">
        <v>6701</v>
      </c>
      <c r="G1516" s="6" t="s">
        <v>6702</v>
      </c>
      <c r="J1516" s="9" t="s">
        <v>6703</v>
      </c>
      <c r="O1516" s="10">
        <f>IFERROR(__xludf.DUMMYFUNCTION("VALUE(REGEXEXTRACT(A1516, ""\d+""))"),1798.0)</f>
        <v>1798</v>
      </c>
    </row>
    <row r="1517">
      <c r="A1517" s="9" t="s">
        <v>6704</v>
      </c>
      <c r="B1517" s="9" t="s">
        <v>6705</v>
      </c>
      <c r="D1517" s="9" t="s">
        <v>6706</v>
      </c>
      <c r="G1517" s="6" t="s">
        <v>6707</v>
      </c>
      <c r="J1517" s="9" t="s">
        <v>6708</v>
      </c>
      <c r="O1517" s="10">
        <f>IFERROR(__xludf.DUMMYFUNCTION("VALUE(REGEXEXTRACT(A1517, ""\d+""))"),1799.0)</f>
        <v>1799</v>
      </c>
    </row>
    <row r="1518">
      <c r="A1518" s="9" t="s">
        <v>6709</v>
      </c>
      <c r="B1518" s="9" t="s">
        <v>6710</v>
      </c>
      <c r="D1518" s="9" t="s">
        <v>6711</v>
      </c>
      <c r="G1518" s="6" t="s">
        <v>6712</v>
      </c>
      <c r="J1518" s="9" t="s">
        <v>6713</v>
      </c>
      <c r="O1518" s="10">
        <f>IFERROR(__xludf.DUMMYFUNCTION("VALUE(REGEXEXTRACT(A1518, ""\d+""))"),1800.0)</f>
        <v>1800</v>
      </c>
    </row>
    <row r="1519">
      <c r="A1519" s="9" t="s">
        <v>6714</v>
      </c>
      <c r="B1519" s="9" t="s">
        <v>6715</v>
      </c>
      <c r="D1519" s="9" t="s">
        <v>6716</v>
      </c>
      <c r="G1519" s="6" t="s">
        <v>6717</v>
      </c>
      <c r="J1519" s="9" t="s">
        <v>6718</v>
      </c>
      <c r="O1519" s="10">
        <f>IFERROR(__xludf.DUMMYFUNCTION("VALUE(REGEXEXTRACT(A1519, ""\d+""))"),1801.0)</f>
        <v>1801</v>
      </c>
    </row>
    <row r="1520">
      <c r="A1520" s="9" t="s">
        <v>6719</v>
      </c>
      <c r="B1520" s="9" t="s">
        <v>6720</v>
      </c>
      <c r="D1520" s="9" t="s">
        <v>6721</v>
      </c>
      <c r="G1520" s="6" t="s">
        <v>6722</v>
      </c>
      <c r="J1520" s="9" t="s">
        <v>6723</v>
      </c>
      <c r="O1520" s="10">
        <f>IFERROR(__xludf.DUMMYFUNCTION("VALUE(REGEXEXTRACT(A1520, ""\d+""))"),1802.0)</f>
        <v>1802</v>
      </c>
    </row>
    <row r="1521">
      <c r="A1521" s="9" t="s">
        <v>6724</v>
      </c>
      <c r="B1521" s="9" t="s">
        <v>6725</v>
      </c>
      <c r="D1521" s="9" t="s">
        <v>6726</v>
      </c>
      <c r="G1521" s="6" t="s">
        <v>6727</v>
      </c>
      <c r="J1521" s="9" t="s">
        <v>6728</v>
      </c>
      <c r="O1521" s="10">
        <f>IFERROR(__xludf.DUMMYFUNCTION("VALUE(REGEXEXTRACT(A1521, ""\d+""))"),1803.0)</f>
        <v>1803</v>
      </c>
    </row>
    <row r="1522">
      <c r="A1522" s="9" t="s">
        <v>6729</v>
      </c>
      <c r="B1522" s="9" t="s">
        <v>6730</v>
      </c>
      <c r="D1522" s="9" t="s">
        <v>6731</v>
      </c>
      <c r="G1522" s="6" t="s">
        <v>6732</v>
      </c>
      <c r="J1522" s="9" t="s">
        <v>6733</v>
      </c>
      <c r="O1522" s="10">
        <f>IFERROR(__xludf.DUMMYFUNCTION("VALUE(REGEXEXTRACT(A1522, ""\d+""))"),1804.0)</f>
        <v>1804</v>
      </c>
    </row>
    <row r="1523">
      <c r="A1523" s="9" t="s">
        <v>6734</v>
      </c>
      <c r="B1523" s="9" t="s">
        <v>6735</v>
      </c>
      <c r="D1523" s="9" t="s">
        <v>6736</v>
      </c>
      <c r="G1523" s="6" t="s">
        <v>6737</v>
      </c>
      <c r="J1523" s="9" t="s">
        <v>6738</v>
      </c>
      <c r="O1523" s="10">
        <f>IFERROR(__xludf.DUMMYFUNCTION("VALUE(REGEXEXTRACT(A1523, ""\d+""))"),1805.0)</f>
        <v>1805</v>
      </c>
    </row>
    <row r="1524">
      <c r="A1524" s="9" t="s">
        <v>6739</v>
      </c>
      <c r="B1524" s="9" t="s">
        <v>6740</v>
      </c>
      <c r="D1524" s="9" t="s">
        <v>6741</v>
      </c>
      <c r="G1524" s="6" t="s">
        <v>6742</v>
      </c>
      <c r="J1524" s="9" t="s">
        <v>6743</v>
      </c>
      <c r="O1524" s="10">
        <f>IFERROR(__xludf.DUMMYFUNCTION("VALUE(REGEXEXTRACT(A1524, ""\d+""))"),1806.0)</f>
        <v>1806</v>
      </c>
    </row>
    <row r="1525">
      <c r="A1525" s="9" t="s">
        <v>6744</v>
      </c>
      <c r="B1525" s="9" t="s">
        <v>6745</v>
      </c>
      <c r="D1525" s="9" t="s">
        <v>6746</v>
      </c>
      <c r="G1525" s="6" t="s">
        <v>6747</v>
      </c>
      <c r="J1525" s="9" t="s">
        <v>6748</v>
      </c>
      <c r="O1525" s="10">
        <f>IFERROR(__xludf.DUMMYFUNCTION("VALUE(REGEXEXTRACT(A1525, ""\d+""))"),1807.0)</f>
        <v>1807</v>
      </c>
    </row>
    <row r="1526">
      <c r="A1526" s="9" t="s">
        <v>6749</v>
      </c>
      <c r="B1526" s="9" t="s">
        <v>6750</v>
      </c>
      <c r="D1526" s="9" t="s">
        <v>6751</v>
      </c>
      <c r="G1526" s="6" t="s">
        <v>6752</v>
      </c>
      <c r="J1526" s="9" t="s">
        <v>6753</v>
      </c>
      <c r="O1526" s="10">
        <f>IFERROR(__xludf.DUMMYFUNCTION("VALUE(REGEXEXTRACT(A1526, ""\d+""))"),1808.0)</f>
        <v>1808</v>
      </c>
    </row>
    <row r="1527">
      <c r="A1527" s="9" t="s">
        <v>6754</v>
      </c>
      <c r="B1527" s="9" t="s">
        <v>6755</v>
      </c>
      <c r="D1527" s="9" t="s">
        <v>6756</v>
      </c>
      <c r="G1527" s="6" t="s">
        <v>6757</v>
      </c>
      <c r="J1527" s="9" t="s">
        <v>6758</v>
      </c>
      <c r="O1527" s="10">
        <f>IFERROR(__xludf.DUMMYFUNCTION("VALUE(REGEXEXTRACT(A1527, ""\d+""))"),1809.0)</f>
        <v>1809</v>
      </c>
    </row>
    <row r="1528">
      <c r="A1528" s="9" t="s">
        <v>6759</v>
      </c>
      <c r="B1528" s="9" t="s">
        <v>6760</v>
      </c>
      <c r="D1528" s="9" t="s">
        <v>6761</v>
      </c>
      <c r="G1528" s="6" t="s">
        <v>6762</v>
      </c>
      <c r="J1528" s="9" t="s">
        <v>6763</v>
      </c>
      <c r="O1528" s="10">
        <f>IFERROR(__xludf.DUMMYFUNCTION("VALUE(REGEXEXTRACT(A1528, ""\d+""))"),1810.0)</f>
        <v>1810</v>
      </c>
    </row>
    <row r="1529">
      <c r="A1529" s="9" t="s">
        <v>6764</v>
      </c>
      <c r="B1529" s="9" t="s">
        <v>6765</v>
      </c>
      <c r="D1529" s="9" t="s">
        <v>2426</v>
      </c>
      <c r="G1529" s="6" t="s">
        <v>6766</v>
      </c>
      <c r="J1529" s="9" t="s">
        <v>2428</v>
      </c>
      <c r="O1529" s="10">
        <f>IFERROR(__xludf.DUMMYFUNCTION("VALUE(REGEXEXTRACT(A1529, ""\d+""))"),1811.0)</f>
        <v>1811</v>
      </c>
    </row>
    <row r="1530">
      <c r="A1530" s="9" t="s">
        <v>6767</v>
      </c>
      <c r="B1530" s="9" t="s">
        <v>6768</v>
      </c>
      <c r="D1530" s="9" t="s">
        <v>6769</v>
      </c>
      <c r="G1530" s="6" t="s">
        <v>6770</v>
      </c>
      <c r="J1530" s="9" t="s">
        <v>6771</v>
      </c>
      <c r="O1530" s="10">
        <f>IFERROR(__xludf.DUMMYFUNCTION("VALUE(REGEXEXTRACT(A1530, ""\d+""))"),1812.0)</f>
        <v>1812</v>
      </c>
    </row>
    <row r="1531">
      <c r="A1531" s="9" t="s">
        <v>6772</v>
      </c>
      <c r="B1531" s="9" t="s">
        <v>6773</v>
      </c>
      <c r="D1531" s="9" t="s">
        <v>6774</v>
      </c>
      <c r="G1531" s="6" t="s">
        <v>6775</v>
      </c>
      <c r="J1531" s="9" t="s">
        <v>6776</v>
      </c>
      <c r="O1531" s="10">
        <f>IFERROR(__xludf.DUMMYFUNCTION("VALUE(REGEXEXTRACT(A1531, ""\d+""))"),1813.0)</f>
        <v>1813</v>
      </c>
    </row>
    <row r="1532">
      <c r="A1532" s="9" t="s">
        <v>6777</v>
      </c>
      <c r="B1532" s="9" t="s">
        <v>6778</v>
      </c>
      <c r="G1532" s="6" t="s">
        <v>6779</v>
      </c>
      <c r="O1532" s="10">
        <f>IFERROR(__xludf.DUMMYFUNCTION("VALUE(REGEXEXTRACT(A1532, ""\d+""))"),1814.0)</f>
        <v>1814</v>
      </c>
    </row>
    <row r="1533">
      <c r="A1533" s="9" t="s">
        <v>6780</v>
      </c>
      <c r="B1533" s="9" t="s">
        <v>6781</v>
      </c>
      <c r="G1533" s="6" t="s">
        <v>6782</v>
      </c>
      <c r="O1533" s="10">
        <f>IFERROR(__xludf.DUMMYFUNCTION("VALUE(REGEXEXTRACT(A1533, ""\d+""))"),1815.0)</f>
        <v>1815</v>
      </c>
    </row>
    <row r="1534">
      <c r="A1534" s="9" t="s">
        <v>6783</v>
      </c>
      <c r="B1534" s="9" t="s">
        <v>6784</v>
      </c>
      <c r="G1534" s="6" t="s">
        <v>6785</v>
      </c>
      <c r="O1534" s="10">
        <f>IFERROR(__xludf.DUMMYFUNCTION("VALUE(REGEXEXTRACT(A1534, ""\d+""))"),1816.0)</f>
        <v>1816</v>
      </c>
    </row>
    <row r="1535">
      <c r="A1535" s="9" t="s">
        <v>6786</v>
      </c>
      <c r="B1535" s="9" t="s">
        <v>6787</v>
      </c>
      <c r="G1535" s="6" t="s">
        <v>6788</v>
      </c>
      <c r="O1535" s="10">
        <f>IFERROR(__xludf.DUMMYFUNCTION("VALUE(REGEXEXTRACT(A1535, ""\d+""))"),1817.0)</f>
        <v>1817</v>
      </c>
    </row>
    <row r="1536">
      <c r="A1536" s="9" t="s">
        <v>6789</v>
      </c>
      <c r="B1536" s="9" t="s">
        <v>6790</v>
      </c>
      <c r="G1536" s="6" t="s">
        <v>6791</v>
      </c>
      <c r="O1536" s="10">
        <f>IFERROR(__xludf.DUMMYFUNCTION("VALUE(REGEXEXTRACT(A1536, ""\d+""))"),1818.0)</f>
        <v>1818</v>
      </c>
    </row>
    <row r="1537">
      <c r="A1537" s="9" t="s">
        <v>6792</v>
      </c>
      <c r="B1537" s="9" t="s">
        <v>6793</v>
      </c>
      <c r="G1537" s="6" t="s">
        <v>6794</v>
      </c>
      <c r="O1537" s="10">
        <f>IFERROR(__xludf.DUMMYFUNCTION("VALUE(REGEXEXTRACT(A1537, ""\d+""))"),1819.0)</f>
        <v>1819</v>
      </c>
    </row>
    <row r="1538">
      <c r="A1538" s="9" t="s">
        <v>6795</v>
      </c>
      <c r="B1538" s="9" t="s">
        <v>6796</v>
      </c>
      <c r="G1538" s="6" t="s">
        <v>6797</v>
      </c>
      <c r="O1538" s="10">
        <f>IFERROR(__xludf.DUMMYFUNCTION("VALUE(REGEXEXTRACT(A1538, ""\d+""))"),1820.0)</f>
        <v>1820</v>
      </c>
    </row>
    <row r="1539">
      <c r="A1539" s="9" t="s">
        <v>6798</v>
      </c>
      <c r="B1539" s="9" t="s">
        <v>6799</v>
      </c>
      <c r="G1539" s="6" t="s">
        <v>6800</v>
      </c>
      <c r="O1539" s="10">
        <f>IFERROR(__xludf.DUMMYFUNCTION("VALUE(REGEXEXTRACT(A1539, ""\d+""))"),1821.0)</f>
        <v>1821</v>
      </c>
    </row>
    <row r="1540">
      <c r="A1540" s="9" t="s">
        <v>6801</v>
      </c>
      <c r="B1540" s="9" t="s">
        <v>6802</v>
      </c>
      <c r="G1540" s="6" t="s">
        <v>6803</v>
      </c>
      <c r="O1540" s="10">
        <f>IFERROR(__xludf.DUMMYFUNCTION("VALUE(REGEXEXTRACT(A1540, ""\d+""))"),1822.0)</f>
        <v>1822</v>
      </c>
    </row>
    <row r="1541">
      <c r="A1541" s="9" t="s">
        <v>6804</v>
      </c>
      <c r="B1541" s="9" t="s">
        <v>6805</v>
      </c>
      <c r="G1541" s="6" t="s">
        <v>6806</v>
      </c>
      <c r="O1541" s="10">
        <f>IFERROR(__xludf.DUMMYFUNCTION("VALUE(REGEXEXTRACT(A1541, ""\d+""))"),1823.0)</f>
        <v>1823</v>
      </c>
    </row>
    <row r="1542">
      <c r="A1542" s="9" t="s">
        <v>6807</v>
      </c>
      <c r="B1542" s="9" t="s">
        <v>6808</v>
      </c>
      <c r="G1542" s="6" t="s">
        <v>6809</v>
      </c>
      <c r="O1542" s="10">
        <f>IFERROR(__xludf.DUMMYFUNCTION("VALUE(REGEXEXTRACT(A1542, ""\d+""))"),1825.0)</f>
        <v>1825</v>
      </c>
    </row>
    <row r="1543">
      <c r="A1543" s="9" t="s">
        <v>6810</v>
      </c>
      <c r="B1543" s="9" t="s">
        <v>6811</v>
      </c>
      <c r="G1543" s="6" t="s">
        <v>6812</v>
      </c>
      <c r="O1543" s="10">
        <f>IFERROR(__xludf.DUMMYFUNCTION("VALUE(REGEXEXTRACT(A1543, ""\d+""))"),1826.0)</f>
        <v>1826</v>
      </c>
    </row>
    <row r="1544">
      <c r="A1544" s="9" t="s">
        <v>6813</v>
      </c>
      <c r="B1544" s="9" t="s">
        <v>6814</v>
      </c>
      <c r="G1544" s="6" t="s">
        <v>6815</v>
      </c>
      <c r="O1544" s="10">
        <f>IFERROR(__xludf.DUMMYFUNCTION("VALUE(REGEXEXTRACT(A1544, ""\d+""))"),1827.0)</f>
        <v>1827</v>
      </c>
    </row>
    <row r="1545">
      <c r="A1545" s="9" t="s">
        <v>6816</v>
      </c>
      <c r="B1545" s="9" t="s">
        <v>6817</v>
      </c>
      <c r="D1545" s="9" t="s">
        <v>6818</v>
      </c>
      <c r="G1545" s="6" t="s">
        <v>6819</v>
      </c>
      <c r="J1545" s="9" t="s">
        <v>6820</v>
      </c>
      <c r="O1545" s="10">
        <f>IFERROR(__xludf.DUMMYFUNCTION("VALUE(REGEXEXTRACT(A1545, ""\d+""))"),1828.0)</f>
        <v>1828</v>
      </c>
    </row>
    <row r="1546">
      <c r="A1546" s="9" t="s">
        <v>6821</v>
      </c>
      <c r="B1546" s="9" t="s">
        <v>6822</v>
      </c>
      <c r="D1546" s="9" t="s">
        <v>6823</v>
      </c>
      <c r="G1546" s="6" t="s">
        <v>6824</v>
      </c>
      <c r="J1546" s="9" t="s">
        <v>6825</v>
      </c>
      <c r="O1546" s="10">
        <f>IFERROR(__xludf.DUMMYFUNCTION("VALUE(REGEXEXTRACT(A1546, ""\d+""))"),1829.0)</f>
        <v>1829</v>
      </c>
    </row>
    <row r="1547">
      <c r="A1547" s="9" t="s">
        <v>6826</v>
      </c>
      <c r="B1547" s="9" t="s">
        <v>6827</v>
      </c>
      <c r="D1547" s="9" t="s">
        <v>6828</v>
      </c>
      <c r="G1547" s="6" t="s">
        <v>6829</v>
      </c>
      <c r="J1547" s="9" t="s">
        <v>6830</v>
      </c>
      <c r="O1547" s="10">
        <f>IFERROR(__xludf.DUMMYFUNCTION("VALUE(REGEXEXTRACT(A1547, ""\d+""))"),1830.0)</f>
        <v>1830</v>
      </c>
    </row>
    <row r="1548">
      <c r="A1548" s="9" t="s">
        <v>6831</v>
      </c>
      <c r="B1548" s="9" t="s">
        <v>6832</v>
      </c>
      <c r="D1548" s="9" t="s">
        <v>6833</v>
      </c>
      <c r="G1548" s="6" t="s">
        <v>6834</v>
      </c>
      <c r="J1548" s="9" t="s">
        <v>6835</v>
      </c>
      <c r="O1548" s="10">
        <f>IFERROR(__xludf.DUMMYFUNCTION("VALUE(REGEXEXTRACT(A1548, ""\d+""))"),1831.0)</f>
        <v>1831</v>
      </c>
    </row>
    <row r="1549">
      <c r="A1549" s="9" t="s">
        <v>6836</v>
      </c>
      <c r="B1549" s="9" t="s">
        <v>6837</v>
      </c>
      <c r="D1549" s="9" t="s">
        <v>6838</v>
      </c>
      <c r="G1549" s="6" t="s">
        <v>6839</v>
      </c>
      <c r="J1549" s="9" t="s">
        <v>6840</v>
      </c>
      <c r="O1549" s="10">
        <f>IFERROR(__xludf.DUMMYFUNCTION("VALUE(REGEXEXTRACT(A1549, ""\d+""))"),1832.0)</f>
        <v>1832</v>
      </c>
    </row>
    <row r="1550">
      <c r="A1550" s="9" t="s">
        <v>6841</v>
      </c>
      <c r="B1550" s="9" t="s">
        <v>6842</v>
      </c>
      <c r="D1550" s="9" t="s">
        <v>6843</v>
      </c>
      <c r="G1550" s="6" t="s">
        <v>6844</v>
      </c>
      <c r="J1550" s="9" t="s">
        <v>6845</v>
      </c>
      <c r="O1550" s="10">
        <f>IFERROR(__xludf.DUMMYFUNCTION("VALUE(REGEXEXTRACT(A1550, ""\d+""))"),1833.0)</f>
        <v>1833</v>
      </c>
    </row>
    <row r="1551">
      <c r="A1551" s="9" t="s">
        <v>6846</v>
      </c>
      <c r="B1551" s="9" t="s">
        <v>6847</v>
      </c>
      <c r="D1551" s="9" t="s">
        <v>2511</v>
      </c>
      <c r="G1551" s="6" t="s">
        <v>6848</v>
      </c>
      <c r="J1551" s="9" t="s">
        <v>2513</v>
      </c>
      <c r="O1551" s="10">
        <f>IFERROR(__xludf.DUMMYFUNCTION("VALUE(REGEXEXTRACT(A1551, ""\d+""))"),1834.0)</f>
        <v>1834</v>
      </c>
    </row>
    <row r="1552">
      <c r="A1552" s="9" t="s">
        <v>6849</v>
      </c>
      <c r="B1552" s="9" t="s">
        <v>6850</v>
      </c>
      <c r="D1552" s="9" t="s">
        <v>6851</v>
      </c>
      <c r="G1552" s="6" t="s">
        <v>6852</v>
      </c>
      <c r="J1552" s="9" t="s">
        <v>6853</v>
      </c>
      <c r="O1552" s="10">
        <f>IFERROR(__xludf.DUMMYFUNCTION("VALUE(REGEXEXTRACT(A1552, ""\d+""))"),1835.0)</f>
        <v>1835</v>
      </c>
    </row>
    <row r="1553">
      <c r="A1553" s="9" t="s">
        <v>6854</v>
      </c>
      <c r="B1553" s="9" t="s">
        <v>6855</v>
      </c>
      <c r="D1553" s="9" t="s">
        <v>6856</v>
      </c>
      <c r="G1553" s="6" t="s">
        <v>6857</v>
      </c>
      <c r="J1553" s="9" t="s">
        <v>6858</v>
      </c>
      <c r="O1553" s="10">
        <f>IFERROR(__xludf.DUMMYFUNCTION("VALUE(REGEXEXTRACT(A1553, ""\d+""))"),1836.0)</f>
        <v>1836</v>
      </c>
    </row>
    <row r="1554">
      <c r="A1554" s="9" t="s">
        <v>6859</v>
      </c>
      <c r="B1554" s="9" t="s">
        <v>6860</v>
      </c>
      <c r="D1554" s="9" t="s">
        <v>6861</v>
      </c>
      <c r="G1554" s="6" t="s">
        <v>6862</v>
      </c>
      <c r="J1554" s="9" t="s">
        <v>6863</v>
      </c>
      <c r="O1554" s="10">
        <f>IFERROR(__xludf.DUMMYFUNCTION("VALUE(REGEXEXTRACT(A1554, ""\d+""))"),1837.0)</f>
        <v>1837</v>
      </c>
    </row>
    <row r="1555">
      <c r="A1555" s="9" t="s">
        <v>6864</v>
      </c>
      <c r="B1555" s="9" t="s">
        <v>6865</v>
      </c>
      <c r="D1555" s="9" t="s">
        <v>6866</v>
      </c>
      <c r="G1555" s="6" t="s">
        <v>6867</v>
      </c>
      <c r="J1555" s="9" t="s">
        <v>6868</v>
      </c>
      <c r="O1555" s="10">
        <f>IFERROR(__xludf.DUMMYFUNCTION("VALUE(REGEXEXTRACT(A1555, ""\d+""))"),1839.0)</f>
        <v>1839</v>
      </c>
    </row>
    <row r="1556">
      <c r="A1556" s="9" t="s">
        <v>6869</v>
      </c>
      <c r="B1556" s="9" t="s">
        <v>6870</v>
      </c>
      <c r="D1556" s="9" t="s">
        <v>6871</v>
      </c>
      <c r="G1556" s="6" t="s">
        <v>6872</v>
      </c>
      <c r="J1556" s="9" t="s">
        <v>6873</v>
      </c>
      <c r="O1556" s="10">
        <f>IFERROR(__xludf.DUMMYFUNCTION("VALUE(REGEXEXTRACT(A1556, ""\d+""))"),1840.0)</f>
        <v>1840</v>
      </c>
    </row>
    <row r="1557">
      <c r="A1557" s="9" t="s">
        <v>6874</v>
      </c>
      <c r="B1557" s="9" t="s">
        <v>6875</v>
      </c>
      <c r="D1557" s="9" t="s">
        <v>6876</v>
      </c>
      <c r="G1557" s="6" t="s">
        <v>6877</v>
      </c>
      <c r="J1557" s="9" t="s">
        <v>6878</v>
      </c>
      <c r="O1557" s="10">
        <f>IFERROR(__xludf.DUMMYFUNCTION("VALUE(REGEXEXTRACT(A1557, ""\d+""))"),1841.0)</f>
        <v>1841</v>
      </c>
    </row>
    <row r="1558">
      <c r="A1558" s="9" t="s">
        <v>6879</v>
      </c>
      <c r="B1558" s="9" t="s">
        <v>6880</v>
      </c>
      <c r="D1558" s="9" t="s">
        <v>6881</v>
      </c>
      <c r="G1558" s="6" t="s">
        <v>6882</v>
      </c>
      <c r="J1558" s="9" t="s">
        <v>6883</v>
      </c>
      <c r="O1558" s="10">
        <f>IFERROR(__xludf.DUMMYFUNCTION("VALUE(REGEXEXTRACT(A1558, ""\d+""))"),1842.0)</f>
        <v>1842</v>
      </c>
    </row>
    <row r="1559">
      <c r="A1559" s="9" t="s">
        <v>6884</v>
      </c>
      <c r="B1559" s="9" t="s">
        <v>6885</v>
      </c>
      <c r="D1559" s="9" t="s">
        <v>6886</v>
      </c>
      <c r="G1559" s="6" t="s">
        <v>6887</v>
      </c>
      <c r="J1559" s="9" t="s">
        <v>6888</v>
      </c>
      <c r="O1559" s="10">
        <f>IFERROR(__xludf.DUMMYFUNCTION("VALUE(REGEXEXTRACT(A1559, ""\d+""))"),1843.0)</f>
        <v>1843</v>
      </c>
    </row>
    <row r="1560">
      <c r="A1560" s="9" t="s">
        <v>6889</v>
      </c>
      <c r="B1560" s="9" t="s">
        <v>6890</v>
      </c>
      <c r="D1560" s="9" t="s">
        <v>6891</v>
      </c>
      <c r="G1560" s="6" t="s">
        <v>6892</v>
      </c>
      <c r="J1560" s="9" t="s">
        <v>6893</v>
      </c>
      <c r="O1560" s="10">
        <f>IFERROR(__xludf.DUMMYFUNCTION("VALUE(REGEXEXTRACT(A1560, ""\d+""))"),1844.0)</f>
        <v>1844</v>
      </c>
    </row>
    <row r="1561">
      <c r="A1561" s="9" t="s">
        <v>6894</v>
      </c>
      <c r="B1561" s="9" t="s">
        <v>6895</v>
      </c>
      <c r="G1561" s="6" t="s">
        <v>6896</v>
      </c>
      <c r="O1561" s="10">
        <f>IFERROR(__xludf.DUMMYFUNCTION("VALUE(REGEXEXTRACT(A1561, ""\d+""))"),1845.0)</f>
        <v>1845</v>
      </c>
    </row>
    <row r="1562">
      <c r="A1562" s="9" t="s">
        <v>6897</v>
      </c>
      <c r="B1562" s="9" t="s">
        <v>6895</v>
      </c>
      <c r="D1562" s="9" t="s">
        <v>6898</v>
      </c>
      <c r="G1562" s="6" t="s">
        <v>6896</v>
      </c>
      <c r="J1562" s="9" t="s">
        <v>6899</v>
      </c>
      <c r="O1562" s="10">
        <f>IFERROR(__xludf.DUMMYFUNCTION("VALUE(REGEXEXTRACT(A1562, ""\d+""))"),1846.0)</f>
        <v>1846</v>
      </c>
    </row>
    <row r="1563">
      <c r="A1563" s="9" t="s">
        <v>6900</v>
      </c>
      <c r="B1563" s="9" t="s">
        <v>6895</v>
      </c>
      <c r="G1563" s="6" t="s">
        <v>6896</v>
      </c>
      <c r="O1563" s="10">
        <f>IFERROR(__xludf.DUMMYFUNCTION("VALUE(REGEXEXTRACT(A1563, ""\d+""))"),1847.0)</f>
        <v>1847</v>
      </c>
    </row>
    <row r="1564">
      <c r="A1564" s="9" t="s">
        <v>6901</v>
      </c>
      <c r="B1564" s="9" t="s">
        <v>6902</v>
      </c>
      <c r="D1564" s="9" t="s">
        <v>6903</v>
      </c>
      <c r="G1564" s="6" t="s">
        <v>6904</v>
      </c>
      <c r="J1564" s="9" t="s">
        <v>6905</v>
      </c>
      <c r="O1564" s="10">
        <f>IFERROR(__xludf.DUMMYFUNCTION("VALUE(REGEXEXTRACT(A1564, ""\d+""))"),1848.0)</f>
        <v>1848</v>
      </c>
    </row>
    <row r="1565">
      <c r="A1565" s="9" t="s">
        <v>6906</v>
      </c>
      <c r="B1565" s="9" t="s">
        <v>6907</v>
      </c>
      <c r="D1565" s="9" t="s">
        <v>6908</v>
      </c>
      <c r="G1565" s="6" t="s">
        <v>6909</v>
      </c>
      <c r="J1565" s="9" t="s">
        <v>6910</v>
      </c>
      <c r="O1565" s="10">
        <f>IFERROR(__xludf.DUMMYFUNCTION("VALUE(REGEXEXTRACT(A1565, ""\d+""))"),1849.0)</f>
        <v>1849</v>
      </c>
    </row>
    <row r="1566">
      <c r="A1566" s="9" t="s">
        <v>6911</v>
      </c>
      <c r="B1566" s="9" t="s">
        <v>6912</v>
      </c>
      <c r="D1566" s="9" t="s">
        <v>6913</v>
      </c>
      <c r="G1566" s="6" t="s">
        <v>6914</v>
      </c>
      <c r="J1566" s="9" t="s">
        <v>6912</v>
      </c>
      <c r="O1566" s="10">
        <f>IFERROR(__xludf.DUMMYFUNCTION("VALUE(REGEXEXTRACT(A1566, ""\d+""))"),1850.0)</f>
        <v>1850</v>
      </c>
    </row>
    <row r="1567">
      <c r="A1567" s="9" t="s">
        <v>6915</v>
      </c>
      <c r="B1567" s="9" t="s">
        <v>6916</v>
      </c>
      <c r="G1567" s="6" t="s">
        <v>6917</v>
      </c>
      <c r="O1567" s="10">
        <f>IFERROR(__xludf.DUMMYFUNCTION("VALUE(REGEXEXTRACT(A1567, ""\d+""))"),1851.0)</f>
        <v>1851</v>
      </c>
    </row>
    <row r="1568">
      <c r="A1568" s="9" t="s">
        <v>6918</v>
      </c>
      <c r="B1568" s="9" t="s">
        <v>6919</v>
      </c>
      <c r="G1568" s="6" t="s">
        <v>6920</v>
      </c>
      <c r="O1568" s="10">
        <f>IFERROR(__xludf.DUMMYFUNCTION("VALUE(REGEXEXTRACT(A1568, ""\d+""))"),1852.0)</f>
        <v>1852</v>
      </c>
    </row>
    <row r="1569">
      <c r="A1569" s="9" t="s">
        <v>6921</v>
      </c>
      <c r="B1569" s="9" t="s">
        <v>6922</v>
      </c>
      <c r="G1569" s="6" t="s">
        <v>6923</v>
      </c>
      <c r="O1569" s="10">
        <f>IFERROR(__xludf.DUMMYFUNCTION("VALUE(REGEXEXTRACT(A1569, ""\d+""))"),1853.0)</f>
        <v>1853</v>
      </c>
    </row>
    <row r="1570">
      <c r="A1570" s="9" t="s">
        <v>6924</v>
      </c>
      <c r="B1570" s="9" t="s">
        <v>6925</v>
      </c>
      <c r="D1570" s="9" t="s">
        <v>6926</v>
      </c>
      <c r="G1570" s="6" t="s">
        <v>6927</v>
      </c>
      <c r="J1570" s="9" t="s">
        <v>6925</v>
      </c>
      <c r="O1570" s="10">
        <f>IFERROR(__xludf.DUMMYFUNCTION("VALUE(REGEXEXTRACT(A1570, ""\d+""))"),1854.0)</f>
        <v>1854</v>
      </c>
    </row>
    <row r="1571">
      <c r="A1571" s="9" t="s">
        <v>6928</v>
      </c>
      <c r="B1571" s="9" t="s">
        <v>6929</v>
      </c>
      <c r="D1571" s="9" t="s">
        <v>6930</v>
      </c>
      <c r="G1571" s="6" t="s">
        <v>6931</v>
      </c>
      <c r="J1571" s="9" t="s">
        <v>6932</v>
      </c>
      <c r="O1571" s="10">
        <f>IFERROR(__xludf.DUMMYFUNCTION("VALUE(REGEXEXTRACT(A1571, ""\d+""))"),1855.0)</f>
        <v>1855</v>
      </c>
    </row>
    <row r="1572">
      <c r="A1572" s="9" t="s">
        <v>6933</v>
      </c>
      <c r="B1572" s="9" t="s">
        <v>6934</v>
      </c>
      <c r="D1572" s="9" t="s">
        <v>6935</v>
      </c>
      <c r="G1572" s="6" t="s">
        <v>6936</v>
      </c>
      <c r="J1572" s="9" t="s">
        <v>6937</v>
      </c>
      <c r="O1572" s="10">
        <f>IFERROR(__xludf.DUMMYFUNCTION("VALUE(REGEXEXTRACT(A1572, ""\d+""))"),1856.0)</f>
        <v>1856</v>
      </c>
    </row>
    <row r="1573">
      <c r="A1573" s="9" t="s">
        <v>6938</v>
      </c>
      <c r="B1573" s="9" t="s">
        <v>6939</v>
      </c>
      <c r="D1573" s="9" t="s">
        <v>6940</v>
      </c>
      <c r="G1573" s="6" t="s">
        <v>6941</v>
      </c>
      <c r="J1573" s="9" t="s">
        <v>6942</v>
      </c>
      <c r="O1573" s="10">
        <f>IFERROR(__xludf.DUMMYFUNCTION("VALUE(REGEXEXTRACT(A1573, ""\d+""))"),1857.0)</f>
        <v>1857</v>
      </c>
    </row>
    <row r="1574">
      <c r="A1574" s="9" t="s">
        <v>6943</v>
      </c>
      <c r="B1574" s="9" t="s">
        <v>6944</v>
      </c>
      <c r="D1574" s="9" t="s">
        <v>6945</v>
      </c>
      <c r="G1574" s="6" t="s">
        <v>6946</v>
      </c>
      <c r="J1574" s="9" t="s">
        <v>6947</v>
      </c>
      <c r="O1574" s="10">
        <f>IFERROR(__xludf.DUMMYFUNCTION("VALUE(REGEXEXTRACT(A1574, ""\d+""))"),1858.0)</f>
        <v>1858</v>
      </c>
    </row>
    <row r="1575">
      <c r="A1575" s="9" t="s">
        <v>6948</v>
      </c>
      <c r="B1575" s="9" t="s">
        <v>6949</v>
      </c>
      <c r="G1575" s="6" t="s">
        <v>6950</v>
      </c>
      <c r="O1575" s="10">
        <f>IFERROR(__xludf.DUMMYFUNCTION("VALUE(REGEXEXTRACT(A1575, ""\d+""))"),1859.0)</f>
        <v>1859</v>
      </c>
    </row>
    <row r="1576">
      <c r="A1576" s="9" t="s">
        <v>6951</v>
      </c>
      <c r="B1576" s="9" t="s">
        <v>6952</v>
      </c>
      <c r="G1576" s="6" t="s">
        <v>6953</v>
      </c>
      <c r="O1576" s="10">
        <f>IFERROR(__xludf.DUMMYFUNCTION("VALUE(REGEXEXTRACT(A1576, ""\d+""))"),1860.0)</f>
        <v>1860</v>
      </c>
    </row>
    <row r="1577">
      <c r="A1577" s="9" t="s">
        <v>6954</v>
      </c>
      <c r="B1577" s="9" t="s">
        <v>6955</v>
      </c>
      <c r="G1577" s="6" t="s">
        <v>6956</v>
      </c>
      <c r="O1577" s="10">
        <f>IFERROR(__xludf.DUMMYFUNCTION("VALUE(REGEXEXTRACT(A1577, ""\d+""))"),1861.0)</f>
        <v>1861</v>
      </c>
    </row>
    <row r="1578">
      <c r="A1578" s="9" t="s">
        <v>6957</v>
      </c>
      <c r="B1578" s="9" t="s">
        <v>6958</v>
      </c>
      <c r="G1578" s="6" t="s">
        <v>6959</v>
      </c>
      <c r="O1578" s="10">
        <f>IFERROR(__xludf.DUMMYFUNCTION("VALUE(REGEXEXTRACT(A1578, ""\d+""))"),1862.0)</f>
        <v>1862</v>
      </c>
    </row>
    <row r="1579">
      <c r="A1579" s="9" t="s">
        <v>6960</v>
      </c>
      <c r="B1579" s="9" t="s">
        <v>6961</v>
      </c>
      <c r="D1579" s="9" t="s">
        <v>6962</v>
      </c>
      <c r="G1579" s="6" t="s">
        <v>6963</v>
      </c>
      <c r="J1579" s="9" t="s">
        <v>6964</v>
      </c>
      <c r="O1579" s="10">
        <f>IFERROR(__xludf.DUMMYFUNCTION("VALUE(REGEXEXTRACT(A1579, ""\d+""))"),1863.0)</f>
        <v>1863</v>
      </c>
    </row>
    <row r="1580">
      <c r="A1580" s="9" t="s">
        <v>6965</v>
      </c>
      <c r="B1580" s="9" t="s">
        <v>6966</v>
      </c>
      <c r="D1580" s="9" t="s">
        <v>6967</v>
      </c>
      <c r="G1580" s="6" t="s">
        <v>6968</v>
      </c>
      <c r="J1580" s="9" t="s">
        <v>6969</v>
      </c>
      <c r="O1580" s="10">
        <f>IFERROR(__xludf.DUMMYFUNCTION("VALUE(REGEXEXTRACT(A1580, ""\d+""))"),1864.0)</f>
        <v>1864</v>
      </c>
    </row>
    <row r="1581">
      <c r="A1581" s="9" t="s">
        <v>6970</v>
      </c>
      <c r="B1581" s="9" t="s">
        <v>6971</v>
      </c>
      <c r="G1581" s="9" t="s">
        <v>6972</v>
      </c>
      <c r="O1581" s="10">
        <f>IFERROR(__xludf.DUMMYFUNCTION("VALUE(REGEXEXTRACT(A1581, ""\d+""))"),1865.0)</f>
        <v>1865</v>
      </c>
    </row>
    <row r="1582">
      <c r="A1582" s="9" t="s">
        <v>6973</v>
      </c>
      <c r="B1582" s="9" t="s">
        <v>6974</v>
      </c>
      <c r="G1582" s="9" t="s">
        <v>6974</v>
      </c>
      <c r="O1582" s="10">
        <f>IFERROR(__xludf.DUMMYFUNCTION("VALUE(REGEXEXTRACT(A1582, ""\d+""))"),1866.0)</f>
        <v>1866</v>
      </c>
    </row>
    <row r="1583">
      <c r="A1583" s="9" t="s">
        <v>6975</v>
      </c>
      <c r="B1583" s="9" t="s">
        <v>6976</v>
      </c>
      <c r="G1583" s="6" t="s">
        <v>6977</v>
      </c>
      <c r="O1583" s="10">
        <f>IFERROR(__xludf.DUMMYFUNCTION("VALUE(REGEXEXTRACT(A1583, ""\d+""))"),1868.0)</f>
        <v>1868</v>
      </c>
    </row>
    <row r="1584">
      <c r="A1584" s="9" t="s">
        <v>6978</v>
      </c>
      <c r="B1584" s="9" t="s">
        <v>6979</v>
      </c>
      <c r="D1584" s="9" t="s">
        <v>6980</v>
      </c>
      <c r="G1584" s="6" t="s">
        <v>6981</v>
      </c>
      <c r="J1584" s="9" t="s">
        <v>6982</v>
      </c>
      <c r="O1584" s="10">
        <f>IFERROR(__xludf.DUMMYFUNCTION("VALUE(REGEXEXTRACT(A1584, ""\d+""))"),1869.0)</f>
        <v>1869</v>
      </c>
    </row>
    <row r="1585">
      <c r="A1585" s="9" t="s">
        <v>6983</v>
      </c>
      <c r="B1585" s="9" t="s">
        <v>6984</v>
      </c>
      <c r="D1585" s="9" t="s">
        <v>2660</v>
      </c>
      <c r="G1585" s="6" t="s">
        <v>6985</v>
      </c>
      <c r="J1585" s="9" t="s">
        <v>2662</v>
      </c>
      <c r="O1585" s="10">
        <f>IFERROR(__xludf.DUMMYFUNCTION("VALUE(REGEXEXTRACT(A1585, ""\d+""))"),1870.0)</f>
        <v>1870</v>
      </c>
    </row>
    <row r="1586">
      <c r="A1586" s="9" t="s">
        <v>6986</v>
      </c>
      <c r="B1586" s="9" t="s">
        <v>6987</v>
      </c>
      <c r="D1586" s="9" t="s">
        <v>2665</v>
      </c>
      <c r="G1586" s="6" t="s">
        <v>6988</v>
      </c>
      <c r="J1586" s="9" t="s">
        <v>2667</v>
      </c>
      <c r="O1586" s="10">
        <f>IFERROR(__xludf.DUMMYFUNCTION("VALUE(REGEXEXTRACT(A1586, ""\d+""))"),1871.0)</f>
        <v>1871</v>
      </c>
    </row>
    <row r="1587">
      <c r="A1587" s="9" t="s">
        <v>6989</v>
      </c>
      <c r="B1587" s="9" t="s">
        <v>6990</v>
      </c>
      <c r="D1587" s="9" t="s">
        <v>6991</v>
      </c>
      <c r="G1587" s="6" t="s">
        <v>6992</v>
      </c>
      <c r="J1587" s="9" t="s">
        <v>6993</v>
      </c>
      <c r="O1587" s="10">
        <f>IFERROR(__xludf.DUMMYFUNCTION("VALUE(REGEXEXTRACT(A1587, ""\d+""))"),1872.0)</f>
        <v>1872</v>
      </c>
    </row>
    <row r="1588">
      <c r="A1588" s="9" t="s">
        <v>6994</v>
      </c>
      <c r="B1588" s="9" t="s">
        <v>6995</v>
      </c>
      <c r="D1588" s="9" t="s">
        <v>6996</v>
      </c>
      <c r="G1588" s="6" t="s">
        <v>6997</v>
      </c>
      <c r="J1588" s="9" t="s">
        <v>6998</v>
      </c>
      <c r="O1588" s="10">
        <f>IFERROR(__xludf.DUMMYFUNCTION("VALUE(REGEXEXTRACT(A1588, ""\d+""))"),1873.0)</f>
        <v>1873</v>
      </c>
    </row>
    <row r="1589">
      <c r="A1589" s="9" t="s">
        <v>6999</v>
      </c>
      <c r="B1589" s="9" t="s">
        <v>7000</v>
      </c>
      <c r="D1589" s="9" t="s">
        <v>7001</v>
      </c>
      <c r="G1589" s="6" t="s">
        <v>7002</v>
      </c>
      <c r="J1589" s="9" t="s">
        <v>7003</v>
      </c>
      <c r="O1589" s="10">
        <f>IFERROR(__xludf.DUMMYFUNCTION("VALUE(REGEXEXTRACT(A1589, ""\d+""))"),1874.0)</f>
        <v>1874</v>
      </c>
    </row>
    <row r="1590">
      <c r="A1590" s="9" t="s">
        <v>7004</v>
      </c>
      <c r="B1590" s="9" t="s">
        <v>7005</v>
      </c>
      <c r="D1590" s="9" t="s">
        <v>7006</v>
      </c>
      <c r="G1590" s="6" t="s">
        <v>7007</v>
      </c>
      <c r="J1590" s="9" t="s">
        <v>7008</v>
      </c>
      <c r="O1590" s="10">
        <f>IFERROR(__xludf.DUMMYFUNCTION("VALUE(REGEXEXTRACT(A1590, ""\d+""))"),1875.0)</f>
        <v>1875</v>
      </c>
    </row>
    <row r="1591">
      <c r="A1591" s="9" t="s">
        <v>7009</v>
      </c>
      <c r="B1591" s="9" t="s">
        <v>7010</v>
      </c>
      <c r="D1591" s="9" t="s">
        <v>7011</v>
      </c>
      <c r="G1591" s="6" t="s">
        <v>7012</v>
      </c>
      <c r="J1591" s="9" t="s">
        <v>7013</v>
      </c>
      <c r="O1591" s="10">
        <f>IFERROR(__xludf.DUMMYFUNCTION("VALUE(REGEXEXTRACT(A1591, ""\d+""))"),1876.0)</f>
        <v>1876</v>
      </c>
    </row>
    <row r="1592">
      <c r="A1592" s="9" t="s">
        <v>7014</v>
      </c>
      <c r="B1592" s="9" t="s">
        <v>7015</v>
      </c>
      <c r="D1592" s="9" t="s">
        <v>7016</v>
      </c>
      <c r="G1592" s="6" t="s">
        <v>7016</v>
      </c>
      <c r="J1592" s="9" t="s">
        <v>7017</v>
      </c>
      <c r="O1592" s="10">
        <f>IFERROR(__xludf.DUMMYFUNCTION("VALUE(REGEXEXTRACT(A1592, ""\d+""))"),1877.0)</f>
        <v>1877</v>
      </c>
    </row>
    <row r="1593">
      <c r="A1593" s="9" t="s">
        <v>7018</v>
      </c>
      <c r="B1593" s="9" t="s">
        <v>7019</v>
      </c>
      <c r="D1593" s="9" t="s">
        <v>7020</v>
      </c>
      <c r="G1593" s="6" t="s">
        <v>7021</v>
      </c>
      <c r="J1593" s="9" t="s">
        <v>7022</v>
      </c>
      <c r="O1593" s="10">
        <f>IFERROR(__xludf.DUMMYFUNCTION("VALUE(REGEXEXTRACT(A1593, ""\d+""))"),1878.0)</f>
        <v>1878</v>
      </c>
    </row>
    <row r="1594">
      <c r="A1594" s="9" t="s">
        <v>7023</v>
      </c>
      <c r="B1594" s="9" t="s">
        <v>7024</v>
      </c>
      <c r="G1594" s="6" t="s">
        <v>7025</v>
      </c>
      <c r="O1594" s="10">
        <f>IFERROR(__xludf.DUMMYFUNCTION("VALUE(REGEXEXTRACT(A1594, ""\d+""))"),1879.0)</f>
        <v>1879</v>
      </c>
    </row>
    <row r="1595">
      <c r="A1595" s="9" t="s">
        <v>7026</v>
      </c>
      <c r="B1595" s="9" t="s">
        <v>7027</v>
      </c>
      <c r="G1595" s="6" t="s">
        <v>7028</v>
      </c>
      <c r="O1595" s="10">
        <f>IFERROR(__xludf.DUMMYFUNCTION("VALUE(REGEXEXTRACT(A1595, ""\d+""))"),1880.0)</f>
        <v>1880</v>
      </c>
    </row>
    <row r="1596">
      <c r="A1596" s="9" t="s">
        <v>7029</v>
      </c>
      <c r="B1596" s="9" t="s">
        <v>7030</v>
      </c>
      <c r="G1596" s="6" t="s">
        <v>7031</v>
      </c>
      <c r="O1596" s="10">
        <f>IFERROR(__xludf.DUMMYFUNCTION("VALUE(REGEXEXTRACT(A1596, ""\d+""))"),1883.0)</f>
        <v>1883</v>
      </c>
    </row>
    <row r="1597">
      <c r="A1597" s="9" t="s">
        <v>7032</v>
      </c>
      <c r="B1597" s="9" t="s">
        <v>7030</v>
      </c>
      <c r="G1597" s="6" t="s">
        <v>7031</v>
      </c>
      <c r="O1597" s="10">
        <f>IFERROR(__xludf.DUMMYFUNCTION("VALUE(REGEXEXTRACT(A1597, ""\d+""))"),1884.0)</f>
        <v>1884</v>
      </c>
    </row>
    <row r="1598">
      <c r="A1598" s="9" t="s">
        <v>7033</v>
      </c>
      <c r="B1598" s="9" t="s">
        <v>7034</v>
      </c>
      <c r="G1598" s="6" t="s">
        <v>7035</v>
      </c>
      <c r="O1598" s="10">
        <f>IFERROR(__xludf.DUMMYFUNCTION("VALUE(REGEXEXTRACT(A1598, ""\d+""))"),1885.0)</f>
        <v>1885</v>
      </c>
    </row>
    <row r="1599">
      <c r="A1599" s="9" t="s">
        <v>7036</v>
      </c>
      <c r="B1599" s="9" t="s">
        <v>7037</v>
      </c>
      <c r="D1599" s="9" t="s">
        <v>7038</v>
      </c>
      <c r="G1599" s="6" t="s">
        <v>7037</v>
      </c>
      <c r="J1599" s="9" t="s">
        <v>7037</v>
      </c>
      <c r="O1599" s="10">
        <f>IFERROR(__xludf.DUMMYFUNCTION("VALUE(REGEXEXTRACT(A1599, ""\d+""))"),1886.0)</f>
        <v>1886</v>
      </c>
    </row>
    <row r="1600">
      <c r="A1600" s="9" t="s">
        <v>7039</v>
      </c>
      <c r="B1600" s="9" t="s">
        <v>7037</v>
      </c>
      <c r="D1600" s="9" t="s">
        <v>7038</v>
      </c>
      <c r="G1600" s="6" t="s">
        <v>7037</v>
      </c>
      <c r="J1600" s="9" t="s">
        <v>7037</v>
      </c>
      <c r="O1600" s="10">
        <f>IFERROR(__xludf.DUMMYFUNCTION("VALUE(REGEXEXTRACT(A1600, ""\d+""))"),1887.0)</f>
        <v>1887</v>
      </c>
    </row>
    <row r="1601">
      <c r="A1601" s="9" t="s">
        <v>7040</v>
      </c>
      <c r="B1601" s="9" t="s">
        <v>7037</v>
      </c>
      <c r="D1601" s="9" t="s">
        <v>7038</v>
      </c>
      <c r="G1601" s="6" t="s">
        <v>7037</v>
      </c>
      <c r="J1601" s="9" t="s">
        <v>7041</v>
      </c>
      <c r="O1601" s="10">
        <f>IFERROR(__xludf.DUMMYFUNCTION("VALUE(REGEXEXTRACT(A1601, ""\d+""))"),1888.0)</f>
        <v>1888</v>
      </c>
    </row>
    <row r="1602">
      <c r="A1602" s="9" t="s">
        <v>7042</v>
      </c>
      <c r="B1602" s="9" t="s">
        <v>7043</v>
      </c>
      <c r="D1602" s="9" t="s">
        <v>7044</v>
      </c>
      <c r="G1602" s="6" t="s">
        <v>7044</v>
      </c>
      <c r="J1602" s="9" t="s">
        <v>7045</v>
      </c>
      <c r="O1602" s="10">
        <f>IFERROR(__xludf.DUMMYFUNCTION("VALUE(REGEXEXTRACT(A1602, ""\d+""))"),1890.0)</f>
        <v>1890</v>
      </c>
    </row>
    <row r="1603">
      <c r="A1603" s="9" t="s">
        <v>7046</v>
      </c>
      <c r="B1603" s="9" t="s">
        <v>7047</v>
      </c>
      <c r="D1603" s="9" t="s">
        <v>7048</v>
      </c>
      <c r="G1603" s="6" t="s">
        <v>7049</v>
      </c>
      <c r="J1603" s="9" t="s">
        <v>7050</v>
      </c>
      <c r="O1603" s="10">
        <f>IFERROR(__xludf.DUMMYFUNCTION("VALUE(REGEXEXTRACT(A1603, ""\d+""))"),1891.0)</f>
        <v>1891</v>
      </c>
    </row>
    <row r="1604">
      <c r="A1604" s="9" t="s">
        <v>7051</v>
      </c>
      <c r="B1604" s="9" t="s">
        <v>7052</v>
      </c>
      <c r="D1604" s="9" t="s">
        <v>7053</v>
      </c>
      <c r="G1604" s="6" t="s">
        <v>7053</v>
      </c>
      <c r="J1604" s="9" t="s">
        <v>7054</v>
      </c>
      <c r="O1604" s="10">
        <f>IFERROR(__xludf.DUMMYFUNCTION("VALUE(REGEXEXTRACT(A1604, ""\d+""))"),1892.0)</f>
        <v>1892</v>
      </c>
    </row>
    <row r="1605">
      <c r="A1605" s="9" t="s">
        <v>7055</v>
      </c>
      <c r="B1605" s="9" t="s">
        <v>7056</v>
      </c>
      <c r="D1605" s="9" t="s">
        <v>7057</v>
      </c>
      <c r="G1605" s="6" t="s">
        <v>7058</v>
      </c>
      <c r="J1605" s="9" t="s">
        <v>7059</v>
      </c>
      <c r="O1605" s="10">
        <f>IFERROR(__xludf.DUMMYFUNCTION("VALUE(REGEXEXTRACT(A1605, ""\d+""))"),1893.0)</f>
        <v>1893</v>
      </c>
    </row>
    <row r="1606">
      <c r="A1606" s="9" t="s">
        <v>7060</v>
      </c>
      <c r="B1606" s="9" t="s">
        <v>7061</v>
      </c>
      <c r="D1606" s="9" t="s">
        <v>7062</v>
      </c>
      <c r="G1606" s="6" t="s">
        <v>7063</v>
      </c>
      <c r="J1606" s="9" t="s">
        <v>7064</v>
      </c>
      <c r="O1606" s="10">
        <f>IFERROR(__xludf.DUMMYFUNCTION("VALUE(REGEXEXTRACT(A1606, ""\d+""))"),1894.0)</f>
        <v>1894</v>
      </c>
    </row>
    <row r="1607">
      <c r="A1607" s="9" t="s">
        <v>7065</v>
      </c>
      <c r="B1607" s="9" t="s">
        <v>7066</v>
      </c>
      <c r="D1607" s="9" t="s">
        <v>7067</v>
      </c>
      <c r="G1607" s="6" t="s">
        <v>7068</v>
      </c>
      <c r="J1607" s="9" t="s">
        <v>7069</v>
      </c>
      <c r="O1607" s="10">
        <f>IFERROR(__xludf.DUMMYFUNCTION("VALUE(REGEXEXTRACT(A1607, ""\d+""))"),1895.0)</f>
        <v>1895</v>
      </c>
    </row>
    <row r="1608">
      <c r="A1608" s="9" t="s">
        <v>7070</v>
      </c>
      <c r="B1608" s="9" t="s">
        <v>7071</v>
      </c>
      <c r="D1608" s="9" t="s">
        <v>7072</v>
      </c>
      <c r="G1608" s="6" t="s">
        <v>7073</v>
      </c>
      <c r="J1608" s="9" t="s">
        <v>7071</v>
      </c>
      <c r="O1608" s="10">
        <f>IFERROR(__xludf.DUMMYFUNCTION("VALUE(REGEXEXTRACT(A1608, ""\d+""))"),1896.0)</f>
        <v>1896</v>
      </c>
    </row>
    <row r="1609">
      <c r="A1609" s="9" t="s">
        <v>7074</v>
      </c>
      <c r="B1609" s="9" t="s">
        <v>7075</v>
      </c>
      <c r="D1609" s="9" t="s">
        <v>2766</v>
      </c>
      <c r="G1609" s="6" t="s">
        <v>7076</v>
      </c>
      <c r="J1609" s="9" t="s">
        <v>2768</v>
      </c>
      <c r="O1609" s="10">
        <f>IFERROR(__xludf.DUMMYFUNCTION("VALUE(REGEXEXTRACT(A1609, ""\d+""))"),1897.0)</f>
        <v>1897</v>
      </c>
    </row>
    <row r="1610">
      <c r="A1610" s="9" t="s">
        <v>7077</v>
      </c>
      <c r="B1610" s="9" t="s">
        <v>7078</v>
      </c>
      <c r="G1610" s="6" t="s">
        <v>7079</v>
      </c>
      <c r="O1610" s="10">
        <f>IFERROR(__xludf.DUMMYFUNCTION("VALUE(REGEXEXTRACT(A1610, ""\d+""))"),1898.0)</f>
        <v>1898</v>
      </c>
    </row>
    <row r="1611">
      <c r="A1611" s="9" t="s">
        <v>7080</v>
      </c>
      <c r="B1611" s="9" t="s">
        <v>7081</v>
      </c>
      <c r="D1611" s="9" t="s">
        <v>7082</v>
      </c>
      <c r="G1611" s="6" t="s">
        <v>7083</v>
      </c>
      <c r="J1611" s="9" t="s">
        <v>7084</v>
      </c>
      <c r="O1611" s="10">
        <f>IFERROR(__xludf.DUMMYFUNCTION("VALUE(REGEXEXTRACT(A1611, ""\d+""))"),1900.0)</f>
        <v>1900</v>
      </c>
    </row>
    <row r="1612">
      <c r="A1612" s="9" t="s">
        <v>7085</v>
      </c>
      <c r="B1612" s="9" t="s">
        <v>7086</v>
      </c>
      <c r="D1612" s="9" t="s">
        <v>2779</v>
      </c>
      <c r="G1612" s="6" t="s">
        <v>2779</v>
      </c>
      <c r="J1612" s="9" t="s">
        <v>2781</v>
      </c>
      <c r="O1612" s="10">
        <f>IFERROR(__xludf.DUMMYFUNCTION("VALUE(REGEXEXTRACT(A1612, ""\d+""))"),1903.0)</f>
        <v>1903</v>
      </c>
    </row>
    <row r="1613">
      <c r="A1613" s="9" t="s">
        <v>7087</v>
      </c>
      <c r="B1613" s="9" t="s">
        <v>7088</v>
      </c>
      <c r="D1613" s="9" t="s">
        <v>7089</v>
      </c>
      <c r="G1613" s="6" t="s">
        <v>7090</v>
      </c>
      <c r="J1613" s="9" t="s">
        <v>7091</v>
      </c>
      <c r="O1613" s="10">
        <f>IFERROR(__xludf.DUMMYFUNCTION("VALUE(REGEXEXTRACT(A1613, ""\d+""))"),1904.0)</f>
        <v>1904</v>
      </c>
    </row>
    <row r="1614">
      <c r="A1614" s="9" t="s">
        <v>7092</v>
      </c>
      <c r="B1614" s="9" t="s">
        <v>7093</v>
      </c>
      <c r="D1614" s="9" t="s">
        <v>7094</v>
      </c>
      <c r="G1614" s="6" t="s">
        <v>7095</v>
      </c>
      <c r="J1614" s="9" t="s">
        <v>7096</v>
      </c>
      <c r="O1614" s="10">
        <f>IFERROR(__xludf.DUMMYFUNCTION("VALUE(REGEXEXTRACT(A1614, ""\d+""))"),1905.0)</f>
        <v>1905</v>
      </c>
    </row>
    <row r="1615">
      <c r="A1615" s="9" t="s">
        <v>7097</v>
      </c>
      <c r="B1615" s="9" t="s">
        <v>7098</v>
      </c>
      <c r="D1615" s="9" t="s">
        <v>7099</v>
      </c>
      <c r="G1615" s="6" t="s">
        <v>7100</v>
      </c>
      <c r="J1615" s="9" t="s">
        <v>7101</v>
      </c>
      <c r="O1615" s="10">
        <f>IFERROR(__xludf.DUMMYFUNCTION("VALUE(REGEXEXTRACT(A1615, ""\d+""))"),1906.0)</f>
        <v>1906</v>
      </c>
    </row>
    <row r="1616">
      <c r="A1616" s="9" t="s">
        <v>7102</v>
      </c>
      <c r="B1616" s="9" t="s">
        <v>7103</v>
      </c>
      <c r="G1616" s="6" t="s">
        <v>7104</v>
      </c>
      <c r="O1616" s="10">
        <f>IFERROR(__xludf.DUMMYFUNCTION("VALUE(REGEXEXTRACT(A1616, ""\d+""))"),1907.0)</f>
        <v>1907</v>
      </c>
    </row>
    <row r="1617">
      <c r="A1617" s="9" t="s">
        <v>7105</v>
      </c>
      <c r="B1617" s="9" t="s">
        <v>7103</v>
      </c>
      <c r="G1617" s="6" t="s">
        <v>7104</v>
      </c>
      <c r="O1617" s="10">
        <f>IFERROR(__xludf.DUMMYFUNCTION("VALUE(REGEXEXTRACT(A1617, ""\d+""))"),1908.0)</f>
        <v>1908</v>
      </c>
    </row>
    <row r="1618">
      <c r="A1618" s="9" t="s">
        <v>7106</v>
      </c>
      <c r="B1618" s="9" t="s">
        <v>7107</v>
      </c>
      <c r="G1618" s="6" t="s">
        <v>7108</v>
      </c>
      <c r="O1618" s="10">
        <f>IFERROR(__xludf.DUMMYFUNCTION("VALUE(REGEXEXTRACT(A1618, ""\d+""))"),1909.0)</f>
        <v>1909</v>
      </c>
    </row>
    <row r="1619">
      <c r="A1619" s="9" t="s">
        <v>7109</v>
      </c>
      <c r="B1619" s="9" t="s">
        <v>7110</v>
      </c>
      <c r="G1619" s="6" t="s">
        <v>7111</v>
      </c>
      <c r="O1619" s="10">
        <f>IFERROR(__xludf.DUMMYFUNCTION("VALUE(REGEXEXTRACT(A1619, ""\d+""))"),1910.0)</f>
        <v>1910</v>
      </c>
    </row>
    <row r="1620">
      <c r="A1620" s="9" t="s">
        <v>7112</v>
      </c>
      <c r="B1620" s="9" t="s">
        <v>7110</v>
      </c>
      <c r="G1620" s="6" t="s">
        <v>7111</v>
      </c>
      <c r="O1620" s="10">
        <f>IFERROR(__xludf.DUMMYFUNCTION("VALUE(REGEXEXTRACT(A1620, ""\d+""))"),1911.0)</f>
        <v>1911</v>
      </c>
    </row>
    <row r="1621">
      <c r="A1621" s="9" t="s">
        <v>7113</v>
      </c>
      <c r="B1621" s="9" t="s">
        <v>7114</v>
      </c>
      <c r="G1621" s="6" t="s">
        <v>7115</v>
      </c>
      <c r="O1621" s="10">
        <f>IFERROR(__xludf.DUMMYFUNCTION("VALUE(REGEXEXTRACT(A1621, ""\d+""))"),1912.0)</f>
        <v>1912</v>
      </c>
    </row>
    <row r="1622">
      <c r="A1622" s="9" t="s">
        <v>7116</v>
      </c>
      <c r="B1622" s="9" t="s">
        <v>7117</v>
      </c>
      <c r="G1622" s="6" t="s">
        <v>7118</v>
      </c>
      <c r="O1622" s="10">
        <f>IFERROR(__xludf.DUMMYFUNCTION("VALUE(REGEXEXTRACT(A1622, ""\d+""))"),1913.0)</f>
        <v>1913</v>
      </c>
    </row>
    <row r="1623">
      <c r="A1623" s="9" t="s">
        <v>7119</v>
      </c>
      <c r="B1623" s="9" t="s">
        <v>7117</v>
      </c>
      <c r="G1623" s="6" t="s">
        <v>7118</v>
      </c>
      <c r="O1623" s="10">
        <f>IFERROR(__xludf.DUMMYFUNCTION("VALUE(REGEXEXTRACT(A1623, ""\d+""))"),1914.0)</f>
        <v>1914</v>
      </c>
    </row>
    <row r="1624">
      <c r="A1624" s="9" t="s">
        <v>7120</v>
      </c>
      <c r="B1624" s="9" t="s">
        <v>7121</v>
      </c>
      <c r="G1624" s="6" t="s">
        <v>7122</v>
      </c>
      <c r="O1624" s="10">
        <f>IFERROR(__xludf.DUMMYFUNCTION("VALUE(REGEXEXTRACT(A1624, ""\d+""))"),1915.0)</f>
        <v>1915</v>
      </c>
    </row>
    <row r="1625">
      <c r="A1625" s="9" t="s">
        <v>7123</v>
      </c>
      <c r="B1625" s="9" t="s">
        <v>7124</v>
      </c>
      <c r="D1625" s="9" t="s">
        <v>7125</v>
      </c>
      <c r="G1625" s="6" t="s">
        <v>7126</v>
      </c>
      <c r="J1625" s="9" t="s">
        <v>2843</v>
      </c>
      <c r="O1625" s="10">
        <f>IFERROR(__xludf.DUMMYFUNCTION("VALUE(REGEXEXTRACT(A1625, ""\d+""))"),1919.0)</f>
        <v>1919</v>
      </c>
    </row>
    <row r="1626">
      <c r="A1626" s="9" t="s">
        <v>7127</v>
      </c>
      <c r="B1626" s="9" t="s">
        <v>7128</v>
      </c>
      <c r="G1626" s="6" t="s">
        <v>7129</v>
      </c>
      <c r="O1626" s="10">
        <f>IFERROR(__xludf.DUMMYFUNCTION("VALUE(REGEXEXTRACT(A1626, ""\d+""))"),1920.0)</f>
        <v>1920</v>
      </c>
    </row>
    <row r="1627">
      <c r="A1627" s="9" t="s">
        <v>7130</v>
      </c>
      <c r="B1627" s="9" t="s">
        <v>7131</v>
      </c>
      <c r="D1627" s="9" t="s">
        <v>7132</v>
      </c>
      <c r="G1627" s="6" t="s">
        <v>7133</v>
      </c>
      <c r="J1627" s="9" t="s">
        <v>2850</v>
      </c>
      <c r="O1627" s="10">
        <f>IFERROR(__xludf.DUMMYFUNCTION("VALUE(REGEXEXTRACT(A1627, ""\d+""))"),1922.0)</f>
        <v>1922</v>
      </c>
    </row>
    <row r="1628">
      <c r="A1628" s="9" t="s">
        <v>7134</v>
      </c>
      <c r="B1628" s="9" t="s">
        <v>7135</v>
      </c>
      <c r="D1628" s="9" t="s">
        <v>7136</v>
      </c>
      <c r="G1628" s="6" t="s">
        <v>7137</v>
      </c>
      <c r="J1628" s="9" t="s">
        <v>2854</v>
      </c>
      <c r="O1628" s="10">
        <f>IFERROR(__xludf.DUMMYFUNCTION("VALUE(REGEXEXTRACT(A1628, ""\d+""))"),1923.0)</f>
        <v>1923</v>
      </c>
    </row>
    <row r="1629">
      <c r="A1629" s="9" t="s">
        <v>7138</v>
      </c>
      <c r="B1629" s="9" t="s">
        <v>7139</v>
      </c>
      <c r="D1629" s="9" t="s">
        <v>7139</v>
      </c>
      <c r="G1629" s="6" t="s">
        <v>7139</v>
      </c>
      <c r="J1629" s="9" t="s">
        <v>7139</v>
      </c>
      <c r="O1629" s="10">
        <f>IFERROR(__xludf.DUMMYFUNCTION("VALUE(REGEXEXTRACT(A1629, ""\d+""))"),1924.0)</f>
        <v>1924</v>
      </c>
    </row>
    <row r="1630">
      <c r="A1630" s="9" t="s">
        <v>7140</v>
      </c>
      <c r="B1630" s="9" t="s">
        <v>7141</v>
      </c>
      <c r="G1630" s="6" t="s">
        <v>7141</v>
      </c>
      <c r="O1630" s="10">
        <f>IFERROR(__xludf.DUMMYFUNCTION("VALUE(REGEXEXTRACT(A1630, ""\d+""))"),1925.0)</f>
        <v>1925</v>
      </c>
    </row>
    <row r="1631">
      <c r="A1631" s="9" t="s">
        <v>7142</v>
      </c>
      <c r="B1631" s="9" t="s">
        <v>7143</v>
      </c>
      <c r="D1631" s="9" t="s">
        <v>7144</v>
      </c>
      <c r="G1631" s="6" t="s">
        <v>7143</v>
      </c>
      <c r="J1631" s="9" t="s">
        <v>2866</v>
      </c>
      <c r="O1631" s="10">
        <f>IFERROR(__xludf.DUMMYFUNCTION("VALUE(REGEXEXTRACT(A1631, ""\d+""))"),1927.0)</f>
        <v>1927</v>
      </c>
    </row>
    <row r="1632">
      <c r="A1632" s="9" t="s">
        <v>7145</v>
      </c>
      <c r="B1632" s="9" t="s">
        <v>7146</v>
      </c>
      <c r="D1632" s="9" t="s">
        <v>7147</v>
      </c>
      <c r="G1632" s="6" t="s">
        <v>7148</v>
      </c>
      <c r="J1632" s="9" t="s">
        <v>2870</v>
      </c>
      <c r="O1632" s="10">
        <f>IFERROR(__xludf.DUMMYFUNCTION("VALUE(REGEXEXTRACT(A1632, ""\d+""))"),1928.0)</f>
        <v>1928</v>
      </c>
    </row>
    <row r="1633">
      <c r="A1633" s="9" t="s">
        <v>7149</v>
      </c>
      <c r="B1633" s="9" t="s">
        <v>7150</v>
      </c>
      <c r="D1633" s="9" t="s">
        <v>7151</v>
      </c>
      <c r="G1633" s="6" t="s">
        <v>7152</v>
      </c>
      <c r="J1633" s="9" t="s">
        <v>7153</v>
      </c>
      <c r="O1633" s="10">
        <f>IFERROR(__xludf.DUMMYFUNCTION("VALUE(REGEXEXTRACT(A1633, ""\d+""))"),1929.0)</f>
        <v>1929</v>
      </c>
    </row>
    <row r="1634">
      <c r="A1634" s="9" t="s">
        <v>7154</v>
      </c>
      <c r="B1634" s="9" t="s">
        <v>7155</v>
      </c>
      <c r="G1634" s="6" t="s">
        <v>7156</v>
      </c>
      <c r="O1634" s="10">
        <f>IFERROR(__xludf.DUMMYFUNCTION("VALUE(REGEXEXTRACT(A1634, ""\d+""))"),1930.0)</f>
        <v>1930</v>
      </c>
    </row>
    <row r="1635">
      <c r="A1635" s="9" t="s">
        <v>7157</v>
      </c>
      <c r="B1635" s="9" t="s">
        <v>7158</v>
      </c>
      <c r="D1635" s="9" t="s">
        <v>7159</v>
      </c>
      <c r="G1635" s="6" t="s">
        <v>7160</v>
      </c>
      <c r="J1635" s="9" t="s">
        <v>7161</v>
      </c>
      <c r="O1635" s="10">
        <f>IFERROR(__xludf.DUMMYFUNCTION("VALUE(REGEXEXTRACT(A1635, ""\d+""))"),1931.0)</f>
        <v>1931</v>
      </c>
    </row>
    <row r="1636">
      <c r="A1636" s="9" t="s">
        <v>7162</v>
      </c>
      <c r="B1636" s="9" t="s">
        <v>7163</v>
      </c>
      <c r="D1636" s="9" t="s">
        <v>7164</v>
      </c>
      <c r="G1636" s="6" t="s">
        <v>7165</v>
      </c>
      <c r="J1636" s="9" t="s">
        <v>7166</v>
      </c>
      <c r="O1636" s="10">
        <f>IFERROR(__xludf.DUMMYFUNCTION("VALUE(REGEXEXTRACT(A1636, ""\d+""))"),1932.0)</f>
        <v>1932</v>
      </c>
    </row>
    <row r="1637">
      <c r="A1637" s="9" t="s">
        <v>7167</v>
      </c>
      <c r="B1637" s="9" t="s">
        <v>7168</v>
      </c>
      <c r="D1637" s="9" t="s">
        <v>7169</v>
      </c>
      <c r="G1637" s="6" t="s">
        <v>7170</v>
      </c>
      <c r="J1637" s="9" t="s">
        <v>7171</v>
      </c>
      <c r="O1637" s="10">
        <f>IFERROR(__xludf.DUMMYFUNCTION("VALUE(REGEXEXTRACT(A1637, ""\d+""))"),1933.0)</f>
        <v>1933</v>
      </c>
    </row>
    <row r="1638">
      <c r="A1638" s="9" t="s">
        <v>7172</v>
      </c>
      <c r="B1638" s="9" t="s">
        <v>7173</v>
      </c>
      <c r="D1638" s="9" t="s">
        <v>7174</v>
      </c>
      <c r="G1638" s="6" t="s">
        <v>7175</v>
      </c>
      <c r="J1638" s="9" t="s">
        <v>7176</v>
      </c>
      <c r="O1638" s="10">
        <f>IFERROR(__xludf.DUMMYFUNCTION("VALUE(REGEXEXTRACT(A1638, ""\d+""))"),1934.0)</f>
        <v>1934</v>
      </c>
    </row>
    <row r="1639">
      <c r="A1639" s="9" t="s">
        <v>7177</v>
      </c>
      <c r="B1639" s="9" t="s">
        <v>7178</v>
      </c>
      <c r="D1639" s="9" t="s">
        <v>7179</v>
      </c>
      <c r="G1639" s="6" t="s">
        <v>7180</v>
      </c>
      <c r="J1639" s="9" t="s">
        <v>7181</v>
      </c>
      <c r="O1639" s="10">
        <f>IFERROR(__xludf.DUMMYFUNCTION("VALUE(REGEXEXTRACT(A1639, ""\d+""))"),1935.0)</f>
        <v>1935</v>
      </c>
    </row>
    <row r="1640">
      <c r="A1640" s="9" t="s">
        <v>7182</v>
      </c>
      <c r="B1640" s="9" t="s">
        <v>7183</v>
      </c>
      <c r="D1640" s="9" t="s">
        <v>7184</v>
      </c>
      <c r="G1640" s="6" t="s">
        <v>7185</v>
      </c>
      <c r="J1640" s="9" t="s">
        <v>7186</v>
      </c>
      <c r="O1640" s="10">
        <f>IFERROR(__xludf.DUMMYFUNCTION("VALUE(REGEXEXTRACT(A1640, ""\d+""))"),1936.0)</f>
        <v>1936</v>
      </c>
    </row>
    <row r="1641">
      <c r="A1641" s="9" t="s">
        <v>7187</v>
      </c>
      <c r="B1641" s="9" t="s">
        <v>7188</v>
      </c>
      <c r="D1641" s="9" t="s">
        <v>7189</v>
      </c>
      <c r="G1641" s="6" t="s">
        <v>7190</v>
      </c>
      <c r="J1641" s="9" t="s">
        <v>7191</v>
      </c>
      <c r="O1641" s="10">
        <f>IFERROR(__xludf.DUMMYFUNCTION("VALUE(REGEXEXTRACT(A1641, ""\d+""))"),1937.0)</f>
        <v>1937</v>
      </c>
    </row>
    <row r="1642">
      <c r="A1642" s="9" t="s">
        <v>7192</v>
      </c>
      <c r="B1642" s="9" t="s">
        <v>7193</v>
      </c>
      <c r="D1642" s="9" t="s">
        <v>7194</v>
      </c>
      <c r="G1642" s="6" t="s">
        <v>7195</v>
      </c>
      <c r="J1642" s="9" t="s">
        <v>7196</v>
      </c>
      <c r="O1642" s="10">
        <f>IFERROR(__xludf.DUMMYFUNCTION("VALUE(REGEXEXTRACT(A1642, ""\d+""))"),1938.0)</f>
        <v>1938</v>
      </c>
    </row>
    <row r="1643">
      <c r="A1643" s="9" t="s">
        <v>7197</v>
      </c>
      <c r="B1643" s="9" t="s">
        <v>7198</v>
      </c>
      <c r="D1643" s="9" t="s">
        <v>7199</v>
      </c>
      <c r="G1643" s="6" t="s">
        <v>7200</v>
      </c>
      <c r="J1643" s="9" t="s">
        <v>7201</v>
      </c>
      <c r="O1643" s="10">
        <f>IFERROR(__xludf.DUMMYFUNCTION("VALUE(REGEXEXTRACT(A1643, ""\d+""))"),1939.0)</f>
        <v>1939</v>
      </c>
    </row>
    <row r="1644">
      <c r="A1644" s="9" t="s">
        <v>7202</v>
      </c>
      <c r="B1644" s="9" t="s">
        <v>7203</v>
      </c>
      <c r="D1644" s="9" t="s">
        <v>2920</v>
      </c>
      <c r="G1644" s="6" t="s">
        <v>7204</v>
      </c>
      <c r="J1644" s="9" t="s">
        <v>2922</v>
      </c>
      <c r="O1644" s="10">
        <f>IFERROR(__xludf.DUMMYFUNCTION("VALUE(REGEXEXTRACT(A1644, ""\d+""))"),1941.0)</f>
        <v>1941</v>
      </c>
    </row>
    <row r="1645">
      <c r="A1645" s="9" t="s">
        <v>7205</v>
      </c>
      <c r="B1645" s="9" t="s">
        <v>7206</v>
      </c>
      <c r="D1645" s="9" t="s">
        <v>2925</v>
      </c>
      <c r="G1645" s="6" t="s">
        <v>7207</v>
      </c>
      <c r="J1645" s="9" t="s">
        <v>2927</v>
      </c>
      <c r="O1645" s="10">
        <f>IFERROR(__xludf.DUMMYFUNCTION("VALUE(REGEXEXTRACT(A1645, ""\d+""))"),1942.0)</f>
        <v>1942</v>
      </c>
    </row>
    <row r="1646">
      <c r="A1646" s="9" t="s">
        <v>7208</v>
      </c>
      <c r="B1646" s="9" t="s">
        <v>7209</v>
      </c>
      <c r="D1646" s="9" t="s">
        <v>2929</v>
      </c>
      <c r="G1646" s="6" t="s">
        <v>7210</v>
      </c>
      <c r="J1646" s="9" t="s">
        <v>2930</v>
      </c>
      <c r="O1646" s="10">
        <f>IFERROR(__xludf.DUMMYFUNCTION("VALUE(REGEXEXTRACT(A1646, ""\d+""))"),1943.0)</f>
        <v>1943</v>
      </c>
    </row>
    <row r="1647">
      <c r="A1647" s="9" t="s">
        <v>7211</v>
      </c>
      <c r="B1647" s="9" t="s">
        <v>7212</v>
      </c>
      <c r="D1647" s="9" t="s">
        <v>2933</v>
      </c>
      <c r="G1647" s="6" t="s">
        <v>7213</v>
      </c>
      <c r="J1647" s="9" t="s">
        <v>2935</v>
      </c>
      <c r="O1647" s="10">
        <f>IFERROR(__xludf.DUMMYFUNCTION("VALUE(REGEXEXTRACT(A1647, ""\d+""))"),1944.0)</f>
        <v>1944</v>
      </c>
    </row>
    <row r="1648">
      <c r="A1648" s="9" t="s">
        <v>7214</v>
      </c>
      <c r="B1648" s="9" t="s">
        <v>7215</v>
      </c>
      <c r="D1648" s="9" t="s">
        <v>7216</v>
      </c>
      <c r="G1648" s="6" t="s">
        <v>7217</v>
      </c>
      <c r="J1648" s="9" t="s">
        <v>7218</v>
      </c>
      <c r="O1648" s="10">
        <f>IFERROR(__xludf.DUMMYFUNCTION("VALUE(REGEXEXTRACT(A1648, ""\d+""))"),1945.0)</f>
        <v>1945</v>
      </c>
    </row>
    <row r="1649">
      <c r="A1649" s="9" t="s">
        <v>7219</v>
      </c>
      <c r="B1649" s="9" t="s">
        <v>7220</v>
      </c>
      <c r="D1649" s="9" t="s">
        <v>7221</v>
      </c>
      <c r="G1649" s="6" t="s">
        <v>7222</v>
      </c>
      <c r="J1649" s="9" t="s">
        <v>7223</v>
      </c>
      <c r="O1649" s="10">
        <f>IFERROR(__xludf.DUMMYFUNCTION("VALUE(REGEXEXTRACT(A1649, ""\d+""))"),1947.0)</f>
        <v>1947</v>
      </c>
    </row>
    <row r="1650">
      <c r="A1650" s="9" t="s">
        <v>7224</v>
      </c>
      <c r="B1650" s="9" t="s">
        <v>7225</v>
      </c>
      <c r="D1650" s="9" t="s">
        <v>2951</v>
      </c>
      <c r="G1650" s="6" t="s">
        <v>2951</v>
      </c>
      <c r="J1650" s="9" t="s">
        <v>2953</v>
      </c>
      <c r="O1650" s="10">
        <f>IFERROR(__xludf.DUMMYFUNCTION("VALUE(REGEXEXTRACT(A1650, ""\d+""))"),1948.0)</f>
        <v>1948</v>
      </c>
    </row>
    <row r="1651">
      <c r="A1651" s="9" t="s">
        <v>7226</v>
      </c>
      <c r="B1651" s="9" t="s">
        <v>7227</v>
      </c>
      <c r="D1651" s="9" t="s">
        <v>7227</v>
      </c>
      <c r="G1651" s="6" t="s">
        <v>7227</v>
      </c>
      <c r="J1651" s="9" t="s">
        <v>7227</v>
      </c>
      <c r="O1651" s="10">
        <f>IFERROR(__xludf.DUMMYFUNCTION("VALUE(REGEXEXTRACT(A1651, ""\d+""))"),1949.0)</f>
        <v>1949</v>
      </c>
    </row>
    <row r="1652">
      <c r="A1652" s="9" t="s">
        <v>7228</v>
      </c>
      <c r="B1652" s="9" t="s">
        <v>7229</v>
      </c>
      <c r="D1652" s="9" t="s">
        <v>7230</v>
      </c>
      <c r="G1652" s="6" t="s">
        <v>7231</v>
      </c>
      <c r="J1652" s="9" t="s">
        <v>7232</v>
      </c>
      <c r="O1652" s="10">
        <f>IFERROR(__xludf.DUMMYFUNCTION("VALUE(REGEXEXTRACT(A1652, ""\d+""))"),1950.0)</f>
        <v>1950</v>
      </c>
    </row>
    <row r="1653">
      <c r="A1653" s="9" t="s">
        <v>7233</v>
      </c>
      <c r="B1653" s="9" t="s">
        <v>7234</v>
      </c>
      <c r="D1653" s="9" t="s">
        <v>7235</v>
      </c>
      <c r="G1653" s="6" t="s">
        <v>7236</v>
      </c>
      <c r="J1653" s="9" t="s">
        <v>7237</v>
      </c>
      <c r="O1653" s="10">
        <f>IFERROR(__xludf.DUMMYFUNCTION("VALUE(REGEXEXTRACT(A1653, ""\d+""))"),1951.0)</f>
        <v>1951</v>
      </c>
    </row>
    <row r="1654">
      <c r="A1654" s="9" t="s">
        <v>7238</v>
      </c>
      <c r="B1654" s="9" t="s">
        <v>7239</v>
      </c>
      <c r="D1654" s="9" t="s">
        <v>7240</v>
      </c>
      <c r="G1654" s="6" t="s">
        <v>7241</v>
      </c>
      <c r="J1654" s="9" t="s">
        <v>7242</v>
      </c>
      <c r="O1654" s="10">
        <f>IFERROR(__xludf.DUMMYFUNCTION("VALUE(REGEXEXTRACT(A1654, ""\d+""))"),1952.0)</f>
        <v>1952</v>
      </c>
    </row>
    <row r="1655">
      <c r="A1655" s="9" t="s">
        <v>7243</v>
      </c>
      <c r="B1655" s="9" t="s">
        <v>7244</v>
      </c>
      <c r="D1655" s="9" t="s">
        <v>7245</v>
      </c>
      <c r="G1655" s="6" t="s">
        <v>7246</v>
      </c>
      <c r="J1655" s="9" t="s">
        <v>7247</v>
      </c>
      <c r="O1655" s="10">
        <f>IFERROR(__xludf.DUMMYFUNCTION("VALUE(REGEXEXTRACT(A1655, ""\d+""))"),1953.0)</f>
        <v>1953</v>
      </c>
    </row>
    <row r="1656">
      <c r="A1656" s="9" t="s">
        <v>7248</v>
      </c>
      <c r="B1656" s="9" t="s">
        <v>7249</v>
      </c>
      <c r="D1656" s="9" t="s">
        <v>7250</v>
      </c>
      <c r="G1656" s="6" t="s">
        <v>7251</v>
      </c>
      <c r="J1656" s="9" t="s">
        <v>7252</v>
      </c>
      <c r="O1656" s="10">
        <f>IFERROR(__xludf.DUMMYFUNCTION("VALUE(REGEXEXTRACT(A1656, ""\d+""))"),1954.0)</f>
        <v>1954</v>
      </c>
    </row>
    <row r="1657">
      <c r="A1657" s="9" t="s">
        <v>7253</v>
      </c>
      <c r="B1657" s="9" t="s">
        <v>7254</v>
      </c>
      <c r="D1657" s="9" t="s">
        <v>7255</v>
      </c>
      <c r="G1657" s="6" t="s">
        <v>7256</v>
      </c>
      <c r="J1657" s="9" t="s">
        <v>7257</v>
      </c>
      <c r="O1657" s="10">
        <f>IFERROR(__xludf.DUMMYFUNCTION("VALUE(REGEXEXTRACT(A1657, ""\d+""))"),1955.0)</f>
        <v>1955</v>
      </c>
    </row>
    <row r="1658">
      <c r="A1658" s="9" t="s">
        <v>7258</v>
      </c>
      <c r="B1658" s="9" t="s">
        <v>7259</v>
      </c>
      <c r="D1658" s="9" t="s">
        <v>7260</v>
      </c>
      <c r="G1658" s="6" t="s">
        <v>7261</v>
      </c>
      <c r="J1658" s="9" t="s">
        <v>7262</v>
      </c>
      <c r="O1658" s="10">
        <f>IFERROR(__xludf.DUMMYFUNCTION("VALUE(REGEXEXTRACT(A1658, ""\d+""))"),1956.0)</f>
        <v>1956</v>
      </c>
    </row>
    <row r="1659">
      <c r="A1659" s="9" t="s">
        <v>7263</v>
      </c>
      <c r="B1659" s="9" t="s">
        <v>7264</v>
      </c>
      <c r="D1659" s="9" t="s">
        <v>7265</v>
      </c>
      <c r="G1659" s="6" t="s">
        <v>7266</v>
      </c>
      <c r="J1659" s="9" t="s">
        <v>7267</v>
      </c>
      <c r="O1659" s="10">
        <f>IFERROR(__xludf.DUMMYFUNCTION("VALUE(REGEXEXTRACT(A1659, ""\d+""))"),1958.0)</f>
        <v>1958</v>
      </c>
    </row>
    <row r="1660">
      <c r="A1660" s="9" t="s">
        <v>7268</v>
      </c>
      <c r="B1660" s="9" t="s">
        <v>7269</v>
      </c>
      <c r="D1660" s="9" t="s">
        <v>7270</v>
      </c>
      <c r="G1660" s="6" t="s">
        <v>7271</v>
      </c>
      <c r="J1660" s="9" t="s">
        <v>7272</v>
      </c>
      <c r="O1660" s="10">
        <f>IFERROR(__xludf.DUMMYFUNCTION("VALUE(REGEXEXTRACT(A1660, ""\d+""))"),1959.0)</f>
        <v>1959</v>
      </c>
    </row>
    <row r="1661">
      <c r="A1661" s="9" t="s">
        <v>7273</v>
      </c>
      <c r="B1661" s="9" t="s">
        <v>7274</v>
      </c>
      <c r="D1661" s="9" t="s">
        <v>7275</v>
      </c>
      <c r="G1661" s="6" t="s">
        <v>7276</v>
      </c>
      <c r="J1661" s="9" t="s">
        <v>7277</v>
      </c>
      <c r="O1661" s="10">
        <f>IFERROR(__xludf.DUMMYFUNCTION("VALUE(REGEXEXTRACT(A1661, ""\d+""))"),1960.0)</f>
        <v>1960</v>
      </c>
    </row>
    <row r="1662">
      <c r="A1662" s="9" t="s">
        <v>7278</v>
      </c>
      <c r="B1662" s="9" t="s">
        <v>7279</v>
      </c>
      <c r="D1662" s="9" t="s">
        <v>7280</v>
      </c>
      <c r="G1662" s="6" t="s">
        <v>7281</v>
      </c>
      <c r="J1662" s="9" t="s">
        <v>7282</v>
      </c>
      <c r="O1662" s="10">
        <f>IFERROR(__xludf.DUMMYFUNCTION("VALUE(REGEXEXTRACT(A1662, ""\d+""))"),1961.0)</f>
        <v>1961</v>
      </c>
    </row>
    <row r="1663">
      <c r="A1663" s="9" t="s">
        <v>7283</v>
      </c>
      <c r="B1663" s="9" t="s">
        <v>7284</v>
      </c>
      <c r="D1663" s="9" t="s">
        <v>7285</v>
      </c>
      <c r="G1663" s="6" t="s">
        <v>7286</v>
      </c>
      <c r="J1663" s="9" t="s">
        <v>7287</v>
      </c>
      <c r="O1663" s="10">
        <f>IFERROR(__xludf.DUMMYFUNCTION("VALUE(REGEXEXTRACT(A1663, ""\d+""))"),1962.0)</f>
        <v>1962</v>
      </c>
    </row>
    <row r="1664">
      <c r="A1664" s="9" t="s">
        <v>7288</v>
      </c>
      <c r="B1664" s="9" t="s">
        <v>7289</v>
      </c>
      <c r="D1664" s="9" t="s">
        <v>7290</v>
      </c>
      <c r="G1664" s="6" t="s">
        <v>7291</v>
      </c>
      <c r="J1664" s="9" t="s">
        <v>7292</v>
      </c>
      <c r="O1664" s="10">
        <f>IFERROR(__xludf.DUMMYFUNCTION("VALUE(REGEXEXTRACT(A1664, ""\d+""))"),1963.0)</f>
        <v>1963</v>
      </c>
    </row>
    <row r="1665">
      <c r="A1665" s="9" t="s">
        <v>7293</v>
      </c>
      <c r="B1665" s="9" t="s">
        <v>7294</v>
      </c>
      <c r="D1665" s="9" t="s">
        <v>7295</v>
      </c>
      <c r="G1665" s="6" t="s">
        <v>7296</v>
      </c>
      <c r="J1665" s="9" t="s">
        <v>7294</v>
      </c>
      <c r="O1665" s="10">
        <f>IFERROR(__xludf.DUMMYFUNCTION("VALUE(REGEXEXTRACT(A1665, ""\d+""))"),1965.0)</f>
        <v>1965</v>
      </c>
    </row>
    <row r="1666">
      <c r="A1666" s="9" t="s">
        <v>7297</v>
      </c>
      <c r="B1666" s="9" t="s">
        <v>7298</v>
      </c>
      <c r="D1666" s="9" t="s">
        <v>7299</v>
      </c>
      <c r="G1666" s="6" t="s">
        <v>7300</v>
      </c>
      <c r="J1666" s="9" t="s">
        <v>7301</v>
      </c>
      <c r="O1666" s="10">
        <f>IFERROR(__xludf.DUMMYFUNCTION("VALUE(REGEXEXTRACT(A1666, ""\d+""))"),1966.0)</f>
        <v>1966</v>
      </c>
    </row>
    <row r="1667">
      <c r="A1667" s="9" t="s">
        <v>7302</v>
      </c>
      <c r="B1667" s="9" t="s">
        <v>7303</v>
      </c>
      <c r="D1667" s="9" t="s">
        <v>7303</v>
      </c>
      <c r="G1667" s="6" t="s">
        <v>7303</v>
      </c>
      <c r="J1667" s="9" t="s">
        <v>7303</v>
      </c>
      <c r="O1667" s="10">
        <f>IFERROR(__xludf.DUMMYFUNCTION("VALUE(REGEXEXTRACT(A1667, ""\d+""))"),1967.0)</f>
        <v>1967</v>
      </c>
    </row>
    <row r="1668">
      <c r="A1668" s="9" t="s">
        <v>7304</v>
      </c>
      <c r="B1668" s="9" t="s">
        <v>7305</v>
      </c>
      <c r="D1668" s="9" t="s">
        <v>7306</v>
      </c>
      <c r="G1668" s="6" t="s">
        <v>7307</v>
      </c>
      <c r="J1668" s="9" t="s">
        <v>7308</v>
      </c>
      <c r="O1668" s="10">
        <f>IFERROR(__xludf.DUMMYFUNCTION("VALUE(REGEXEXTRACT(A1668, ""\d+""))"),1968.0)</f>
        <v>1968</v>
      </c>
    </row>
    <row r="1669">
      <c r="A1669" s="9" t="s">
        <v>7309</v>
      </c>
      <c r="B1669" s="9" t="s">
        <v>7310</v>
      </c>
      <c r="D1669" s="9" t="s">
        <v>7311</v>
      </c>
      <c r="G1669" s="6" t="s">
        <v>7312</v>
      </c>
      <c r="J1669" s="9" t="s">
        <v>7313</v>
      </c>
      <c r="O1669" s="10">
        <f>IFERROR(__xludf.DUMMYFUNCTION("VALUE(REGEXEXTRACT(A1669, ""\d+""))"),1969.0)</f>
        <v>1969</v>
      </c>
    </row>
    <row r="1670">
      <c r="A1670" s="9" t="s">
        <v>7314</v>
      </c>
      <c r="B1670" s="9" t="s">
        <v>7315</v>
      </c>
      <c r="D1670" s="9" t="s">
        <v>7316</v>
      </c>
      <c r="G1670" s="6" t="s">
        <v>7317</v>
      </c>
      <c r="J1670" s="9" t="s">
        <v>7318</v>
      </c>
      <c r="O1670" s="10">
        <f>IFERROR(__xludf.DUMMYFUNCTION("VALUE(REGEXEXTRACT(A1670, ""\d+""))"),1970.0)</f>
        <v>1970</v>
      </c>
    </row>
    <row r="1671">
      <c r="A1671" s="9" t="s">
        <v>7319</v>
      </c>
      <c r="B1671" s="9" t="s">
        <v>7320</v>
      </c>
      <c r="D1671" s="9" t="s">
        <v>7321</v>
      </c>
      <c r="G1671" s="6" t="s">
        <v>7322</v>
      </c>
      <c r="J1671" s="9" t="s">
        <v>7323</v>
      </c>
      <c r="O1671" s="10">
        <f>IFERROR(__xludf.DUMMYFUNCTION("VALUE(REGEXEXTRACT(A1671, ""\d+""))"),1971.0)</f>
        <v>1971</v>
      </c>
    </row>
    <row r="1672">
      <c r="A1672" s="9" t="s">
        <v>7324</v>
      </c>
      <c r="B1672" s="9" t="s">
        <v>7325</v>
      </c>
      <c r="D1672" s="9" t="s">
        <v>7326</v>
      </c>
      <c r="G1672" s="6" t="s">
        <v>7327</v>
      </c>
      <c r="J1672" s="9" t="s">
        <v>7328</v>
      </c>
      <c r="O1672" s="10">
        <f>IFERROR(__xludf.DUMMYFUNCTION("VALUE(REGEXEXTRACT(A1672, ""\d+""))"),1972.0)</f>
        <v>1972</v>
      </c>
    </row>
    <row r="1673">
      <c r="A1673" s="9" t="s">
        <v>7329</v>
      </c>
      <c r="B1673" s="9" t="s">
        <v>7330</v>
      </c>
      <c r="D1673" s="9" t="s">
        <v>7331</v>
      </c>
      <c r="G1673" s="6" t="s">
        <v>7332</v>
      </c>
      <c r="J1673" s="9" t="s">
        <v>7333</v>
      </c>
      <c r="O1673" s="10">
        <f>IFERROR(__xludf.DUMMYFUNCTION("VALUE(REGEXEXTRACT(A1673, ""\d+""))"),1973.0)</f>
        <v>1973</v>
      </c>
    </row>
    <row r="1674">
      <c r="A1674" s="9" t="s">
        <v>7334</v>
      </c>
      <c r="B1674" s="9" t="s">
        <v>7335</v>
      </c>
      <c r="D1674" s="9" t="s">
        <v>7336</v>
      </c>
      <c r="G1674" s="6" t="s">
        <v>7337</v>
      </c>
      <c r="J1674" s="9" t="s">
        <v>7338</v>
      </c>
      <c r="O1674" s="10">
        <f>IFERROR(__xludf.DUMMYFUNCTION("VALUE(REGEXEXTRACT(A1674, ""\d+""))"),1974.0)</f>
        <v>1974</v>
      </c>
    </row>
    <row r="1675">
      <c r="A1675" s="9" t="s">
        <v>7339</v>
      </c>
      <c r="B1675" s="9" t="s">
        <v>7340</v>
      </c>
      <c r="D1675" s="9" t="s">
        <v>7299</v>
      </c>
      <c r="G1675" s="6" t="s">
        <v>7300</v>
      </c>
      <c r="J1675" s="9" t="s">
        <v>7341</v>
      </c>
      <c r="O1675" s="10">
        <f>IFERROR(__xludf.DUMMYFUNCTION("VALUE(REGEXEXTRACT(A1675, ""\d+""))"),1975.0)</f>
        <v>1975</v>
      </c>
    </row>
    <row r="1676">
      <c r="A1676" s="9" t="s">
        <v>7342</v>
      </c>
      <c r="B1676" s="9" t="s">
        <v>7343</v>
      </c>
      <c r="D1676" s="9" t="s">
        <v>7343</v>
      </c>
      <c r="G1676" s="6" t="s">
        <v>7343</v>
      </c>
      <c r="J1676" s="9" t="s">
        <v>7343</v>
      </c>
      <c r="O1676" s="10">
        <f>IFERROR(__xludf.DUMMYFUNCTION("VALUE(REGEXEXTRACT(A1676, ""\d+""))"),1976.0)</f>
        <v>1976</v>
      </c>
    </row>
    <row r="1677">
      <c r="A1677" s="9" t="s">
        <v>7344</v>
      </c>
      <c r="B1677" s="9" t="s">
        <v>7345</v>
      </c>
      <c r="D1677" s="9" t="s">
        <v>7346</v>
      </c>
      <c r="G1677" s="6" t="s">
        <v>7347</v>
      </c>
      <c r="J1677" s="9" t="s">
        <v>7348</v>
      </c>
      <c r="O1677" s="10">
        <f>IFERROR(__xludf.DUMMYFUNCTION("VALUE(REGEXEXTRACT(A1677, ""\d+""))"),1977.0)</f>
        <v>1977</v>
      </c>
    </row>
    <row r="1678">
      <c r="A1678" s="9" t="s">
        <v>7349</v>
      </c>
      <c r="B1678" s="9" t="s">
        <v>7350</v>
      </c>
      <c r="D1678" s="9" t="s">
        <v>7351</v>
      </c>
      <c r="G1678" s="6" t="s">
        <v>7352</v>
      </c>
      <c r="J1678" s="9" t="s">
        <v>7353</v>
      </c>
      <c r="O1678" s="10">
        <f>IFERROR(__xludf.DUMMYFUNCTION("VALUE(REGEXEXTRACT(A1678, ""\d+""))"),1978.0)</f>
        <v>1978</v>
      </c>
    </row>
    <row r="1679">
      <c r="A1679" s="9" t="s">
        <v>7354</v>
      </c>
      <c r="B1679" s="9" t="s">
        <v>7355</v>
      </c>
      <c r="D1679" s="9" t="s">
        <v>7356</v>
      </c>
      <c r="G1679" s="6" t="s">
        <v>7357</v>
      </c>
      <c r="J1679" s="9" t="s">
        <v>7358</v>
      </c>
      <c r="O1679" s="10">
        <f>IFERROR(__xludf.DUMMYFUNCTION("VALUE(REGEXEXTRACT(A1679, ""\d+""))"),1979.0)</f>
        <v>1979</v>
      </c>
    </row>
    <row r="1680">
      <c r="A1680" s="9" t="s">
        <v>7359</v>
      </c>
      <c r="B1680" s="9" t="s">
        <v>7360</v>
      </c>
      <c r="D1680" s="9" t="s">
        <v>7361</v>
      </c>
      <c r="G1680" s="6" t="s">
        <v>7362</v>
      </c>
      <c r="J1680" s="9" t="s">
        <v>7363</v>
      </c>
      <c r="O1680" s="10">
        <f>IFERROR(__xludf.DUMMYFUNCTION("VALUE(REGEXEXTRACT(A1680, ""\d+""))"),1980.0)</f>
        <v>1980</v>
      </c>
    </row>
    <row r="1681">
      <c r="A1681" s="9" t="s">
        <v>7364</v>
      </c>
      <c r="B1681" s="9" t="s">
        <v>7365</v>
      </c>
      <c r="D1681" s="9" t="s">
        <v>7366</v>
      </c>
      <c r="G1681" s="6" t="s">
        <v>7367</v>
      </c>
      <c r="J1681" s="9" t="s">
        <v>7368</v>
      </c>
      <c r="O1681" s="10">
        <f>IFERROR(__xludf.DUMMYFUNCTION("VALUE(REGEXEXTRACT(A1681, ""\d+""))"),1981.0)</f>
        <v>1981</v>
      </c>
    </row>
    <row r="1682">
      <c r="A1682" s="9" t="s">
        <v>7369</v>
      </c>
      <c r="B1682" s="9" t="s">
        <v>7370</v>
      </c>
      <c r="D1682" s="9" t="s">
        <v>7371</v>
      </c>
      <c r="G1682" s="6" t="s">
        <v>7372</v>
      </c>
      <c r="J1682" s="9" t="s">
        <v>7373</v>
      </c>
      <c r="O1682" s="10">
        <f>IFERROR(__xludf.DUMMYFUNCTION("VALUE(REGEXEXTRACT(A1682, ""\d+""))"),1982.0)</f>
        <v>1982</v>
      </c>
    </row>
    <row r="1683">
      <c r="A1683" s="9" t="s">
        <v>7374</v>
      </c>
      <c r="B1683" s="9" t="s">
        <v>7375</v>
      </c>
      <c r="D1683" s="9" t="s">
        <v>7376</v>
      </c>
      <c r="G1683" s="6" t="s">
        <v>7377</v>
      </c>
      <c r="J1683" s="9" t="s">
        <v>7378</v>
      </c>
      <c r="O1683" s="10">
        <f>IFERROR(__xludf.DUMMYFUNCTION("VALUE(REGEXEXTRACT(A1683, ""\d+""))"),1983.0)</f>
        <v>1983</v>
      </c>
    </row>
    <row r="1684">
      <c r="A1684" s="9" t="s">
        <v>7379</v>
      </c>
      <c r="B1684" s="9" t="s">
        <v>7380</v>
      </c>
      <c r="D1684" s="9" t="s">
        <v>3115</v>
      </c>
      <c r="G1684" s="6" t="s">
        <v>7381</v>
      </c>
      <c r="J1684" s="9" t="s">
        <v>3117</v>
      </c>
      <c r="O1684" s="10">
        <f>IFERROR(__xludf.DUMMYFUNCTION("VALUE(REGEXEXTRACT(A1684, ""\d+""))"),1984.0)</f>
        <v>1984</v>
      </c>
    </row>
    <row r="1685">
      <c r="A1685" s="9" t="s">
        <v>7382</v>
      </c>
      <c r="B1685" s="9" t="s">
        <v>7383</v>
      </c>
      <c r="D1685" s="9" t="s">
        <v>7384</v>
      </c>
      <c r="G1685" s="6" t="s">
        <v>7385</v>
      </c>
      <c r="J1685" s="9" t="s">
        <v>7386</v>
      </c>
      <c r="O1685" s="10">
        <f>IFERROR(__xludf.DUMMYFUNCTION("VALUE(REGEXEXTRACT(A1685, ""\d+""))"),1985.0)</f>
        <v>1985</v>
      </c>
    </row>
    <row r="1686">
      <c r="A1686" s="9" t="s">
        <v>7387</v>
      </c>
      <c r="B1686" s="9" t="s">
        <v>7388</v>
      </c>
      <c r="D1686" s="9" t="s">
        <v>7389</v>
      </c>
      <c r="G1686" s="6" t="s">
        <v>7390</v>
      </c>
      <c r="J1686" s="9" t="s">
        <v>7391</v>
      </c>
      <c r="O1686" s="10">
        <f>IFERROR(__xludf.DUMMYFUNCTION("VALUE(REGEXEXTRACT(A1686, ""\d+""))"),1986.0)</f>
        <v>1986</v>
      </c>
    </row>
    <row r="1687">
      <c r="A1687" s="9" t="s">
        <v>7392</v>
      </c>
      <c r="B1687" s="9" t="s">
        <v>7393</v>
      </c>
      <c r="D1687" s="9" t="s">
        <v>7394</v>
      </c>
      <c r="G1687" s="6" t="s">
        <v>7395</v>
      </c>
      <c r="J1687" s="9" t="s">
        <v>7396</v>
      </c>
      <c r="O1687" s="10">
        <f>IFERROR(__xludf.DUMMYFUNCTION("VALUE(REGEXEXTRACT(A1687, ""\d+""))"),1987.0)</f>
        <v>1987</v>
      </c>
    </row>
    <row r="1688">
      <c r="A1688" s="9" t="s">
        <v>7397</v>
      </c>
      <c r="B1688" s="9" t="s">
        <v>7398</v>
      </c>
      <c r="D1688" s="9" t="s">
        <v>7399</v>
      </c>
      <c r="G1688" s="6" t="s">
        <v>7400</v>
      </c>
      <c r="J1688" s="9" t="s">
        <v>7401</v>
      </c>
      <c r="O1688" s="10">
        <f>IFERROR(__xludf.DUMMYFUNCTION("VALUE(REGEXEXTRACT(A1688, ""\d+""))"),1988.0)</f>
        <v>1988</v>
      </c>
    </row>
    <row r="1689">
      <c r="A1689" s="9" t="s">
        <v>7402</v>
      </c>
      <c r="B1689" s="9" t="s">
        <v>7403</v>
      </c>
      <c r="D1689" s="9" t="s">
        <v>3140</v>
      </c>
      <c r="G1689" s="6" t="s">
        <v>7404</v>
      </c>
      <c r="J1689" s="9" t="s">
        <v>3142</v>
      </c>
      <c r="O1689" s="10">
        <f>IFERROR(__xludf.DUMMYFUNCTION("VALUE(REGEXEXTRACT(A1689, ""\d+""))"),1989.0)</f>
        <v>1989</v>
      </c>
    </row>
    <row r="1690">
      <c r="A1690" s="9" t="s">
        <v>7405</v>
      </c>
      <c r="B1690" s="9" t="s">
        <v>7406</v>
      </c>
      <c r="D1690" s="9" t="s">
        <v>7407</v>
      </c>
      <c r="G1690" s="6" t="s">
        <v>7408</v>
      </c>
      <c r="J1690" s="9" t="s">
        <v>7409</v>
      </c>
      <c r="O1690" s="10">
        <f>IFERROR(__xludf.DUMMYFUNCTION("VALUE(REGEXEXTRACT(A1690, ""\d+""))"),1990.0)</f>
        <v>1990</v>
      </c>
    </row>
    <row r="1691">
      <c r="A1691" s="9" t="s">
        <v>7410</v>
      </c>
      <c r="B1691" s="9" t="s">
        <v>7411</v>
      </c>
      <c r="D1691" s="9" t="s">
        <v>7412</v>
      </c>
      <c r="G1691" s="6" t="s">
        <v>7413</v>
      </c>
      <c r="J1691" s="9" t="s">
        <v>7414</v>
      </c>
      <c r="O1691" s="10">
        <f>IFERROR(__xludf.DUMMYFUNCTION("VALUE(REGEXEXTRACT(A1691, ""\d+""))"),1991.0)</f>
        <v>1991</v>
      </c>
    </row>
    <row r="1692">
      <c r="A1692" s="9" t="s">
        <v>7415</v>
      </c>
      <c r="B1692" s="9" t="s">
        <v>7416</v>
      </c>
      <c r="D1692" s="9" t="s">
        <v>7417</v>
      </c>
      <c r="G1692" s="6" t="s">
        <v>7418</v>
      </c>
      <c r="J1692" s="9" t="s">
        <v>7419</v>
      </c>
      <c r="O1692" s="10">
        <f>IFERROR(__xludf.DUMMYFUNCTION("VALUE(REGEXEXTRACT(A1692, ""\d+""))"),1993.0)</f>
        <v>1993</v>
      </c>
    </row>
    <row r="1693">
      <c r="A1693" s="9" t="s">
        <v>7420</v>
      </c>
      <c r="B1693" s="9" t="s">
        <v>7421</v>
      </c>
      <c r="D1693" s="9" t="s">
        <v>7422</v>
      </c>
      <c r="G1693" s="6" t="s">
        <v>7423</v>
      </c>
      <c r="J1693" s="9" t="s">
        <v>7424</v>
      </c>
      <c r="O1693" s="10">
        <f>IFERROR(__xludf.DUMMYFUNCTION("VALUE(REGEXEXTRACT(A1693, ""\d+""))"),1994.0)</f>
        <v>1994</v>
      </c>
    </row>
    <row r="1694">
      <c r="A1694" s="9" t="s">
        <v>7425</v>
      </c>
      <c r="B1694" s="9" t="s">
        <v>7426</v>
      </c>
      <c r="D1694" s="9" t="s">
        <v>7427</v>
      </c>
      <c r="G1694" s="6" t="s">
        <v>7427</v>
      </c>
      <c r="J1694" s="9" t="s">
        <v>3165</v>
      </c>
      <c r="O1694" s="10">
        <f>IFERROR(__xludf.DUMMYFUNCTION("VALUE(REGEXEXTRACT(A1694, ""\d+""))"),1995.0)</f>
        <v>1995</v>
      </c>
    </row>
    <row r="1695">
      <c r="A1695" s="9" t="s">
        <v>7428</v>
      </c>
      <c r="B1695" s="9" t="s">
        <v>7429</v>
      </c>
      <c r="D1695" s="9" t="s">
        <v>7430</v>
      </c>
      <c r="G1695" s="6" t="s">
        <v>7430</v>
      </c>
      <c r="J1695" s="9" t="s">
        <v>7431</v>
      </c>
      <c r="O1695" s="10">
        <f>IFERROR(__xludf.DUMMYFUNCTION("VALUE(REGEXEXTRACT(A1695, ""\d+""))"),1996.0)</f>
        <v>1996</v>
      </c>
    </row>
    <row r="1696">
      <c r="A1696" s="9" t="s">
        <v>7432</v>
      </c>
      <c r="B1696" s="9" t="s">
        <v>7433</v>
      </c>
      <c r="D1696" s="9" t="s">
        <v>7434</v>
      </c>
      <c r="G1696" s="6" t="s">
        <v>7434</v>
      </c>
      <c r="J1696" s="9" t="s">
        <v>7435</v>
      </c>
      <c r="O1696" s="10">
        <f>IFERROR(__xludf.DUMMYFUNCTION("VALUE(REGEXEXTRACT(A1696, ""\d+""))"),1997.0)</f>
        <v>1997</v>
      </c>
    </row>
    <row r="1697">
      <c r="A1697" s="9" t="s">
        <v>7436</v>
      </c>
      <c r="B1697" s="9" t="s">
        <v>7437</v>
      </c>
      <c r="D1697" s="9" t="s">
        <v>7438</v>
      </c>
      <c r="G1697" s="6" t="s">
        <v>7438</v>
      </c>
      <c r="J1697" s="9" t="s">
        <v>3176</v>
      </c>
      <c r="O1697" s="10">
        <f>IFERROR(__xludf.DUMMYFUNCTION("VALUE(REGEXEXTRACT(A1697, ""\d+""))"),1998.0)</f>
        <v>1998</v>
      </c>
    </row>
    <row r="1698">
      <c r="A1698" s="9" t="s">
        <v>7439</v>
      </c>
      <c r="B1698" s="9" t="s">
        <v>7440</v>
      </c>
      <c r="D1698" s="9" t="s">
        <v>7441</v>
      </c>
      <c r="G1698" s="6" t="s">
        <v>7441</v>
      </c>
      <c r="J1698" s="9" t="s">
        <v>7442</v>
      </c>
      <c r="O1698" s="10">
        <f>IFERROR(__xludf.DUMMYFUNCTION("VALUE(REGEXEXTRACT(A1698, ""\d+""))"),1999.0)</f>
        <v>1999</v>
      </c>
    </row>
    <row r="1699">
      <c r="A1699" s="9" t="s">
        <v>7443</v>
      </c>
      <c r="B1699" s="9" t="s">
        <v>7444</v>
      </c>
      <c r="D1699" s="9" t="s">
        <v>7445</v>
      </c>
      <c r="G1699" s="6" t="s">
        <v>7445</v>
      </c>
      <c r="J1699" s="9" t="s">
        <v>3185</v>
      </c>
      <c r="O1699" s="10">
        <f>IFERROR(__xludf.DUMMYFUNCTION("VALUE(REGEXEXTRACT(A1699, ""\d+""))"),2000.0)</f>
        <v>2000</v>
      </c>
    </row>
    <row r="1700">
      <c r="A1700" s="9" t="s">
        <v>7446</v>
      </c>
      <c r="B1700" s="9" t="s">
        <v>7447</v>
      </c>
      <c r="D1700" s="9" t="s">
        <v>7448</v>
      </c>
      <c r="G1700" s="6" t="s">
        <v>7448</v>
      </c>
      <c r="J1700" s="9" t="s">
        <v>3188</v>
      </c>
      <c r="O1700" s="10">
        <f>IFERROR(__xludf.DUMMYFUNCTION("VALUE(REGEXEXTRACT(A1700, ""\d+""))"),2001.0)</f>
        <v>2001</v>
      </c>
    </row>
    <row r="1701">
      <c r="A1701" s="9" t="s">
        <v>7449</v>
      </c>
      <c r="B1701" s="9" t="s">
        <v>7450</v>
      </c>
      <c r="D1701" s="9" t="s">
        <v>3191</v>
      </c>
      <c r="G1701" s="6" t="s">
        <v>3191</v>
      </c>
      <c r="J1701" s="9" t="s">
        <v>3193</v>
      </c>
      <c r="O1701" s="10">
        <f>IFERROR(__xludf.DUMMYFUNCTION("VALUE(REGEXEXTRACT(A1701, ""\d+""))"),2002.0)</f>
        <v>2002</v>
      </c>
    </row>
    <row r="1702">
      <c r="A1702" s="9" t="s">
        <v>7451</v>
      </c>
      <c r="B1702" s="9" t="s">
        <v>7452</v>
      </c>
      <c r="D1702" s="9" t="s">
        <v>7453</v>
      </c>
      <c r="G1702" s="6" t="s">
        <v>7453</v>
      </c>
      <c r="J1702" s="9" t="s">
        <v>7454</v>
      </c>
      <c r="O1702" s="10">
        <f>IFERROR(__xludf.DUMMYFUNCTION("VALUE(REGEXEXTRACT(A1702, ""\d+""))"),2003.0)</f>
        <v>2003</v>
      </c>
    </row>
    <row r="1703">
      <c r="A1703" s="9" t="s">
        <v>7455</v>
      </c>
      <c r="B1703" s="9" t="s">
        <v>7456</v>
      </c>
      <c r="D1703" s="9" t="s">
        <v>3201</v>
      </c>
      <c r="G1703" s="6" t="s">
        <v>3201</v>
      </c>
      <c r="J1703" s="9" t="s">
        <v>3203</v>
      </c>
      <c r="O1703" s="10">
        <f>IFERROR(__xludf.DUMMYFUNCTION("VALUE(REGEXEXTRACT(A1703, ""\d+""))"),2004.0)</f>
        <v>2004</v>
      </c>
    </row>
    <row r="1704">
      <c r="A1704" s="9" t="s">
        <v>7457</v>
      </c>
      <c r="B1704" s="9" t="s">
        <v>7458</v>
      </c>
      <c r="D1704" s="9" t="s">
        <v>3206</v>
      </c>
      <c r="G1704" s="6" t="s">
        <v>3206</v>
      </c>
      <c r="J1704" s="9" t="s">
        <v>3208</v>
      </c>
      <c r="O1704" s="10">
        <f>IFERROR(__xludf.DUMMYFUNCTION("VALUE(REGEXEXTRACT(A1704, ""\d+""))"),2005.0)</f>
        <v>2005</v>
      </c>
    </row>
    <row r="1705">
      <c r="A1705" s="9" t="s">
        <v>7459</v>
      </c>
      <c r="B1705" s="9" t="s">
        <v>7460</v>
      </c>
      <c r="D1705" s="9" t="s">
        <v>7461</v>
      </c>
      <c r="G1705" s="6" t="s">
        <v>7461</v>
      </c>
      <c r="J1705" s="9" t="s">
        <v>7462</v>
      </c>
      <c r="O1705" s="10">
        <f>IFERROR(__xludf.DUMMYFUNCTION("VALUE(REGEXEXTRACT(A1705, ""\d+""))"),2006.0)</f>
        <v>2006</v>
      </c>
    </row>
    <row r="1706">
      <c r="A1706" s="9" t="s">
        <v>7463</v>
      </c>
      <c r="B1706" s="9" t="s">
        <v>7464</v>
      </c>
      <c r="D1706" s="9" t="s">
        <v>7465</v>
      </c>
      <c r="G1706" s="6" t="s">
        <v>7465</v>
      </c>
      <c r="J1706" s="9" t="s">
        <v>7466</v>
      </c>
      <c r="O1706" s="10">
        <f>IFERROR(__xludf.DUMMYFUNCTION("VALUE(REGEXEXTRACT(A1706, ""\d+""))"),2007.0)</f>
        <v>2007</v>
      </c>
    </row>
    <row r="1707">
      <c r="A1707" s="9" t="s">
        <v>7467</v>
      </c>
      <c r="B1707" s="9" t="s">
        <v>7468</v>
      </c>
      <c r="D1707" s="9" t="s">
        <v>7469</v>
      </c>
      <c r="G1707" s="6" t="s">
        <v>7469</v>
      </c>
      <c r="J1707" s="9" t="s">
        <v>7470</v>
      </c>
      <c r="O1707" s="10">
        <f>IFERROR(__xludf.DUMMYFUNCTION("VALUE(REGEXEXTRACT(A1707, ""\d+""))"),2008.0)</f>
        <v>2008</v>
      </c>
    </row>
    <row r="1708">
      <c r="A1708" s="9" t="s">
        <v>7471</v>
      </c>
      <c r="B1708" s="9" t="s">
        <v>7472</v>
      </c>
      <c r="D1708" s="9" t="s">
        <v>7473</v>
      </c>
      <c r="G1708" s="6" t="s">
        <v>7473</v>
      </c>
      <c r="J1708" s="9" t="s">
        <v>7474</v>
      </c>
      <c r="O1708" s="10">
        <f>IFERROR(__xludf.DUMMYFUNCTION("VALUE(REGEXEXTRACT(A1708, ""\d+""))"),2009.0)</f>
        <v>2009</v>
      </c>
    </row>
    <row r="1709">
      <c r="A1709" s="9" t="s">
        <v>7475</v>
      </c>
      <c r="B1709" s="9" t="s">
        <v>7476</v>
      </c>
      <c r="D1709" s="9" t="s">
        <v>7477</v>
      </c>
      <c r="G1709" s="6" t="s">
        <v>7477</v>
      </c>
      <c r="J1709" s="9" t="s">
        <v>3232</v>
      </c>
      <c r="O1709" s="10">
        <f>IFERROR(__xludf.DUMMYFUNCTION("VALUE(REGEXEXTRACT(A1709, ""\d+""))"),2010.0)</f>
        <v>2010</v>
      </c>
    </row>
    <row r="1710">
      <c r="A1710" s="9" t="s">
        <v>7478</v>
      </c>
      <c r="B1710" s="9" t="s">
        <v>7479</v>
      </c>
      <c r="D1710" s="9" t="s">
        <v>7480</v>
      </c>
      <c r="G1710" s="6" t="s">
        <v>7480</v>
      </c>
      <c r="J1710" s="9" t="s">
        <v>7481</v>
      </c>
      <c r="O1710" s="10">
        <f>IFERROR(__xludf.DUMMYFUNCTION("VALUE(REGEXEXTRACT(A1710, ""\d+""))"),2011.0)</f>
        <v>2011</v>
      </c>
    </row>
    <row r="1711">
      <c r="A1711" s="9" t="s">
        <v>7482</v>
      </c>
      <c r="B1711" s="9" t="s">
        <v>7483</v>
      </c>
      <c r="D1711" s="9" t="s">
        <v>7484</v>
      </c>
      <c r="G1711" s="6" t="s">
        <v>7484</v>
      </c>
      <c r="J1711" s="9" t="s">
        <v>7485</v>
      </c>
      <c r="O1711" s="10">
        <f>IFERROR(__xludf.DUMMYFUNCTION("VALUE(REGEXEXTRACT(A1711, ""\d+""))"),2012.0)</f>
        <v>2012</v>
      </c>
    </row>
    <row r="1712">
      <c r="A1712" s="9" t="s">
        <v>7486</v>
      </c>
      <c r="B1712" s="9" t="s">
        <v>7487</v>
      </c>
      <c r="D1712" s="9" t="s">
        <v>7488</v>
      </c>
      <c r="G1712" s="6" t="s">
        <v>7488</v>
      </c>
      <c r="J1712" s="9" t="s">
        <v>7489</v>
      </c>
      <c r="O1712" s="10">
        <f>IFERROR(__xludf.DUMMYFUNCTION("VALUE(REGEXEXTRACT(A1712, ""\d+""))"),2013.0)</f>
        <v>2013</v>
      </c>
    </row>
    <row r="1713">
      <c r="A1713" s="9" t="s">
        <v>7490</v>
      </c>
      <c r="B1713" s="9" t="s">
        <v>7491</v>
      </c>
      <c r="D1713" s="9" t="s">
        <v>7492</v>
      </c>
      <c r="G1713" s="6" t="s">
        <v>7492</v>
      </c>
      <c r="J1713" s="9" t="s">
        <v>7493</v>
      </c>
      <c r="O1713" s="10">
        <f>IFERROR(__xludf.DUMMYFUNCTION("VALUE(REGEXEXTRACT(A1713, ""\d+""))"),2014.0)</f>
        <v>2014</v>
      </c>
    </row>
    <row r="1714">
      <c r="A1714" s="9" t="s">
        <v>7494</v>
      </c>
      <c r="B1714" s="9" t="s">
        <v>7495</v>
      </c>
      <c r="D1714" s="9" t="s">
        <v>7496</v>
      </c>
      <c r="G1714" s="6" t="s">
        <v>7496</v>
      </c>
      <c r="J1714" s="9" t="s">
        <v>7497</v>
      </c>
      <c r="O1714" s="10">
        <f>IFERROR(__xludf.DUMMYFUNCTION("VALUE(REGEXEXTRACT(A1714, ""\d+""))"),2015.0)</f>
        <v>2015</v>
      </c>
    </row>
    <row r="1715">
      <c r="A1715" s="9" t="s">
        <v>7498</v>
      </c>
      <c r="B1715" s="9" t="s">
        <v>7499</v>
      </c>
      <c r="D1715" s="9" t="s">
        <v>7500</v>
      </c>
      <c r="G1715" s="6" t="s">
        <v>7501</v>
      </c>
      <c r="J1715" s="9" t="s">
        <v>7502</v>
      </c>
      <c r="O1715" s="10">
        <f>IFERROR(__xludf.DUMMYFUNCTION("VALUE(REGEXEXTRACT(A1715, ""\d+""))"),2016.0)</f>
        <v>2016</v>
      </c>
    </row>
    <row r="1716">
      <c r="A1716" s="9" t="s">
        <v>7503</v>
      </c>
      <c r="B1716" s="9" t="s">
        <v>7504</v>
      </c>
      <c r="D1716" s="9" t="s">
        <v>7505</v>
      </c>
      <c r="G1716" s="6" t="s">
        <v>7506</v>
      </c>
      <c r="J1716" s="9" t="s">
        <v>7507</v>
      </c>
      <c r="O1716" s="10">
        <f>IFERROR(__xludf.DUMMYFUNCTION("VALUE(REGEXEXTRACT(A1716, ""\d+""))"),2017.0)</f>
        <v>2017</v>
      </c>
    </row>
    <row r="1717">
      <c r="A1717" s="9" t="s">
        <v>7508</v>
      </c>
      <c r="B1717" s="9" t="s">
        <v>7509</v>
      </c>
      <c r="D1717" s="9" t="s">
        <v>7510</v>
      </c>
      <c r="G1717" s="6" t="s">
        <v>7511</v>
      </c>
      <c r="J1717" s="9" t="s">
        <v>7512</v>
      </c>
      <c r="O1717" s="10">
        <f>IFERROR(__xludf.DUMMYFUNCTION("VALUE(REGEXEXTRACT(A1717, ""\d+""))"),2018.0)</f>
        <v>2018</v>
      </c>
    </row>
    <row r="1718">
      <c r="A1718" s="9" t="s">
        <v>7513</v>
      </c>
      <c r="B1718" s="9" t="s">
        <v>7514</v>
      </c>
      <c r="D1718" s="9" t="s">
        <v>7515</v>
      </c>
      <c r="G1718" s="6" t="s">
        <v>7516</v>
      </c>
      <c r="J1718" s="9" t="s">
        <v>7517</v>
      </c>
      <c r="O1718" s="10">
        <f>IFERROR(__xludf.DUMMYFUNCTION("VALUE(REGEXEXTRACT(A1718, ""\d+""))"),2019.0)</f>
        <v>2019</v>
      </c>
    </row>
    <row r="1719">
      <c r="A1719" s="9" t="s">
        <v>7518</v>
      </c>
      <c r="B1719" s="9" t="s">
        <v>7519</v>
      </c>
      <c r="D1719" s="9" t="s">
        <v>3268</v>
      </c>
      <c r="G1719" s="6" t="s">
        <v>7520</v>
      </c>
      <c r="J1719" s="9" t="s">
        <v>3270</v>
      </c>
      <c r="O1719" s="10">
        <f>IFERROR(__xludf.DUMMYFUNCTION("VALUE(REGEXEXTRACT(A1719, ""\d+""))"),2020.0)</f>
        <v>2020</v>
      </c>
    </row>
    <row r="1720">
      <c r="A1720" s="9" t="s">
        <v>7521</v>
      </c>
      <c r="B1720" s="9" t="s">
        <v>7522</v>
      </c>
      <c r="D1720" s="9" t="s">
        <v>7523</v>
      </c>
      <c r="G1720" s="6" t="s">
        <v>7524</v>
      </c>
      <c r="J1720" s="9" t="s">
        <v>7525</v>
      </c>
      <c r="O1720" s="10">
        <f>IFERROR(__xludf.DUMMYFUNCTION("VALUE(REGEXEXTRACT(A1720, ""\d+""))"),2021.0)</f>
        <v>2021</v>
      </c>
    </row>
    <row r="1721">
      <c r="A1721" s="9" t="s">
        <v>7526</v>
      </c>
      <c r="B1721" s="9" t="s">
        <v>7527</v>
      </c>
      <c r="D1721" s="9" t="s">
        <v>3278</v>
      </c>
      <c r="G1721" s="6" t="s">
        <v>7528</v>
      </c>
      <c r="J1721" s="9" t="s">
        <v>3280</v>
      </c>
      <c r="O1721" s="10">
        <f>IFERROR(__xludf.DUMMYFUNCTION("VALUE(REGEXEXTRACT(A1721, ""\d+""))"),2022.0)</f>
        <v>2022</v>
      </c>
    </row>
    <row r="1722">
      <c r="A1722" s="9" t="s">
        <v>7529</v>
      </c>
      <c r="B1722" s="9" t="s">
        <v>7530</v>
      </c>
      <c r="D1722" s="9" t="s">
        <v>3283</v>
      </c>
      <c r="G1722" s="6" t="s">
        <v>7531</v>
      </c>
      <c r="J1722" s="9" t="s">
        <v>3285</v>
      </c>
      <c r="O1722" s="10">
        <f>IFERROR(__xludf.DUMMYFUNCTION("VALUE(REGEXEXTRACT(A1722, ""\d+""))"),2023.0)</f>
        <v>2023</v>
      </c>
    </row>
    <row r="1723">
      <c r="A1723" s="9" t="s">
        <v>7532</v>
      </c>
      <c r="B1723" s="9" t="s">
        <v>7533</v>
      </c>
      <c r="D1723" s="9" t="s">
        <v>3288</v>
      </c>
      <c r="G1723" s="6" t="s">
        <v>7534</v>
      </c>
      <c r="J1723" s="9" t="s">
        <v>3290</v>
      </c>
      <c r="O1723" s="10">
        <f>IFERROR(__xludf.DUMMYFUNCTION("VALUE(REGEXEXTRACT(A1723, ""\d+""))"),2024.0)</f>
        <v>2024</v>
      </c>
    </row>
    <row r="1724">
      <c r="A1724" s="9" t="s">
        <v>7535</v>
      </c>
      <c r="B1724" s="9" t="s">
        <v>7536</v>
      </c>
      <c r="D1724" s="9" t="s">
        <v>3293</v>
      </c>
      <c r="G1724" s="6" t="s">
        <v>7537</v>
      </c>
      <c r="J1724" s="9" t="s">
        <v>3295</v>
      </c>
      <c r="O1724" s="10">
        <f>IFERROR(__xludf.DUMMYFUNCTION("VALUE(REGEXEXTRACT(A1724, ""\d+""))"),2025.0)</f>
        <v>2025</v>
      </c>
    </row>
    <row r="1725">
      <c r="A1725" s="9" t="s">
        <v>7538</v>
      </c>
      <c r="B1725" s="9" t="s">
        <v>7539</v>
      </c>
      <c r="D1725" s="9" t="s">
        <v>7540</v>
      </c>
      <c r="G1725" s="6" t="s">
        <v>7541</v>
      </c>
      <c r="J1725" s="9" t="s">
        <v>7542</v>
      </c>
      <c r="O1725" s="10">
        <f>IFERROR(__xludf.DUMMYFUNCTION("VALUE(REGEXEXTRACT(A1725, ""\d+""))"),2026.0)</f>
        <v>2026</v>
      </c>
    </row>
    <row r="1726">
      <c r="A1726" s="9" t="s">
        <v>7543</v>
      </c>
      <c r="B1726" s="9" t="s">
        <v>7544</v>
      </c>
      <c r="D1726" s="9" t="s">
        <v>7545</v>
      </c>
      <c r="G1726" s="6" t="s">
        <v>7546</v>
      </c>
      <c r="J1726" s="9" t="s">
        <v>7547</v>
      </c>
      <c r="O1726" s="10">
        <f>IFERROR(__xludf.DUMMYFUNCTION("VALUE(REGEXEXTRACT(A1726, ""\d+""))"),2027.0)</f>
        <v>2027</v>
      </c>
    </row>
    <row r="1727">
      <c r="A1727" s="9" t="s">
        <v>7548</v>
      </c>
      <c r="B1727" s="9" t="s">
        <v>7549</v>
      </c>
      <c r="D1727" s="9" t="s">
        <v>7550</v>
      </c>
      <c r="G1727" s="6" t="s">
        <v>7551</v>
      </c>
      <c r="J1727" s="9" t="s">
        <v>7552</v>
      </c>
      <c r="O1727" s="10">
        <f>IFERROR(__xludf.DUMMYFUNCTION("VALUE(REGEXEXTRACT(A1727, ""\d+""))"),2028.0)</f>
        <v>2028</v>
      </c>
    </row>
    <row r="1728">
      <c r="A1728" s="9" t="s">
        <v>7553</v>
      </c>
      <c r="B1728" s="9" t="s">
        <v>7554</v>
      </c>
      <c r="D1728" s="9" t="s">
        <v>7555</v>
      </c>
      <c r="G1728" s="6" t="s">
        <v>7555</v>
      </c>
      <c r="J1728" s="9" t="s">
        <v>7556</v>
      </c>
      <c r="O1728" s="10">
        <f>IFERROR(__xludf.DUMMYFUNCTION("VALUE(REGEXEXTRACT(A1728, ""\d+""))"),2029.0)</f>
        <v>2029</v>
      </c>
    </row>
    <row r="1729">
      <c r="A1729" s="9" t="s">
        <v>7557</v>
      </c>
      <c r="B1729" s="9" t="s">
        <v>7558</v>
      </c>
      <c r="D1729" s="9" t="s">
        <v>7559</v>
      </c>
      <c r="G1729" s="6" t="s">
        <v>7559</v>
      </c>
      <c r="J1729" s="9" t="s">
        <v>7560</v>
      </c>
      <c r="O1729" s="10">
        <f>IFERROR(__xludf.DUMMYFUNCTION("VALUE(REGEXEXTRACT(A1729, ""\d+""))"),2030.0)</f>
        <v>2030</v>
      </c>
    </row>
    <row r="1730">
      <c r="A1730" s="9" t="s">
        <v>7561</v>
      </c>
      <c r="B1730" s="9" t="s">
        <v>7562</v>
      </c>
      <c r="D1730" s="9" t="s">
        <v>3319</v>
      </c>
      <c r="G1730" s="6" t="s">
        <v>3319</v>
      </c>
      <c r="J1730" s="9" t="s">
        <v>3321</v>
      </c>
      <c r="O1730" s="10">
        <f>IFERROR(__xludf.DUMMYFUNCTION("VALUE(REGEXEXTRACT(A1730, ""\d+""))"),2031.0)</f>
        <v>2031</v>
      </c>
    </row>
    <row r="1731">
      <c r="A1731" s="9" t="s">
        <v>7563</v>
      </c>
      <c r="B1731" s="9" t="s">
        <v>7564</v>
      </c>
      <c r="D1731" s="9" t="s">
        <v>3323</v>
      </c>
      <c r="G1731" s="6" t="s">
        <v>3323</v>
      </c>
      <c r="J1731" s="9" t="s">
        <v>3324</v>
      </c>
      <c r="O1731" s="10">
        <f>IFERROR(__xludf.DUMMYFUNCTION("VALUE(REGEXEXTRACT(A1731, ""\d+""))"),2032.0)</f>
        <v>2032</v>
      </c>
    </row>
    <row r="1732">
      <c r="A1732" s="9" t="s">
        <v>7565</v>
      </c>
      <c r="B1732" s="9" t="s">
        <v>7566</v>
      </c>
      <c r="D1732" s="9" t="s">
        <v>3327</v>
      </c>
      <c r="G1732" s="6" t="s">
        <v>3327</v>
      </c>
      <c r="J1732" s="9" t="s">
        <v>3329</v>
      </c>
      <c r="O1732" s="10">
        <f>IFERROR(__xludf.DUMMYFUNCTION("VALUE(REGEXEXTRACT(A1732, ""\d+""))"),2033.0)</f>
        <v>2033</v>
      </c>
    </row>
    <row r="1733">
      <c r="A1733" s="9" t="s">
        <v>7567</v>
      </c>
      <c r="B1733" s="9" t="s">
        <v>7568</v>
      </c>
      <c r="D1733" s="9" t="s">
        <v>7569</v>
      </c>
      <c r="G1733" s="6" t="s">
        <v>7569</v>
      </c>
      <c r="J1733" s="9" t="s">
        <v>7570</v>
      </c>
      <c r="O1733" s="10">
        <f>IFERROR(__xludf.DUMMYFUNCTION("VALUE(REGEXEXTRACT(A1733, ""\d+""))"),2034.0)</f>
        <v>2034</v>
      </c>
    </row>
    <row r="1734">
      <c r="A1734" s="9" t="s">
        <v>7571</v>
      </c>
      <c r="B1734" s="9" t="s">
        <v>7572</v>
      </c>
      <c r="D1734" s="9" t="s">
        <v>7573</v>
      </c>
      <c r="G1734" s="6" t="s">
        <v>7573</v>
      </c>
      <c r="J1734" s="9" t="s">
        <v>7574</v>
      </c>
      <c r="O1734" s="10">
        <f>IFERROR(__xludf.DUMMYFUNCTION("VALUE(REGEXEXTRACT(A1734, ""\d+""))"),2035.0)</f>
        <v>2035</v>
      </c>
    </row>
    <row r="1735">
      <c r="A1735" s="9" t="s">
        <v>7575</v>
      </c>
      <c r="B1735" s="9" t="s">
        <v>7576</v>
      </c>
      <c r="D1735" s="9" t="s">
        <v>7577</v>
      </c>
      <c r="G1735" s="6" t="s">
        <v>7577</v>
      </c>
      <c r="J1735" s="9" t="s">
        <v>7578</v>
      </c>
      <c r="O1735" s="10">
        <f>IFERROR(__xludf.DUMMYFUNCTION("VALUE(REGEXEXTRACT(A1735, ""\d+""))"),2036.0)</f>
        <v>2036</v>
      </c>
    </row>
    <row r="1736">
      <c r="A1736" s="9" t="s">
        <v>7579</v>
      </c>
      <c r="B1736" s="9" t="s">
        <v>7580</v>
      </c>
      <c r="D1736" s="9" t="s">
        <v>7581</v>
      </c>
      <c r="G1736" s="6" t="s">
        <v>7581</v>
      </c>
      <c r="J1736" s="9" t="s">
        <v>7582</v>
      </c>
      <c r="O1736" s="10">
        <f>IFERROR(__xludf.DUMMYFUNCTION("VALUE(REGEXEXTRACT(A1736, ""\d+""))"),2037.0)</f>
        <v>2037</v>
      </c>
    </row>
    <row r="1737">
      <c r="A1737" s="9" t="s">
        <v>7583</v>
      </c>
      <c r="B1737" s="9" t="s">
        <v>7584</v>
      </c>
      <c r="D1737" s="9" t="s">
        <v>7585</v>
      </c>
      <c r="G1737" s="6" t="s">
        <v>7585</v>
      </c>
      <c r="J1737" s="9" t="s">
        <v>7586</v>
      </c>
      <c r="O1737" s="10">
        <f>IFERROR(__xludf.DUMMYFUNCTION("VALUE(REGEXEXTRACT(A1737, ""\d+""))"),2038.0)</f>
        <v>2038</v>
      </c>
    </row>
    <row r="1738">
      <c r="A1738" s="9" t="s">
        <v>7587</v>
      </c>
      <c r="B1738" s="9" t="s">
        <v>7588</v>
      </c>
      <c r="D1738" s="9" t="s">
        <v>7589</v>
      </c>
      <c r="G1738" s="6" t="s">
        <v>7589</v>
      </c>
      <c r="J1738" s="9" t="s">
        <v>7590</v>
      </c>
      <c r="O1738" s="10">
        <f>IFERROR(__xludf.DUMMYFUNCTION("VALUE(REGEXEXTRACT(A1738, ""\d+""))"),2039.0)</f>
        <v>2039</v>
      </c>
    </row>
    <row r="1739">
      <c r="A1739" s="9" t="s">
        <v>7591</v>
      </c>
      <c r="B1739" s="9" t="s">
        <v>7592</v>
      </c>
      <c r="D1739" s="9" t="s">
        <v>7593</v>
      </c>
      <c r="G1739" s="6" t="s">
        <v>7593</v>
      </c>
      <c r="J1739" s="9" t="s">
        <v>7594</v>
      </c>
      <c r="O1739" s="10">
        <f>IFERROR(__xludf.DUMMYFUNCTION("VALUE(REGEXEXTRACT(A1739, ""\d+""))"),2040.0)</f>
        <v>2040</v>
      </c>
    </row>
    <row r="1740">
      <c r="A1740" s="9" t="s">
        <v>7595</v>
      </c>
      <c r="B1740" s="9" t="s">
        <v>7596</v>
      </c>
      <c r="D1740" s="9" t="s">
        <v>7597</v>
      </c>
      <c r="G1740" s="6" t="s">
        <v>7597</v>
      </c>
      <c r="J1740" s="9" t="s">
        <v>3351</v>
      </c>
      <c r="O1740" s="10">
        <f>IFERROR(__xludf.DUMMYFUNCTION("VALUE(REGEXEXTRACT(A1740, ""\d+""))"),2041.0)</f>
        <v>2041</v>
      </c>
    </row>
    <row r="1741">
      <c r="A1741" s="9" t="s">
        <v>7598</v>
      </c>
      <c r="B1741" s="9" t="s">
        <v>7599</v>
      </c>
      <c r="D1741" s="9" t="s">
        <v>7600</v>
      </c>
      <c r="G1741" s="6" t="s">
        <v>7601</v>
      </c>
      <c r="J1741" s="9" t="s">
        <v>7602</v>
      </c>
      <c r="O1741" s="10">
        <f>IFERROR(__xludf.DUMMYFUNCTION("VALUE(REGEXEXTRACT(A1741, ""\d+""))"),2042.0)</f>
        <v>2042</v>
      </c>
    </row>
    <row r="1742">
      <c r="A1742" s="9" t="s">
        <v>7603</v>
      </c>
      <c r="B1742" s="9" t="s">
        <v>7604</v>
      </c>
      <c r="D1742" s="9" t="s">
        <v>7605</v>
      </c>
      <c r="G1742" s="6" t="s">
        <v>7606</v>
      </c>
      <c r="J1742" s="9" t="s">
        <v>7607</v>
      </c>
      <c r="O1742" s="10">
        <f>IFERROR(__xludf.DUMMYFUNCTION("VALUE(REGEXEXTRACT(A1742, ""\d+""))"),2043.0)</f>
        <v>2043</v>
      </c>
    </row>
    <row r="1743">
      <c r="A1743" s="9" t="s">
        <v>7608</v>
      </c>
      <c r="B1743" s="9" t="s">
        <v>7609</v>
      </c>
      <c r="D1743" s="9" t="s">
        <v>7610</v>
      </c>
      <c r="G1743" s="6" t="s">
        <v>7611</v>
      </c>
      <c r="J1743" s="9" t="s">
        <v>7612</v>
      </c>
      <c r="O1743" s="10">
        <f>IFERROR(__xludf.DUMMYFUNCTION("VALUE(REGEXEXTRACT(A1743, ""\d+""))"),2044.0)</f>
        <v>2044</v>
      </c>
    </row>
    <row r="1744">
      <c r="A1744" s="9" t="s">
        <v>7613</v>
      </c>
      <c r="B1744" s="9" t="s">
        <v>7614</v>
      </c>
      <c r="D1744" s="9" t="s">
        <v>7615</v>
      </c>
      <c r="G1744" s="6" t="s">
        <v>7616</v>
      </c>
      <c r="J1744" s="9" t="s">
        <v>7617</v>
      </c>
      <c r="O1744" s="10">
        <f>IFERROR(__xludf.DUMMYFUNCTION("VALUE(REGEXEXTRACT(A1744, ""\d+""))"),2045.0)</f>
        <v>2045</v>
      </c>
    </row>
    <row r="1745">
      <c r="A1745" s="9" t="s">
        <v>7618</v>
      </c>
      <c r="B1745" s="9" t="s">
        <v>7619</v>
      </c>
      <c r="D1745" s="9" t="s">
        <v>7620</v>
      </c>
      <c r="G1745" s="6" t="s">
        <v>7621</v>
      </c>
      <c r="J1745" s="9" t="s">
        <v>7622</v>
      </c>
      <c r="O1745" s="10">
        <f>IFERROR(__xludf.DUMMYFUNCTION("VALUE(REGEXEXTRACT(A1745, ""\d+""))"),2046.0)</f>
        <v>2046</v>
      </c>
    </row>
    <row r="1746">
      <c r="A1746" s="9" t="s">
        <v>7623</v>
      </c>
      <c r="B1746" s="9" t="s">
        <v>7624</v>
      </c>
      <c r="D1746" s="9" t="s">
        <v>7625</v>
      </c>
      <c r="G1746" s="6" t="s">
        <v>7626</v>
      </c>
      <c r="J1746" s="9" t="s">
        <v>7627</v>
      </c>
      <c r="O1746" s="10">
        <f>IFERROR(__xludf.DUMMYFUNCTION("VALUE(REGEXEXTRACT(A1746, ""\d+""))"),2047.0)</f>
        <v>2047</v>
      </c>
    </row>
    <row r="1747">
      <c r="A1747" s="9" t="s">
        <v>7628</v>
      </c>
      <c r="B1747" s="9" t="s">
        <v>7629</v>
      </c>
      <c r="D1747" s="9" t="s">
        <v>7630</v>
      </c>
      <c r="G1747" s="6" t="s">
        <v>7631</v>
      </c>
      <c r="J1747" s="9" t="s">
        <v>7632</v>
      </c>
      <c r="O1747" s="10">
        <f>IFERROR(__xludf.DUMMYFUNCTION("VALUE(REGEXEXTRACT(A1747, ""\d+""))"),2048.0)</f>
        <v>2048</v>
      </c>
    </row>
    <row r="1748">
      <c r="A1748" s="9" t="s">
        <v>7633</v>
      </c>
      <c r="B1748" s="9" t="s">
        <v>7634</v>
      </c>
      <c r="D1748" s="9" t="s">
        <v>7635</v>
      </c>
      <c r="G1748" s="6" t="s">
        <v>7636</v>
      </c>
      <c r="J1748" s="9" t="s">
        <v>7637</v>
      </c>
      <c r="O1748" s="10">
        <f>IFERROR(__xludf.DUMMYFUNCTION("VALUE(REGEXEXTRACT(A1748, ""\d+""))"),2049.0)</f>
        <v>2049</v>
      </c>
    </row>
    <row r="1749">
      <c r="A1749" s="9" t="s">
        <v>7638</v>
      </c>
      <c r="B1749" s="9" t="s">
        <v>7639</v>
      </c>
      <c r="D1749" s="9" t="s">
        <v>7640</v>
      </c>
      <c r="G1749" s="6" t="s">
        <v>7641</v>
      </c>
      <c r="J1749" s="9" t="s">
        <v>7642</v>
      </c>
      <c r="O1749" s="10">
        <f>IFERROR(__xludf.DUMMYFUNCTION("VALUE(REGEXEXTRACT(A1749, ""\d+""))"),2050.0)</f>
        <v>2050</v>
      </c>
    </row>
    <row r="1750">
      <c r="A1750" s="9" t="s">
        <v>7643</v>
      </c>
      <c r="B1750" s="9" t="s">
        <v>7644</v>
      </c>
      <c r="D1750" s="9" t="s">
        <v>7645</v>
      </c>
      <c r="G1750" s="6" t="s">
        <v>7646</v>
      </c>
      <c r="J1750" s="9" t="s">
        <v>7647</v>
      </c>
      <c r="O1750" s="10">
        <f>IFERROR(__xludf.DUMMYFUNCTION("VALUE(REGEXEXTRACT(A1750, ""\d+""))"),2051.0)</f>
        <v>2051</v>
      </c>
    </row>
    <row r="1751">
      <c r="A1751" s="9" t="s">
        <v>7648</v>
      </c>
      <c r="B1751" s="9" t="s">
        <v>7649</v>
      </c>
      <c r="D1751" s="9" t="s">
        <v>7650</v>
      </c>
      <c r="G1751" s="6" t="s">
        <v>7651</v>
      </c>
      <c r="J1751" s="9" t="s">
        <v>7652</v>
      </c>
      <c r="O1751" s="10">
        <f>IFERROR(__xludf.DUMMYFUNCTION("VALUE(REGEXEXTRACT(A1751, ""\d+""))"),2052.0)</f>
        <v>2052</v>
      </c>
    </row>
    <row r="1752">
      <c r="A1752" s="9" t="s">
        <v>7653</v>
      </c>
      <c r="B1752" s="9" t="s">
        <v>7654</v>
      </c>
      <c r="D1752" s="9" t="s">
        <v>7655</v>
      </c>
      <c r="G1752" s="6" t="s">
        <v>7656</v>
      </c>
      <c r="J1752" s="9" t="s">
        <v>7657</v>
      </c>
      <c r="O1752" s="10">
        <f>IFERROR(__xludf.DUMMYFUNCTION("VALUE(REGEXEXTRACT(A1752, ""\d+""))"),2053.0)</f>
        <v>2053</v>
      </c>
    </row>
    <row r="1753">
      <c r="A1753" s="9" t="s">
        <v>7658</v>
      </c>
      <c r="B1753" s="9" t="s">
        <v>7659</v>
      </c>
      <c r="D1753" s="9" t="s">
        <v>7660</v>
      </c>
      <c r="G1753" s="6" t="s">
        <v>7661</v>
      </c>
      <c r="J1753" s="9" t="s">
        <v>7662</v>
      </c>
      <c r="O1753" s="10">
        <f>IFERROR(__xludf.DUMMYFUNCTION("VALUE(REGEXEXTRACT(A1753, ""\d+""))"),2054.0)</f>
        <v>2054</v>
      </c>
    </row>
    <row r="1754">
      <c r="A1754" s="9" t="s">
        <v>7663</v>
      </c>
      <c r="B1754" s="9" t="s">
        <v>7664</v>
      </c>
      <c r="D1754" s="9" t="s">
        <v>7665</v>
      </c>
      <c r="G1754" s="6" t="s">
        <v>7666</v>
      </c>
      <c r="J1754" s="9" t="s">
        <v>7667</v>
      </c>
      <c r="O1754" s="10">
        <f>IFERROR(__xludf.DUMMYFUNCTION("VALUE(REGEXEXTRACT(A1754, ""\d+""))"),2055.0)</f>
        <v>2055</v>
      </c>
    </row>
    <row r="1755">
      <c r="A1755" s="9" t="s">
        <v>7668</v>
      </c>
      <c r="B1755" s="9" t="s">
        <v>7669</v>
      </c>
      <c r="D1755" s="9" t="s">
        <v>7670</v>
      </c>
      <c r="G1755" s="6" t="s">
        <v>7671</v>
      </c>
      <c r="J1755" s="9" t="s">
        <v>7672</v>
      </c>
      <c r="O1755" s="10">
        <f>IFERROR(__xludf.DUMMYFUNCTION("VALUE(REGEXEXTRACT(A1755, ""\d+""))"),2056.0)</f>
        <v>2056</v>
      </c>
    </row>
    <row r="1756">
      <c r="A1756" s="9" t="s">
        <v>7673</v>
      </c>
      <c r="B1756" s="9" t="s">
        <v>7674</v>
      </c>
      <c r="D1756" s="9" t="s">
        <v>7675</v>
      </c>
      <c r="G1756" s="6" t="s">
        <v>7676</v>
      </c>
      <c r="J1756" s="9" t="s">
        <v>7677</v>
      </c>
      <c r="O1756" s="10">
        <f>IFERROR(__xludf.DUMMYFUNCTION("VALUE(REGEXEXTRACT(A1756, ""\d+""))"),2057.0)</f>
        <v>2057</v>
      </c>
    </row>
    <row r="1757">
      <c r="A1757" s="9" t="s">
        <v>7678</v>
      </c>
      <c r="B1757" s="9" t="s">
        <v>7679</v>
      </c>
      <c r="D1757" s="9" t="s">
        <v>7680</v>
      </c>
      <c r="G1757" s="6" t="s">
        <v>7681</v>
      </c>
      <c r="J1757" s="9" t="s">
        <v>7682</v>
      </c>
      <c r="O1757" s="10">
        <f>IFERROR(__xludf.DUMMYFUNCTION("VALUE(REGEXEXTRACT(A1757, ""\d+""))"),2058.0)</f>
        <v>2058</v>
      </c>
    </row>
    <row r="1758">
      <c r="A1758" s="9" t="s">
        <v>7683</v>
      </c>
      <c r="B1758" s="9" t="s">
        <v>7684</v>
      </c>
      <c r="D1758" s="9" t="s">
        <v>7685</v>
      </c>
      <c r="G1758" s="6" t="s">
        <v>7686</v>
      </c>
      <c r="J1758" s="9" t="s">
        <v>7687</v>
      </c>
      <c r="O1758" s="10">
        <f>IFERROR(__xludf.DUMMYFUNCTION("VALUE(REGEXEXTRACT(A1758, ""\d+""))"),2059.0)</f>
        <v>2059</v>
      </c>
    </row>
    <row r="1759">
      <c r="A1759" s="9" t="s">
        <v>7688</v>
      </c>
      <c r="B1759" s="9" t="s">
        <v>7689</v>
      </c>
      <c r="D1759" s="9" t="s">
        <v>7690</v>
      </c>
      <c r="G1759" s="6" t="s">
        <v>7691</v>
      </c>
      <c r="J1759" s="9" t="s">
        <v>7692</v>
      </c>
      <c r="O1759" s="10">
        <f>IFERROR(__xludf.DUMMYFUNCTION("VALUE(REGEXEXTRACT(A1759, ""\d+""))"),2060.0)</f>
        <v>2060</v>
      </c>
    </row>
    <row r="1760">
      <c r="A1760" s="9" t="s">
        <v>7693</v>
      </c>
      <c r="B1760" s="9" t="s">
        <v>7694</v>
      </c>
      <c r="D1760" s="9" t="s">
        <v>7695</v>
      </c>
      <c r="G1760" s="6" t="s">
        <v>7696</v>
      </c>
      <c r="J1760" s="9" t="s">
        <v>7697</v>
      </c>
      <c r="O1760" s="10">
        <f>IFERROR(__xludf.DUMMYFUNCTION("VALUE(REGEXEXTRACT(A1760, ""\d+""))"),2061.0)</f>
        <v>2061</v>
      </c>
    </row>
    <row r="1761">
      <c r="A1761" s="9" t="s">
        <v>7698</v>
      </c>
      <c r="B1761" s="9" t="s">
        <v>7699</v>
      </c>
      <c r="D1761" s="9" t="s">
        <v>7700</v>
      </c>
      <c r="G1761" s="6" t="s">
        <v>7701</v>
      </c>
      <c r="J1761" s="9" t="s">
        <v>7702</v>
      </c>
      <c r="O1761" s="10">
        <f>IFERROR(__xludf.DUMMYFUNCTION("VALUE(REGEXEXTRACT(A1761, ""\d+""))"),2062.0)</f>
        <v>2062</v>
      </c>
    </row>
    <row r="1762">
      <c r="A1762" s="9" t="s">
        <v>7703</v>
      </c>
      <c r="B1762" s="9" t="s">
        <v>7704</v>
      </c>
      <c r="D1762" s="9" t="s">
        <v>7705</v>
      </c>
      <c r="G1762" s="6" t="s">
        <v>7706</v>
      </c>
      <c r="J1762" s="9" t="s">
        <v>7707</v>
      </c>
      <c r="O1762" s="10">
        <f>IFERROR(__xludf.DUMMYFUNCTION("VALUE(REGEXEXTRACT(A1762, ""\d+""))"),2063.0)</f>
        <v>2063</v>
      </c>
    </row>
    <row r="1763">
      <c r="A1763" s="9" t="s">
        <v>7708</v>
      </c>
      <c r="B1763" s="9" t="s">
        <v>7709</v>
      </c>
      <c r="D1763" s="9" t="s">
        <v>7710</v>
      </c>
      <c r="G1763" s="6" t="s">
        <v>7711</v>
      </c>
      <c r="J1763" s="9" t="s">
        <v>7712</v>
      </c>
      <c r="O1763" s="10">
        <f>IFERROR(__xludf.DUMMYFUNCTION("VALUE(REGEXEXTRACT(A1763, ""\d+""))"),2064.0)</f>
        <v>2064</v>
      </c>
    </row>
    <row r="1764">
      <c r="A1764" s="9" t="s">
        <v>7713</v>
      </c>
      <c r="B1764" s="9" t="s">
        <v>7714</v>
      </c>
      <c r="D1764" s="9" t="s">
        <v>7715</v>
      </c>
      <c r="G1764" s="6" t="s">
        <v>7716</v>
      </c>
      <c r="J1764" s="9" t="s">
        <v>7717</v>
      </c>
      <c r="O1764" s="10">
        <f>IFERROR(__xludf.DUMMYFUNCTION("VALUE(REGEXEXTRACT(A1764, ""\d+""))"),2065.0)</f>
        <v>2065</v>
      </c>
    </row>
    <row r="1765">
      <c r="A1765" s="9" t="s">
        <v>7718</v>
      </c>
      <c r="B1765" s="9" t="s">
        <v>7719</v>
      </c>
      <c r="D1765" s="9" t="s">
        <v>7720</v>
      </c>
      <c r="G1765" s="6" t="s">
        <v>7721</v>
      </c>
      <c r="J1765" s="9" t="s">
        <v>7722</v>
      </c>
      <c r="O1765" s="10">
        <f>IFERROR(__xludf.DUMMYFUNCTION("VALUE(REGEXEXTRACT(A1765, ""\d+""))"),2066.0)</f>
        <v>2066</v>
      </c>
    </row>
    <row r="1766">
      <c r="A1766" s="9" t="s">
        <v>7723</v>
      </c>
      <c r="B1766" s="9" t="s">
        <v>7724</v>
      </c>
      <c r="D1766" s="9" t="s">
        <v>7725</v>
      </c>
      <c r="G1766" s="6" t="s">
        <v>7726</v>
      </c>
      <c r="J1766" s="9" t="s">
        <v>7727</v>
      </c>
      <c r="O1766" s="10">
        <f>IFERROR(__xludf.DUMMYFUNCTION("VALUE(REGEXEXTRACT(A1766, ""\d+""))"),2067.0)</f>
        <v>2067</v>
      </c>
    </row>
    <row r="1767">
      <c r="A1767" s="9" t="s">
        <v>7728</v>
      </c>
      <c r="B1767" s="9" t="s">
        <v>7729</v>
      </c>
      <c r="D1767" s="9" t="s">
        <v>7730</v>
      </c>
      <c r="G1767" s="6" t="s">
        <v>7731</v>
      </c>
      <c r="J1767" s="9" t="s">
        <v>7732</v>
      </c>
      <c r="O1767" s="10">
        <f>IFERROR(__xludf.DUMMYFUNCTION("VALUE(REGEXEXTRACT(A1767, ""\d+""))"),2068.0)</f>
        <v>2068</v>
      </c>
    </row>
    <row r="1768">
      <c r="A1768" s="9" t="s">
        <v>7733</v>
      </c>
      <c r="B1768" s="9" t="s">
        <v>7734</v>
      </c>
      <c r="D1768" s="9" t="s">
        <v>7735</v>
      </c>
      <c r="G1768" s="6" t="s">
        <v>7736</v>
      </c>
      <c r="J1768" s="9" t="s">
        <v>7737</v>
      </c>
      <c r="O1768" s="10">
        <f>IFERROR(__xludf.DUMMYFUNCTION("VALUE(REGEXEXTRACT(A1768, ""\d+""))"),2069.0)</f>
        <v>2069</v>
      </c>
    </row>
    <row r="1769">
      <c r="A1769" s="9" t="s">
        <v>7738</v>
      </c>
      <c r="B1769" s="9" t="s">
        <v>7739</v>
      </c>
      <c r="D1769" s="9" t="s">
        <v>7740</v>
      </c>
      <c r="G1769" s="6" t="s">
        <v>7741</v>
      </c>
      <c r="J1769" s="9" t="s">
        <v>7742</v>
      </c>
      <c r="O1769" s="10">
        <f>IFERROR(__xludf.DUMMYFUNCTION("VALUE(REGEXEXTRACT(A1769, ""\d+""))"),2070.0)</f>
        <v>2070</v>
      </c>
    </row>
    <row r="1770">
      <c r="A1770" s="9" t="s">
        <v>7743</v>
      </c>
      <c r="B1770" s="9" t="s">
        <v>7744</v>
      </c>
      <c r="D1770" s="9" t="s">
        <v>7745</v>
      </c>
      <c r="G1770" s="6" t="s">
        <v>7746</v>
      </c>
      <c r="J1770" s="9" t="s">
        <v>7747</v>
      </c>
      <c r="O1770" s="10">
        <f>IFERROR(__xludf.DUMMYFUNCTION("VALUE(REGEXEXTRACT(A1770, ""\d+""))"),2071.0)</f>
        <v>2071</v>
      </c>
    </row>
    <row r="1771">
      <c r="A1771" s="9" t="s">
        <v>7748</v>
      </c>
      <c r="B1771" s="9" t="s">
        <v>7749</v>
      </c>
      <c r="D1771" s="9" t="s">
        <v>7750</v>
      </c>
      <c r="G1771" s="6" t="s">
        <v>7751</v>
      </c>
      <c r="J1771" s="9" t="s">
        <v>7752</v>
      </c>
      <c r="O1771" s="10">
        <f>IFERROR(__xludf.DUMMYFUNCTION("VALUE(REGEXEXTRACT(A1771, ""\d+""))"),2072.0)</f>
        <v>2072</v>
      </c>
    </row>
    <row r="1772">
      <c r="A1772" s="9" t="s">
        <v>7753</v>
      </c>
      <c r="B1772" s="9" t="s">
        <v>7754</v>
      </c>
      <c r="D1772" s="9" t="s">
        <v>7755</v>
      </c>
      <c r="G1772" s="6" t="s">
        <v>7756</v>
      </c>
      <c r="J1772" s="9" t="s">
        <v>7757</v>
      </c>
      <c r="O1772" s="10">
        <f>IFERROR(__xludf.DUMMYFUNCTION("VALUE(REGEXEXTRACT(A1772, ""\d+""))"),2073.0)</f>
        <v>2073</v>
      </c>
    </row>
    <row r="1773">
      <c r="A1773" s="9" t="s">
        <v>7758</v>
      </c>
      <c r="B1773" s="9" t="s">
        <v>7759</v>
      </c>
      <c r="D1773" s="9" t="s">
        <v>7760</v>
      </c>
      <c r="G1773" s="6" t="s">
        <v>7761</v>
      </c>
      <c r="J1773" s="9" t="s">
        <v>7762</v>
      </c>
      <c r="O1773" s="10">
        <f>IFERROR(__xludf.DUMMYFUNCTION("VALUE(REGEXEXTRACT(A1773, ""\d+""))"),2074.0)</f>
        <v>2074</v>
      </c>
    </row>
    <row r="1774">
      <c r="A1774" s="9" t="s">
        <v>7763</v>
      </c>
      <c r="B1774" s="9" t="s">
        <v>7764</v>
      </c>
      <c r="D1774" s="9" t="s">
        <v>7765</v>
      </c>
      <c r="G1774" s="6" t="s">
        <v>7766</v>
      </c>
      <c r="J1774" s="9" t="s">
        <v>7767</v>
      </c>
      <c r="O1774" s="10">
        <f>IFERROR(__xludf.DUMMYFUNCTION("VALUE(REGEXEXTRACT(A1774, ""\d+""))"),2075.0)</f>
        <v>2075</v>
      </c>
    </row>
    <row r="1775">
      <c r="A1775" s="9" t="s">
        <v>7768</v>
      </c>
      <c r="B1775" s="9" t="s">
        <v>7769</v>
      </c>
      <c r="D1775" s="9" t="s">
        <v>7770</v>
      </c>
      <c r="G1775" s="6" t="s">
        <v>7771</v>
      </c>
      <c r="J1775" s="9" t="s">
        <v>7772</v>
      </c>
      <c r="O1775" s="10">
        <f>IFERROR(__xludf.DUMMYFUNCTION("VALUE(REGEXEXTRACT(A1775, ""\d+""))"),2076.0)</f>
        <v>2076</v>
      </c>
    </row>
    <row r="1776">
      <c r="A1776" s="9" t="s">
        <v>7773</v>
      </c>
      <c r="B1776" s="9" t="s">
        <v>7774</v>
      </c>
      <c r="D1776" s="9" t="s">
        <v>7775</v>
      </c>
      <c r="G1776" s="6" t="s">
        <v>7776</v>
      </c>
      <c r="J1776" s="9" t="s">
        <v>7777</v>
      </c>
      <c r="O1776" s="10">
        <f>IFERROR(__xludf.DUMMYFUNCTION("VALUE(REGEXEXTRACT(A1776, ""\d+""))"),2077.0)</f>
        <v>2077</v>
      </c>
    </row>
    <row r="1777">
      <c r="A1777" s="9" t="s">
        <v>7778</v>
      </c>
      <c r="B1777" s="9" t="s">
        <v>7779</v>
      </c>
      <c r="D1777" s="9" t="s">
        <v>7780</v>
      </c>
      <c r="G1777" s="6" t="s">
        <v>7781</v>
      </c>
      <c r="J1777" s="9" t="s">
        <v>7782</v>
      </c>
      <c r="O1777" s="10">
        <f>IFERROR(__xludf.DUMMYFUNCTION("VALUE(REGEXEXTRACT(A1777, ""\d+""))"),2078.0)</f>
        <v>2078</v>
      </c>
    </row>
    <row r="1778">
      <c r="A1778" s="9" t="s">
        <v>7783</v>
      </c>
      <c r="B1778" s="9" t="s">
        <v>7784</v>
      </c>
      <c r="D1778" s="9" t="s">
        <v>7785</v>
      </c>
      <c r="G1778" s="6" t="s">
        <v>7786</v>
      </c>
      <c r="J1778" s="9" t="s">
        <v>7787</v>
      </c>
      <c r="O1778" s="10">
        <f>IFERROR(__xludf.DUMMYFUNCTION("VALUE(REGEXEXTRACT(A1778, ""\d+""))"),2079.0)</f>
        <v>2079</v>
      </c>
    </row>
    <row r="1779">
      <c r="A1779" s="9" t="s">
        <v>7788</v>
      </c>
      <c r="B1779" s="9" t="s">
        <v>7789</v>
      </c>
      <c r="D1779" s="9" t="s">
        <v>7790</v>
      </c>
      <c r="G1779" s="6" t="s">
        <v>7791</v>
      </c>
      <c r="J1779" s="9" t="s">
        <v>7792</v>
      </c>
      <c r="O1779" s="10">
        <f>IFERROR(__xludf.DUMMYFUNCTION("VALUE(REGEXEXTRACT(A1779, ""\d+""))"),2080.0)</f>
        <v>2080</v>
      </c>
    </row>
    <row r="1780">
      <c r="A1780" s="9" t="s">
        <v>7793</v>
      </c>
      <c r="B1780" s="9" t="s">
        <v>7794</v>
      </c>
      <c r="D1780" s="9" t="s">
        <v>7795</v>
      </c>
      <c r="G1780" s="6" t="s">
        <v>7796</v>
      </c>
      <c r="J1780" s="9" t="s">
        <v>7797</v>
      </c>
      <c r="O1780" s="10">
        <f>IFERROR(__xludf.DUMMYFUNCTION("VALUE(REGEXEXTRACT(A1780, ""\d+""))"),2081.0)</f>
        <v>2081</v>
      </c>
    </row>
    <row r="1781">
      <c r="A1781" s="9" t="s">
        <v>7798</v>
      </c>
      <c r="B1781" s="9" t="s">
        <v>7799</v>
      </c>
      <c r="D1781" s="9" t="s">
        <v>7800</v>
      </c>
      <c r="G1781" s="6" t="s">
        <v>7801</v>
      </c>
      <c r="J1781" s="9" t="s">
        <v>7802</v>
      </c>
      <c r="O1781" s="10">
        <f>IFERROR(__xludf.DUMMYFUNCTION("VALUE(REGEXEXTRACT(A1781, ""\d+""))"),2082.0)</f>
        <v>2082</v>
      </c>
    </row>
    <row r="1782">
      <c r="A1782" s="9" t="s">
        <v>7803</v>
      </c>
      <c r="B1782" s="9" t="s">
        <v>7804</v>
      </c>
      <c r="D1782" s="9" t="s">
        <v>7805</v>
      </c>
      <c r="G1782" s="6" t="s">
        <v>7806</v>
      </c>
      <c r="J1782" s="9" t="s">
        <v>7807</v>
      </c>
      <c r="O1782" s="10">
        <f>IFERROR(__xludf.DUMMYFUNCTION("VALUE(REGEXEXTRACT(A1782, ""\d+""))"),2083.0)</f>
        <v>2083</v>
      </c>
    </row>
    <row r="1783">
      <c r="A1783" s="9" t="s">
        <v>7808</v>
      </c>
      <c r="B1783" s="9" t="s">
        <v>7809</v>
      </c>
      <c r="D1783" s="9" t="s">
        <v>7810</v>
      </c>
      <c r="G1783" s="6" t="s">
        <v>7811</v>
      </c>
      <c r="J1783" s="9" t="s">
        <v>7812</v>
      </c>
      <c r="O1783" s="10">
        <f>IFERROR(__xludf.DUMMYFUNCTION("VALUE(REGEXEXTRACT(A1783, ""\d+""))"),2084.0)</f>
        <v>2084</v>
      </c>
    </row>
    <row r="1784">
      <c r="A1784" s="9" t="s">
        <v>7813</v>
      </c>
      <c r="B1784" s="9" t="s">
        <v>7814</v>
      </c>
      <c r="D1784" s="9" t="s">
        <v>7815</v>
      </c>
      <c r="G1784" s="6" t="s">
        <v>7816</v>
      </c>
      <c r="J1784" s="9" t="s">
        <v>7817</v>
      </c>
      <c r="O1784" s="10">
        <f>IFERROR(__xludf.DUMMYFUNCTION("VALUE(REGEXEXTRACT(A1784, ""\d+""))"),2085.0)</f>
        <v>2085</v>
      </c>
    </row>
    <row r="1785">
      <c r="A1785" s="9" t="s">
        <v>7818</v>
      </c>
      <c r="B1785" s="9" t="s">
        <v>7819</v>
      </c>
      <c r="D1785" s="9" t="s">
        <v>7820</v>
      </c>
      <c r="G1785" s="6" t="s">
        <v>7821</v>
      </c>
      <c r="J1785" s="9" t="s">
        <v>7822</v>
      </c>
      <c r="O1785" s="10">
        <f>IFERROR(__xludf.DUMMYFUNCTION("VALUE(REGEXEXTRACT(A1785, ""\d+""))"),2086.0)</f>
        <v>2086</v>
      </c>
    </row>
    <row r="1786">
      <c r="A1786" s="9" t="s">
        <v>7823</v>
      </c>
      <c r="B1786" s="9" t="s">
        <v>7824</v>
      </c>
      <c r="D1786" s="9" t="s">
        <v>7825</v>
      </c>
      <c r="G1786" s="6" t="s">
        <v>7826</v>
      </c>
      <c r="J1786" s="9" t="s">
        <v>7827</v>
      </c>
      <c r="O1786" s="10">
        <f>IFERROR(__xludf.DUMMYFUNCTION("VALUE(REGEXEXTRACT(A1786, ""\d+""))"),2087.0)</f>
        <v>2087</v>
      </c>
    </row>
    <row r="1787">
      <c r="A1787" s="9" t="s">
        <v>7828</v>
      </c>
      <c r="B1787" s="9" t="s">
        <v>7829</v>
      </c>
      <c r="D1787" s="9" t="s">
        <v>7830</v>
      </c>
      <c r="G1787" s="6" t="s">
        <v>7831</v>
      </c>
      <c r="J1787" s="9" t="s">
        <v>7832</v>
      </c>
      <c r="O1787" s="10">
        <f>IFERROR(__xludf.DUMMYFUNCTION("VALUE(REGEXEXTRACT(A1787, ""\d+""))"),2088.0)</f>
        <v>2088</v>
      </c>
    </row>
    <row r="1788">
      <c r="A1788" s="9" t="s">
        <v>7833</v>
      </c>
      <c r="B1788" s="9" t="s">
        <v>7834</v>
      </c>
      <c r="D1788" s="9" t="s">
        <v>7835</v>
      </c>
      <c r="G1788" s="6" t="s">
        <v>7836</v>
      </c>
      <c r="J1788" s="9" t="s">
        <v>7837</v>
      </c>
      <c r="O1788" s="10">
        <f>IFERROR(__xludf.DUMMYFUNCTION("VALUE(REGEXEXTRACT(A1788, ""\d+""))"),2090.0)</f>
        <v>2090</v>
      </c>
    </row>
    <row r="1789">
      <c r="A1789" s="9" t="s">
        <v>7838</v>
      </c>
      <c r="B1789" s="9" t="s">
        <v>7839</v>
      </c>
      <c r="D1789" s="9" t="s">
        <v>7840</v>
      </c>
      <c r="G1789" s="6" t="s">
        <v>7841</v>
      </c>
      <c r="J1789" s="9" t="s">
        <v>7842</v>
      </c>
      <c r="O1789" s="10">
        <f>IFERROR(__xludf.DUMMYFUNCTION("VALUE(REGEXEXTRACT(A1789, ""\d+""))"),2091.0)</f>
        <v>2091</v>
      </c>
    </row>
    <row r="1790">
      <c r="A1790" s="9" t="s">
        <v>7843</v>
      </c>
      <c r="B1790" s="9" t="s">
        <v>7844</v>
      </c>
      <c r="D1790" s="9" t="s">
        <v>7845</v>
      </c>
      <c r="G1790" s="6" t="s">
        <v>7846</v>
      </c>
      <c r="J1790" s="9" t="s">
        <v>7847</v>
      </c>
      <c r="O1790" s="10">
        <f>IFERROR(__xludf.DUMMYFUNCTION("VALUE(REGEXEXTRACT(A1790, ""\d+""))"),2092.0)</f>
        <v>2092</v>
      </c>
    </row>
    <row r="1791">
      <c r="A1791" s="9" t="s">
        <v>7848</v>
      </c>
      <c r="B1791" s="9" t="s">
        <v>7849</v>
      </c>
      <c r="D1791" s="9" t="s">
        <v>7849</v>
      </c>
      <c r="G1791" s="6" t="s">
        <v>7849</v>
      </c>
      <c r="J1791" s="9" t="s">
        <v>7849</v>
      </c>
      <c r="O1791" s="10">
        <f>IFERROR(__xludf.DUMMYFUNCTION("VALUE(REGEXEXTRACT(A1791, ""\d+""))"),2093.0)</f>
        <v>2093</v>
      </c>
    </row>
    <row r="1792">
      <c r="A1792" s="9" t="s">
        <v>7850</v>
      </c>
      <c r="B1792" s="9" t="s">
        <v>7851</v>
      </c>
      <c r="G1792" s="6" t="s">
        <v>7852</v>
      </c>
      <c r="O1792" s="10">
        <f>IFERROR(__xludf.DUMMYFUNCTION("VALUE(REGEXEXTRACT(A1792, ""\d+""))"),2094.0)</f>
        <v>2094</v>
      </c>
    </row>
    <row r="1793">
      <c r="A1793" s="9" t="s">
        <v>7853</v>
      </c>
      <c r="B1793" s="9" t="s">
        <v>7854</v>
      </c>
      <c r="D1793" s="9" t="s">
        <v>7855</v>
      </c>
      <c r="G1793" s="6" t="s">
        <v>7856</v>
      </c>
      <c r="J1793" s="9" t="s">
        <v>7857</v>
      </c>
      <c r="O1793" s="10">
        <f>IFERROR(__xludf.DUMMYFUNCTION("VALUE(REGEXEXTRACT(A1793, ""\d+""))"),2095.0)</f>
        <v>2095</v>
      </c>
    </row>
    <row r="1794">
      <c r="A1794" s="9" t="s">
        <v>7858</v>
      </c>
      <c r="B1794" s="9" t="s">
        <v>7859</v>
      </c>
      <c r="D1794" s="9" t="s">
        <v>7860</v>
      </c>
      <c r="G1794" s="6" t="s">
        <v>7861</v>
      </c>
      <c r="J1794" s="9" t="s">
        <v>7862</v>
      </c>
      <c r="O1794" s="10">
        <f>IFERROR(__xludf.DUMMYFUNCTION("VALUE(REGEXEXTRACT(A1794, ""\d+""))"),2096.0)</f>
        <v>2096</v>
      </c>
    </row>
    <row r="1795">
      <c r="A1795" s="9" t="s">
        <v>7863</v>
      </c>
      <c r="B1795" s="9" t="s">
        <v>7864</v>
      </c>
      <c r="D1795" s="9" t="s">
        <v>7865</v>
      </c>
      <c r="G1795" s="6" t="s">
        <v>7866</v>
      </c>
      <c r="J1795" s="9" t="s">
        <v>7867</v>
      </c>
      <c r="O1795" s="10">
        <f>IFERROR(__xludf.DUMMYFUNCTION("VALUE(REGEXEXTRACT(A1795, ""\d+""))"),2097.0)</f>
        <v>2097</v>
      </c>
    </row>
    <row r="1796">
      <c r="A1796" s="9" t="s">
        <v>7868</v>
      </c>
      <c r="B1796" s="9" t="s">
        <v>7869</v>
      </c>
      <c r="D1796" s="9" t="s">
        <v>7870</v>
      </c>
      <c r="G1796" s="6" t="s">
        <v>7871</v>
      </c>
      <c r="J1796" s="9" t="s">
        <v>7872</v>
      </c>
      <c r="O1796" s="10">
        <f>IFERROR(__xludf.DUMMYFUNCTION("VALUE(REGEXEXTRACT(A1796, ""\d+""))"),2098.0)</f>
        <v>2098</v>
      </c>
    </row>
    <row r="1797">
      <c r="A1797" s="9" t="s">
        <v>7873</v>
      </c>
      <c r="B1797" s="9" t="s">
        <v>7874</v>
      </c>
      <c r="D1797" s="9" t="s">
        <v>7875</v>
      </c>
      <c r="G1797" s="6" t="s">
        <v>7876</v>
      </c>
      <c r="J1797" s="9" t="s">
        <v>7877</v>
      </c>
      <c r="O1797" s="10">
        <f>IFERROR(__xludf.DUMMYFUNCTION("VALUE(REGEXEXTRACT(A1797, ""\d+""))"),2099.0)</f>
        <v>2099</v>
      </c>
    </row>
    <row r="1798">
      <c r="A1798" s="9" t="s">
        <v>7878</v>
      </c>
      <c r="B1798" s="9" t="s">
        <v>7879</v>
      </c>
      <c r="D1798" s="9" t="s">
        <v>7880</v>
      </c>
      <c r="G1798" s="6" t="s">
        <v>7881</v>
      </c>
      <c r="J1798" s="9" t="s">
        <v>7882</v>
      </c>
      <c r="O1798" s="10">
        <f>IFERROR(__xludf.DUMMYFUNCTION("VALUE(REGEXEXTRACT(A1798, ""\d+""))"),2100.0)</f>
        <v>2100</v>
      </c>
    </row>
    <row r="1799">
      <c r="A1799" s="9" t="s">
        <v>7883</v>
      </c>
      <c r="B1799" s="9" t="s">
        <v>7884</v>
      </c>
      <c r="D1799" s="9" t="s">
        <v>7885</v>
      </c>
      <c r="G1799" s="6" t="s">
        <v>7886</v>
      </c>
      <c r="J1799" s="9" t="s">
        <v>7887</v>
      </c>
      <c r="O1799" s="10">
        <f>IFERROR(__xludf.DUMMYFUNCTION("VALUE(REGEXEXTRACT(A1799, ""\d+""))"),2101.0)</f>
        <v>2101</v>
      </c>
    </row>
    <row r="1800">
      <c r="A1800" s="9" t="s">
        <v>7888</v>
      </c>
      <c r="B1800" s="9" t="s">
        <v>7889</v>
      </c>
      <c r="D1800" s="9" t="s">
        <v>7890</v>
      </c>
      <c r="G1800" s="6" t="s">
        <v>7891</v>
      </c>
      <c r="J1800" s="9" t="s">
        <v>7892</v>
      </c>
      <c r="O1800" s="10">
        <f>IFERROR(__xludf.DUMMYFUNCTION("VALUE(REGEXEXTRACT(A1800, ""\d+""))"),2102.0)</f>
        <v>2102</v>
      </c>
    </row>
    <row r="1801">
      <c r="A1801" s="9" t="s">
        <v>7893</v>
      </c>
      <c r="B1801" s="9" t="s">
        <v>7894</v>
      </c>
      <c r="D1801" s="9" t="s">
        <v>7895</v>
      </c>
      <c r="G1801" s="6" t="s">
        <v>7896</v>
      </c>
      <c r="J1801" s="9" t="s">
        <v>7897</v>
      </c>
      <c r="O1801" s="10">
        <f>IFERROR(__xludf.DUMMYFUNCTION("VALUE(REGEXEXTRACT(A1801, ""\d+""))"),2109.0)</f>
        <v>2109</v>
      </c>
    </row>
    <row r="1802">
      <c r="A1802" s="9" t="s">
        <v>7898</v>
      </c>
      <c r="B1802" s="9" t="s">
        <v>7899</v>
      </c>
      <c r="D1802" s="9" t="s">
        <v>7900</v>
      </c>
      <c r="G1802" s="6" t="s">
        <v>7901</v>
      </c>
      <c r="J1802" s="9" t="s">
        <v>7902</v>
      </c>
      <c r="O1802" s="10">
        <f>IFERROR(__xludf.DUMMYFUNCTION("VALUE(REGEXEXTRACT(A1802, ""\d+""))"),2110.0)</f>
        <v>2110</v>
      </c>
    </row>
    <row r="1803">
      <c r="A1803" s="9" t="s">
        <v>7903</v>
      </c>
      <c r="B1803" s="9" t="s">
        <v>7904</v>
      </c>
      <c r="D1803" s="9" t="s">
        <v>7905</v>
      </c>
      <c r="G1803" s="6" t="s">
        <v>7906</v>
      </c>
      <c r="J1803" s="9" t="s">
        <v>7907</v>
      </c>
      <c r="O1803" s="10">
        <f>IFERROR(__xludf.DUMMYFUNCTION("VALUE(REGEXEXTRACT(A1803, ""\d+""))"),2111.0)</f>
        <v>2111</v>
      </c>
    </row>
    <row r="1804">
      <c r="A1804" s="9" t="s">
        <v>7908</v>
      </c>
      <c r="B1804" s="9" t="s">
        <v>7909</v>
      </c>
      <c r="D1804" s="9" t="s">
        <v>7910</v>
      </c>
      <c r="G1804" s="6" t="s">
        <v>7911</v>
      </c>
      <c r="J1804" s="9" t="s">
        <v>7912</v>
      </c>
      <c r="O1804" s="10">
        <f>IFERROR(__xludf.DUMMYFUNCTION("VALUE(REGEXEXTRACT(A1804, ""\d+""))"),2112.0)</f>
        <v>2112</v>
      </c>
    </row>
    <row r="1805">
      <c r="A1805" s="9" t="s">
        <v>7913</v>
      </c>
      <c r="B1805" s="9" t="s">
        <v>7914</v>
      </c>
      <c r="D1805" s="9" t="s">
        <v>7915</v>
      </c>
      <c r="G1805" s="6" t="s">
        <v>7916</v>
      </c>
      <c r="J1805" s="9" t="s">
        <v>7917</v>
      </c>
      <c r="O1805" s="10">
        <f>IFERROR(__xludf.DUMMYFUNCTION("VALUE(REGEXEXTRACT(A1805, ""\d+""))"),2113.0)</f>
        <v>2113</v>
      </c>
    </row>
    <row r="1806">
      <c r="A1806" s="9" t="s">
        <v>7918</v>
      </c>
      <c r="B1806" s="9" t="s">
        <v>7919</v>
      </c>
      <c r="D1806" s="9" t="s">
        <v>7920</v>
      </c>
      <c r="G1806" s="6" t="s">
        <v>7921</v>
      </c>
      <c r="J1806" s="9" t="s">
        <v>7922</v>
      </c>
      <c r="O1806" s="10">
        <f>IFERROR(__xludf.DUMMYFUNCTION("VALUE(REGEXEXTRACT(A1806, ""\d+""))"),2114.0)</f>
        <v>2114</v>
      </c>
    </row>
    <row r="1807">
      <c r="A1807" s="9" t="s">
        <v>7923</v>
      </c>
      <c r="B1807" s="9" t="s">
        <v>7924</v>
      </c>
      <c r="D1807" s="9" t="s">
        <v>7925</v>
      </c>
      <c r="G1807" s="6" t="s">
        <v>7926</v>
      </c>
      <c r="J1807" s="9" t="s">
        <v>7927</v>
      </c>
      <c r="O1807" s="10">
        <f>IFERROR(__xludf.DUMMYFUNCTION("VALUE(REGEXEXTRACT(A1807, ""\d+""))"),2115.0)</f>
        <v>2115</v>
      </c>
    </row>
    <row r="1808">
      <c r="A1808" s="9" t="s">
        <v>7928</v>
      </c>
      <c r="B1808" s="9" t="s">
        <v>7929</v>
      </c>
      <c r="D1808" s="9" t="s">
        <v>7930</v>
      </c>
      <c r="G1808" s="6" t="s">
        <v>7931</v>
      </c>
      <c r="J1808" s="9" t="s">
        <v>7932</v>
      </c>
      <c r="O1808" s="10">
        <f>IFERROR(__xludf.DUMMYFUNCTION("VALUE(REGEXEXTRACT(A1808, ""\d+""))"),2116.0)</f>
        <v>2116</v>
      </c>
    </row>
    <row r="1809">
      <c r="A1809" s="9" t="s">
        <v>7933</v>
      </c>
      <c r="B1809" s="9" t="s">
        <v>7934</v>
      </c>
      <c r="D1809" s="9" t="s">
        <v>7935</v>
      </c>
      <c r="G1809" s="6" t="s">
        <v>7936</v>
      </c>
      <c r="J1809" s="9" t="s">
        <v>7937</v>
      </c>
      <c r="O1809" s="10">
        <f>IFERROR(__xludf.DUMMYFUNCTION("VALUE(REGEXEXTRACT(A1809, ""\d+""))"),2117.0)</f>
        <v>2117</v>
      </c>
    </row>
    <row r="1810">
      <c r="A1810" s="9" t="s">
        <v>7938</v>
      </c>
      <c r="B1810" s="9" t="s">
        <v>7939</v>
      </c>
      <c r="D1810" s="9" t="s">
        <v>7940</v>
      </c>
      <c r="G1810" s="6" t="s">
        <v>7941</v>
      </c>
      <c r="J1810" s="9" t="s">
        <v>7942</v>
      </c>
      <c r="O1810" s="10">
        <f>IFERROR(__xludf.DUMMYFUNCTION("VALUE(REGEXEXTRACT(A1810, ""\d+""))"),2118.0)</f>
        <v>2118</v>
      </c>
    </row>
    <row r="1811">
      <c r="A1811" s="9" t="s">
        <v>7943</v>
      </c>
      <c r="B1811" s="9" t="s">
        <v>7944</v>
      </c>
      <c r="D1811" s="9" t="s">
        <v>7945</v>
      </c>
      <c r="G1811" s="6" t="s">
        <v>7946</v>
      </c>
      <c r="J1811" s="9" t="s">
        <v>7947</v>
      </c>
      <c r="O1811" s="10">
        <f>IFERROR(__xludf.DUMMYFUNCTION("VALUE(REGEXEXTRACT(A1811, ""\d+""))"),2119.0)</f>
        <v>2119</v>
      </c>
    </row>
    <row r="1812">
      <c r="A1812" s="9" t="s">
        <v>7948</v>
      </c>
      <c r="B1812" s="9" t="s">
        <v>7949</v>
      </c>
      <c r="D1812" s="9" t="s">
        <v>7950</v>
      </c>
      <c r="G1812" s="6" t="s">
        <v>7951</v>
      </c>
      <c r="J1812" s="9" t="s">
        <v>7952</v>
      </c>
      <c r="O1812" s="10">
        <f>IFERROR(__xludf.DUMMYFUNCTION("VALUE(REGEXEXTRACT(A1812, ""\d+""))"),2120.0)</f>
        <v>2120</v>
      </c>
    </row>
    <row r="1813">
      <c r="A1813" s="9" t="s">
        <v>7953</v>
      </c>
      <c r="B1813" s="9" t="s">
        <v>7954</v>
      </c>
      <c r="D1813" s="9" t="s">
        <v>7955</v>
      </c>
      <c r="G1813" s="6" t="s">
        <v>7956</v>
      </c>
      <c r="J1813" s="9" t="s">
        <v>7957</v>
      </c>
      <c r="O1813" s="10">
        <f>IFERROR(__xludf.DUMMYFUNCTION("VALUE(REGEXEXTRACT(A1813, ""\d+""))"),2121.0)</f>
        <v>2121</v>
      </c>
    </row>
    <row r="1814">
      <c r="A1814" s="9" t="s">
        <v>7958</v>
      </c>
      <c r="B1814" s="9" t="s">
        <v>7959</v>
      </c>
      <c r="D1814" s="9" t="s">
        <v>7959</v>
      </c>
      <c r="G1814" s="6" t="s">
        <v>7959</v>
      </c>
      <c r="J1814" s="9" t="s">
        <v>7959</v>
      </c>
      <c r="O1814" s="10">
        <f>IFERROR(__xludf.DUMMYFUNCTION("VALUE(REGEXEXTRACT(A1814, ""\d+""))"),2122.0)</f>
        <v>2122</v>
      </c>
    </row>
    <row r="1815">
      <c r="A1815" s="9" t="s">
        <v>7960</v>
      </c>
      <c r="B1815" s="9" t="s">
        <v>7961</v>
      </c>
      <c r="D1815" s="9" t="s">
        <v>7962</v>
      </c>
      <c r="G1815" s="6" t="s">
        <v>7963</v>
      </c>
      <c r="J1815" s="9" t="s">
        <v>7964</v>
      </c>
      <c r="O1815" s="10">
        <f>IFERROR(__xludf.DUMMYFUNCTION("VALUE(REGEXEXTRACT(A1815, ""\d+""))"),2123.0)</f>
        <v>2123</v>
      </c>
    </row>
    <row r="1816">
      <c r="A1816" s="9" t="s">
        <v>7965</v>
      </c>
      <c r="B1816" s="9" t="s">
        <v>7966</v>
      </c>
      <c r="D1816" s="9" t="s">
        <v>7967</v>
      </c>
      <c r="G1816" s="6" t="s">
        <v>7968</v>
      </c>
      <c r="J1816" s="9" t="s">
        <v>7969</v>
      </c>
      <c r="O1816" s="10">
        <f>IFERROR(__xludf.DUMMYFUNCTION("VALUE(REGEXEXTRACT(A1816, ""\d+""))"),2124.0)</f>
        <v>2124</v>
      </c>
    </row>
    <row r="1817">
      <c r="A1817" s="9" t="s">
        <v>7970</v>
      </c>
      <c r="B1817" s="9" t="s">
        <v>7971</v>
      </c>
      <c r="D1817" s="9" t="s">
        <v>7972</v>
      </c>
      <c r="G1817" s="6" t="s">
        <v>7973</v>
      </c>
      <c r="J1817" s="9" t="s">
        <v>7974</v>
      </c>
      <c r="O1817" s="10">
        <f>IFERROR(__xludf.DUMMYFUNCTION("VALUE(REGEXEXTRACT(A1817, ""\d+""))"),2125.0)</f>
        <v>2125</v>
      </c>
    </row>
    <row r="1818">
      <c r="A1818" s="9" t="s">
        <v>7975</v>
      </c>
      <c r="B1818" s="9" t="s">
        <v>7976</v>
      </c>
      <c r="D1818" s="9" t="s">
        <v>7977</v>
      </c>
      <c r="G1818" s="6" t="s">
        <v>7978</v>
      </c>
      <c r="J1818" s="9" t="s">
        <v>7979</v>
      </c>
      <c r="O1818" s="10">
        <f>IFERROR(__xludf.DUMMYFUNCTION("VALUE(REGEXEXTRACT(A1818, ""\d+""))"),2126.0)</f>
        <v>2126</v>
      </c>
    </row>
    <row r="1819">
      <c r="A1819" s="9" t="s">
        <v>7980</v>
      </c>
      <c r="B1819" s="9" t="s">
        <v>7981</v>
      </c>
      <c r="D1819" s="9" t="s">
        <v>7982</v>
      </c>
      <c r="G1819" s="6" t="s">
        <v>7983</v>
      </c>
      <c r="J1819" s="9" t="s">
        <v>7984</v>
      </c>
      <c r="O1819" s="10">
        <f>IFERROR(__xludf.DUMMYFUNCTION("VALUE(REGEXEXTRACT(A1819, ""\d+""))"),2127.0)</f>
        <v>2127</v>
      </c>
    </row>
    <row r="1820">
      <c r="A1820" s="9" t="s">
        <v>7985</v>
      </c>
      <c r="B1820" s="9" t="s">
        <v>7986</v>
      </c>
      <c r="D1820" s="9" t="s">
        <v>7987</v>
      </c>
      <c r="G1820" s="6" t="s">
        <v>7988</v>
      </c>
      <c r="J1820" s="9" t="s">
        <v>7989</v>
      </c>
      <c r="O1820" s="10">
        <f>IFERROR(__xludf.DUMMYFUNCTION("VALUE(REGEXEXTRACT(A1820, ""\d+""))"),2128.0)</f>
        <v>2128</v>
      </c>
    </row>
    <row r="1821">
      <c r="A1821" s="9" t="s">
        <v>7990</v>
      </c>
      <c r="B1821" s="9" t="s">
        <v>7991</v>
      </c>
      <c r="D1821" s="9" t="s">
        <v>7991</v>
      </c>
      <c r="G1821" s="6" t="s">
        <v>7991</v>
      </c>
      <c r="J1821" s="9" t="s">
        <v>7991</v>
      </c>
      <c r="O1821" s="10">
        <f>IFERROR(__xludf.DUMMYFUNCTION("VALUE(REGEXEXTRACT(A1821, ""\d+""))"),2129.0)</f>
        <v>2129</v>
      </c>
    </row>
    <row r="1822">
      <c r="A1822" s="9" t="s">
        <v>7992</v>
      </c>
      <c r="B1822" s="9" t="s">
        <v>7993</v>
      </c>
      <c r="D1822" s="9" t="s">
        <v>7994</v>
      </c>
      <c r="G1822" s="6" t="s">
        <v>7995</v>
      </c>
      <c r="J1822" s="9" t="s">
        <v>7996</v>
      </c>
      <c r="O1822" s="10">
        <f>IFERROR(__xludf.DUMMYFUNCTION("VALUE(REGEXEXTRACT(A1822, ""\d+""))"),2130.0)</f>
        <v>2130</v>
      </c>
    </row>
    <row r="1823">
      <c r="A1823" s="9" t="s">
        <v>7997</v>
      </c>
      <c r="B1823" s="9" t="s">
        <v>7998</v>
      </c>
      <c r="D1823" s="9" t="s">
        <v>7999</v>
      </c>
      <c r="G1823" s="6" t="s">
        <v>8000</v>
      </c>
      <c r="J1823" s="9" t="s">
        <v>8001</v>
      </c>
      <c r="O1823" s="10">
        <f>IFERROR(__xludf.DUMMYFUNCTION("VALUE(REGEXEXTRACT(A1823, ""\d+""))"),2135.0)</f>
        <v>2135</v>
      </c>
    </row>
    <row r="1824">
      <c r="A1824" s="9" t="s">
        <v>8002</v>
      </c>
      <c r="B1824" s="9" t="s">
        <v>8003</v>
      </c>
      <c r="D1824" s="9" t="s">
        <v>8004</v>
      </c>
      <c r="G1824" s="6" t="s">
        <v>8005</v>
      </c>
      <c r="J1824" s="9" t="s">
        <v>8006</v>
      </c>
      <c r="O1824" s="10">
        <f>IFERROR(__xludf.DUMMYFUNCTION("VALUE(REGEXEXTRACT(A1824, ""\d+""))"),2136.0)</f>
        <v>2136</v>
      </c>
    </row>
    <row r="1825">
      <c r="A1825" s="9" t="s">
        <v>8007</v>
      </c>
      <c r="B1825" s="9" t="s">
        <v>8008</v>
      </c>
      <c r="D1825" s="9" t="s">
        <v>8009</v>
      </c>
      <c r="G1825" s="6" t="s">
        <v>8010</v>
      </c>
      <c r="J1825" s="9" t="s">
        <v>8011</v>
      </c>
      <c r="O1825" s="10">
        <f>IFERROR(__xludf.DUMMYFUNCTION("VALUE(REGEXEXTRACT(A1825, ""\d+""))"),2137.0)</f>
        <v>2137</v>
      </c>
    </row>
    <row r="1826">
      <c r="A1826" s="9" t="s">
        <v>8012</v>
      </c>
      <c r="B1826" s="9" t="s">
        <v>8013</v>
      </c>
      <c r="D1826" s="9" t="s">
        <v>8014</v>
      </c>
      <c r="G1826" s="6" t="s">
        <v>8014</v>
      </c>
      <c r="J1826" s="9" t="s">
        <v>8015</v>
      </c>
      <c r="O1826" s="10">
        <f>IFERROR(__xludf.DUMMYFUNCTION("VALUE(REGEXEXTRACT(A1826, ""\d+""))"),2138.0)</f>
        <v>2138</v>
      </c>
    </row>
    <row r="1827">
      <c r="A1827" s="9" t="s">
        <v>8016</v>
      </c>
      <c r="B1827" s="9" t="s">
        <v>8017</v>
      </c>
      <c r="D1827" s="9" t="s">
        <v>8018</v>
      </c>
      <c r="G1827" s="6" t="s">
        <v>8019</v>
      </c>
      <c r="J1827" s="9" t="s">
        <v>8020</v>
      </c>
      <c r="O1827" s="10">
        <f>IFERROR(__xludf.DUMMYFUNCTION("VALUE(REGEXEXTRACT(A1827, ""\d+""))"),2140.0)</f>
        <v>2140</v>
      </c>
    </row>
    <row r="1828">
      <c r="A1828" s="9" t="s">
        <v>8021</v>
      </c>
      <c r="B1828" s="9" t="s">
        <v>8022</v>
      </c>
      <c r="D1828" s="9" t="s">
        <v>8023</v>
      </c>
      <c r="G1828" s="6" t="s">
        <v>8024</v>
      </c>
      <c r="J1828" s="9" t="s">
        <v>8025</v>
      </c>
      <c r="O1828" s="10">
        <f>IFERROR(__xludf.DUMMYFUNCTION("VALUE(REGEXEXTRACT(A1828, ""\d+""))"),2141.0)</f>
        <v>2141</v>
      </c>
    </row>
    <row r="1829">
      <c r="A1829" s="9" t="s">
        <v>8026</v>
      </c>
      <c r="B1829" s="9" t="s">
        <v>8027</v>
      </c>
      <c r="G1829" s="6" t="s">
        <v>8028</v>
      </c>
      <c r="O1829" s="10">
        <f>IFERROR(__xludf.DUMMYFUNCTION("VALUE(REGEXEXTRACT(A1829, ""\d+""))"),2142.0)</f>
        <v>2142</v>
      </c>
    </row>
    <row r="1830">
      <c r="A1830" s="9" t="s">
        <v>8029</v>
      </c>
      <c r="B1830" s="9" t="s">
        <v>8030</v>
      </c>
      <c r="D1830" s="9" t="s">
        <v>8031</v>
      </c>
      <c r="G1830" s="6" t="s">
        <v>8031</v>
      </c>
      <c r="J1830" s="9" t="s">
        <v>8032</v>
      </c>
      <c r="O1830" s="10">
        <f>IFERROR(__xludf.DUMMYFUNCTION("VALUE(REGEXEXTRACT(A1830, ""\d+""))"),2143.0)</f>
        <v>2143</v>
      </c>
    </row>
    <row r="1831">
      <c r="A1831" s="9" t="s">
        <v>8033</v>
      </c>
      <c r="B1831" s="9" t="s">
        <v>8034</v>
      </c>
      <c r="D1831" s="9" t="s">
        <v>8035</v>
      </c>
      <c r="G1831" s="6" t="s">
        <v>8035</v>
      </c>
      <c r="J1831" s="9" t="s">
        <v>8036</v>
      </c>
      <c r="O1831" s="10">
        <f>IFERROR(__xludf.DUMMYFUNCTION("VALUE(REGEXEXTRACT(A1831, ""\d+""))"),2144.0)</f>
        <v>2144</v>
      </c>
    </row>
    <row r="1832">
      <c r="A1832" s="9" t="s">
        <v>8037</v>
      </c>
      <c r="B1832" s="9" t="s">
        <v>8038</v>
      </c>
      <c r="G1832" s="6" t="s">
        <v>8039</v>
      </c>
      <c r="O1832" s="10">
        <f>IFERROR(__xludf.DUMMYFUNCTION("VALUE(REGEXEXTRACT(A1832, ""\d+""))"),2145.0)</f>
        <v>2145</v>
      </c>
    </row>
    <row r="1833">
      <c r="A1833" s="9" t="s">
        <v>8040</v>
      </c>
      <c r="B1833" s="9" t="s">
        <v>8041</v>
      </c>
      <c r="D1833" s="9" t="s">
        <v>8042</v>
      </c>
      <c r="G1833" s="6" t="s">
        <v>8043</v>
      </c>
      <c r="J1833" s="9" t="s">
        <v>8044</v>
      </c>
      <c r="O1833" s="10">
        <f>IFERROR(__xludf.DUMMYFUNCTION("VALUE(REGEXEXTRACT(A1833, ""\d+""))"),2146.0)</f>
        <v>2146</v>
      </c>
    </row>
    <row r="1834">
      <c r="A1834" s="9" t="s">
        <v>8045</v>
      </c>
      <c r="B1834" s="9" t="s">
        <v>8046</v>
      </c>
      <c r="D1834" s="9" t="s">
        <v>8047</v>
      </c>
      <c r="G1834" s="6" t="s">
        <v>8048</v>
      </c>
      <c r="J1834" s="9" t="s">
        <v>8049</v>
      </c>
      <c r="O1834" s="10">
        <f>IFERROR(__xludf.DUMMYFUNCTION("VALUE(REGEXEXTRACT(A1834, ""\d+""))"),2147.0)</f>
        <v>2147</v>
      </c>
    </row>
    <row r="1835">
      <c r="A1835" s="9" t="s">
        <v>8050</v>
      </c>
      <c r="B1835" s="9" t="s">
        <v>8051</v>
      </c>
      <c r="D1835" s="9" t="s">
        <v>8052</v>
      </c>
      <c r="G1835" s="6" t="s">
        <v>8053</v>
      </c>
      <c r="J1835" s="9" t="s">
        <v>8054</v>
      </c>
      <c r="O1835" s="10">
        <f>IFERROR(__xludf.DUMMYFUNCTION("VALUE(REGEXEXTRACT(A1835, ""\d+""))"),2148.0)</f>
        <v>2148</v>
      </c>
    </row>
    <row r="1836">
      <c r="A1836" s="9" t="s">
        <v>8055</v>
      </c>
      <c r="B1836" s="9" t="s">
        <v>8056</v>
      </c>
      <c r="G1836" s="6" t="s">
        <v>8057</v>
      </c>
      <c r="O1836" s="10">
        <f>IFERROR(__xludf.DUMMYFUNCTION("VALUE(REGEXEXTRACT(A1836, ""\d+""))"),2149.0)</f>
        <v>2149</v>
      </c>
    </row>
    <row r="1837">
      <c r="A1837" s="9" t="s">
        <v>8058</v>
      </c>
      <c r="B1837" s="9" t="s">
        <v>8059</v>
      </c>
      <c r="G1837" s="6" t="s">
        <v>8060</v>
      </c>
      <c r="O1837" s="10">
        <f>IFERROR(__xludf.DUMMYFUNCTION("VALUE(REGEXEXTRACT(A1837, ""\d+""))"),2150.0)</f>
        <v>2150</v>
      </c>
    </row>
    <row r="1838">
      <c r="A1838" s="9" t="s">
        <v>8061</v>
      </c>
      <c r="B1838" s="9" t="s">
        <v>8062</v>
      </c>
      <c r="G1838" s="6" t="s">
        <v>8063</v>
      </c>
      <c r="O1838" s="10">
        <f>IFERROR(__xludf.DUMMYFUNCTION("VALUE(REGEXEXTRACT(A1838, ""\d+""))"),2151.0)</f>
        <v>2151</v>
      </c>
    </row>
    <row r="1839">
      <c r="A1839" s="9" t="s">
        <v>8064</v>
      </c>
      <c r="B1839" s="9" t="s">
        <v>8065</v>
      </c>
      <c r="D1839" s="9" t="s">
        <v>8066</v>
      </c>
      <c r="G1839" s="6" t="s">
        <v>8067</v>
      </c>
      <c r="J1839" s="9" t="s">
        <v>8068</v>
      </c>
      <c r="O1839" s="10">
        <f>IFERROR(__xludf.DUMMYFUNCTION("VALUE(REGEXEXTRACT(A1839, ""\d+""))"),2152.0)</f>
        <v>2152</v>
      </c>
    </row>
    <row r="1840">
      <c r="A1840" s="9" t="s">
        <v>8069</v>
      </c>
      <c r="B1840" s="9" t="s">
        <v>8070</v>
      </c>
      <c r="D1840" s="9" t="s">
        <v>8071</v>
      </c>
      <c r="G1840" s="6" t="s">
        <v>8072</v>
      </c>
      <c r="J1840" s="9" t="s">
        <v>8073</v>
      </c>
      <c r="O1840" s="10">
        <f>IFERROR(__xludf.DUMMYFUNCTION("VALUE(REGEXEXTRACT(A1840, ""\d+""))"),2153.0)</f>
        <v>2153</v>
      </c>
    </row>
    <row r="1841">
      <c r="A1841" s="9" t="s">
        <v>8074</v>
      </c>
      <c r="B1841" s="9" t="s">
        <v>8075</v>
      </c>
      <c r="D1841" s="9" t="s">
        <v>8076</v>
      </c>
      <c r="G1841" s="6" t="s">
        <v>8077</v>
      </c>
      <c r="J1841" s="9" t="s">
        <v>8078</v>
      </c>
      <c r="O1841" s="10">
        <f>IFERROR(__xludf.DUMMYFUNCTION("VALUE(REGEXEXTRACT(A1841, ""\d+""))"),2154.0)</f>
        <v>2154</v>
      </c>
    </row>
    <row r="1842">
      <c r="A1842" s="9" t="s">
        <v>8079</v>
      </c>
      <c r="B1842" s="9" t="s">
        <v>8080</v>
      </c>
      <c r="D1842" s="9" t="s">
        <v>8081</v>
      </c>
      <c r="G1842" s="6" t="s">
        <v>8082</v>
      </c>
      <c r="J1842" s="9" t="s">
        <v>8083</v>
      </c>
      <c r="O1842" s="10">
        <f>IFERROR(__xludf.DUMMYFUNCTION("VALUE(REGEXEXTRACT(A1842, ""\d+""))"),2155.0)</f>
        <v>2155</v>
      </c>
    </row>
    <row r="1843">
      <c r="A1843" s="9" t="s">
        <v>8084</v>
      </c>
      <c r="B1843" s="9" t="s">
        <v>8085</v>
      </c>
      <c r="D1843" s="9" t="s">
        <v>8086</v>
      </c>
      <c r="G1843" s="6" t="s">
        <v>8087</v>
      </c>
      <c r="J1843" s="9" t="s">
        <v>8088</v>
      </c>
      <c r="O1843" s="10">
        <f>IFERROR(__xludf.DUMMYFUNCTION("VALUE(REGEXEXTRACT(A1843, ""\d+""))"),2156.0)</f>
        <v>2156</v>
      </c>
    </row>
    <row r="1844">
      <c r="A1844" s="9" t="s">
        <v>8089</v>
      </c>
      <c r="B1844" s="9" t="s">
        <v>8090</v>
      </c>
      <c r="D1844" s="9" t="s">
        <v>8091</v>
      </c>
      <c r="G1844" s="6" t="s">
        <v>8092</v>
      </c>
      <c r="J1844" s="9" t="s">
        <v>8093</v>
      </c>
      <c r="O1844" s="10">
        <f>IFERROR(__xludf.DUMMYFUNCTION("VALUE(REGEXEXTRACT(A1844, ""\d+""))"),2157.0)</f>
        <v>2157</v>
      </c>
    </row>
    <row r="1845">
      <c r="A1845" s="9" t="s">
        <v>8094</v>
      </c>
      <c r="B1845" s="9" t="s">
        <v>8095</v>
      </c>
      <c r="D1845" s="9" t="s">
        <v>8096</v>
      </c>
      <c r="G1845" s="6" t="s">
        <v>8097</v>
      </c>
      <c r="J1845" s="9" t="s">
        <v>8098</v>
      </c>
      <c r="O1845" s="10">
        <f>IFERROR(__xludf.DUMMYFUNCTION("VALUE(REGEXEXTRACT(A1845, ""\d+""))"),2158.0)</f>
        <v>2158</v>
      </c>
    </row>
    <row r="1846">
      <c r="A1846" s="9" t="s">
        <v>8099</v>
      </c>
      <c r="B1846" s="9" t="s">
        <v>8100</v>
      </c>
      <c r="D1846" s="9" t="s">
        <v>8101</v>
      </c>
      <c r="G1846" s="6" t="s">
        <v>8102</v>
      </c>
      <c r="J1846" s="9" t="s">
        <v>8103</v>
      </c>
      <c r="O1846" s="10">
        <f>IFERROR(__xludf.DUMMYFUNCTION("VALUE(REGEXEXTRACT(A1846, ""\d+""))"),2159.0)</f>
        <v>2159</v>
      </c>
    </row>
    <row r="1847">
      <c r="A1847" s="9" t="s">
        <v>8104</v>
      </c>
      <c r="B1847" s="9" t="s">
        <v>8105</v>
      </c>
      <c r="D1847" s="9" t="s">
        <v>8106</v>
      </c>
      <c r="G1847" s="6" t="s">
        <v>8107</v>
      </c>
      <c r="J1847" s="9" t="s">
        <v>8108</v>
      </c>
      <c r="O1847" s="10">
        <f>IFERROR(__xludf.DUMMYFUNCTION("VALUE(REGEXEXTRACT(A1847, ""\d+""))"),2160.0)</f>
        <v>2160</v>
      </c>
    </row>
    <row r="1848">
      <c r="A1848" s="9" t="s">
        <v>8109</v>
      </c>
      <c r="B1848" s="9" t="s">
        <v>8110</v>
      </c>
      <c r="D1848" s="9" t="s">
        <v>8111</v>
      </c>
      <c r="G1848" s="6" t="s">
        <v>8112</v>
      </c>
      <c r="J1848" s="9" t="s">
        <v>8113</v>
      </c>
      <c r="O1848" s="10">
        <f>IFERROR(__xludf.DUMMYFUNCTION("VALUE(REGEXEXTRACT(A1848, ""\d+""))"),2161.0)</f>
        <v>2161</v>
      </c>
    </row>
    <row r="1849">
      <c r="A1849" s="9" t="s">
        <v>8114</v>
      </c>
      <c r="B1849" s="9" t="s">
        <v>8115</v>
      </c>
      <c r="D1849" s="9" t="s">
        <v>8116</v>
      </c>
      <c r="G1849" s="6" t="s">
        <v>8117</v>
      </c>
      <c r="J1849" s="9" t="s">
        <v>8118</v>
      </c>
      <c r="O1849" s="10">
        <f>IFERROR(__xludf.DUMMYFUNCTION("VALUE(REGEXEXTRACT(A1849, ""\d+""))"),2162.0)</f>
        <v>2162</v>
      </c>
    </row>
    <row r="1850">
      <c r="A1850" s="9" t="s">
        <v>8119</v>
      </c>
      <c r="B1850" s="9" t="s">
        <v>8120</v>
      </c>
      <c r="D1850" s="9" t="s">
        <v>8121</v>
      </c>
      <c r="G1850" s="6" t="s">
        <v>8122</v>
      </c>
      <c r="J1850" s="9" t="s">
        <v>8123</v>
      </c>
      <c r="O1850" s="10">
        <f>IFERROR(__xludf.DUMMYFUNCTION("VALUE(REGEXEXTRACT(A1850, ""\d+""))"),2163.0)</f>
        <v>2163</v>
      </c>
    </row>
    <row r="1851">
      <c r="A1851" s="9" t="s">
        <v>8124</v>
      </c>
      <c r="B1851" s="9" t="s">
        <v>8125</v>
      </c>
      <c r="D1851" s="9" t="s">
        <v>8126</v>
      </c>
      <c r="G1851" s="6" t="s">
        <v>8127</v>
      </c>
      <c r="J1851" s="9" t="s">
        <v>8128</v>
      </c>
      <c r="O1851" s="10">
        <f>IFERROR(__xludf.DUMMYFUNCTION("VALUE(REGEXEXTRACT(A1851, ""\d+""))"),2164.0)</f>
        <v>2164</v>
      </c>
    </row>
    <row r="1852">
      <c r="A1852" s="9" t="s">
        <v>8129</v>
      </c>
      <c r="B1852" s="9" t="s">
        <v>8130</v>
      </c>
      <c r="D1852" s="9" t="s">
        <v>8131</v>
      </c>
      <c r="G1852" s="6" t="s">
        <v>8132</v>
      </c>
      <c r="J1852" s="9" t="s">
        <v>8133</v>
      </c>
      <c r="O1852" s="10">
        <f>IFERROR(__xludf.DUMMYFUNCTION("VALUE(REGEXEXTRACT(A1852, ""\d+""))"),2165.0)</f>
        <v>2165</v>
      </c>
    </row>
    <row r="1853">
      <c r="A1853" s="9" t="s">
        <v>8134</v>
      </c>
      <c r="B1853" s="9" t="s">
        <v>8135</v>
      </c>
      <c r="D1853" s="9" t="s">
        <v>8136</v>
      </c>
      <c r="G1853" s="6" t="s">
        <v>8137</v>
      </c>
      <c r="J1853" s="9" t="s">
        <v>8138</v>
      </c>
      <c r="O1853" s="10">
        <f>IFERROR(__xludf.DUMMYFUNCTION("VALUE(REGEXEXTRACT(A1853, ""\d+""))"),2166.0)</f>
        <v>2166</v>
      </c>
    </row>
    <row r="1854">
      <c r="A1854" s="9" t="s">
        <v>8139</v>
      </c>
      <c r="B1854" s="9" t="s">
        <v>8140</v>
      </c>
      <c r="D1854" s="9" t="s">
        <v>8141</v>
      </c>
      <c r="G1854" s="6" t="s">
        <v>8142</v>
      </c>
      <c r="J1854" s="9" t="s">
        <v>8143</v>
      </c>
      <c r="O1854" s="10">
        <f>IFERROR(__xludf.DUMMYFUNCTION("VALUE(REGEXEXTRACT(A1854, ""\d+""))"),2167.0)</f>
        <v>2167</v>
      </c>
    </row>
    <row r="1855">
      <c r="A1855" s="9" t="s">
        <v>8144</v>
      </c>
      <c r="B1855" s="9" t="s">
        <v>8145</v>
      </c>
      <c r="D1855" s="9" t="s">
        <v>8146</v>
      </c>
      <c r="G1855" s="6" t="s">
        <v>8147</v>
      </c>
      <c r="J1855" s="9" t="s">
        <v>8148</v>
      </c>
      <c r="O1855" s="10">
        <f>IFERROR(__xludf.DUMMYFUNCTION("VALUE(REGEXEXTRACT(A1855, ""\d+""))"),2168.0)</f>
        <v>2168</v>
      </c>
    </row>
    <row r="1856">
      <c r="A1856" s="9" t="s">
        <v>8149</v>
      </c>
      <c r="B1856" s="9" t="s">
        <v>8150</v>
      </c>
      <c r="D1856" s="9" t="s">
        <v>8151</v>
      </c>
      <c r="G1856" s="6" t="s">
        <v>8152</v>
      </c>
      <c r="J1856" s="9" t="s">
        <v>8153</v>
      </c>
      <c r="O1856" s="10">
        <f>IFERROR(__xludf.DUMMYFUNCTION("VALUE(REGEXEXTRACT(A1856, ""\d+""))"),2169.0)</f>
        <v>2169</v>
      </c>
    </row>
    <row r="1857">
      <c r="A1857" s="9" t="s">
        <v>8154</v>
      </c>
      <c r="B1857" s="9" t="s">
        <v>8155</v>
      </c>
      <c r="D1857" s="9" t="s">
        <v>8156</v>
      </c>
      <c r="G1857" s="6" t="s">
        <v>8157</v>
      </c>
      <c r="J1857" s="9" t="s">
        <v>8158</v>
      </c>
      <c r="O1857" s="10">
        <f>IFERROR(__xludf.DUMMYFUNCTION("VALUE(REGEXEXTRACT(A1857, ""\d+""))"),2170.0)</f>
        <v>2170</v>
      </c>
    </row>
    <row r="1858">
      <c r="A1858" s="9" t="s">
        <v>8159</v>
      </c>
      <c r="B1858" s="9" t="s">
        <v>8160</v>
      </c>
      <c r="D1858" s="9" t="s">
        <v>8161</v>
      </c>
      <c r="G1858" s="6" t="s">
        <v>8162</v>
      </c>
      <c r="J1858" s="9" t="s">
        <v>8163</v>
      </c>
      <c r="O1858" s="10">
        <f>IFERROR(__xludf.DUMMYFUNCTION("VALUE(REGEXEXTRACT(A1858, ""\d+""))"),2171.0)</f>
        <v>2171</v>
      </c>
    </row>
    <row r="1859">
      <c r="A1859" s="9" t="s">
        <v>8164</v>
      </c>
      <c r="B1859" s="9" t="s">
        <v>8165</v>
      </c>
      <c r="D1859" s="9" t="s">
        <v>8166</v>
      </c>
      <c r="G1859" s="6" t="s">
        <v>8167</v>
      </c>
      <c r="J1859" s="9" t="s">
        <v>8168</v>
      </c>
      <c r="O1859" s="10">
        <f>IFERROR(__xludf.DUMMYFUNCTION("VALUE(REGEXEXTRACT(A1859, ""\d+""))"),2172.0)</f>
        <v>2172</v>
      </c>
    </row>
    <row r="1860">
      <c r="A1860" s="9" t="s">
        <v>8169</v>
      </c>
      <c r="B1860" s="9" t="s">
        <v>8170</v>
      </c>
      <c r="D1860" s="9" t="s">
        <v>8171</v>
      </c>
      <c r="G1860" s="6" t="s">
        <v>8172</v>
      </c>
      <c r="J1860" s="9" t="s">
        <v>8173</v>
      </c>
      <c r="O1860" s="10">
        <f>IFERROR(__xludf.DUMMYFUNCTION("VALUE(REGEXEXTRACT(A1860, ""\d+""))"),2173.0)</f>
        <v>2173</v>
      </c>
    </row>
    <row r="1861">
      <c r="A1861" s="9" t="s">
        <v>8174</v>
      </c>
      <c r="B1861" s="9" t="s">
        <v>8175</v>
      </c>
      <c r="D1861" s="9" t="s">
        <v>8176</v>
      </c>
      <c r="G1861" s="6" t="s">
        <v>8177</v>
      </c>
      <c r="J1861" s="9" t="s">
        <v>8178</v>
      </c>
      <c r="O1861" s="10">
        <f>IFERROR(__xludf.DUMMYFUNCTION("VALUE(REGEXEXTRACT(A1861, ""\d+""))"),2174.0)</f>
        <v>2174</v>
      </c>
    </row>
    <row r="1862">
      <c r="A1862" s="9" t="s">
        <v>8179</v>
      </c>
      <c r="B1862" s="9" t="s">
        <v>8180</v>
      </c>
      <c r="D1862" s="9" t="s">
        <v>8181</v>
      </c>
      <c r="G1862" s="6" t="s">
        <v>8182</v>
      </c>
      <c r="J1862" s="9" t="s">
        <v>8183</v>
      </c>
      <c r="O1862" s="10">
        <f>IFERROR(__xludf.DUMMYFUNCTION("VALUE(REGEXEXTRACT(A1862, ""\d+""))"),2175.0)</f>
        <v>2175</v>
      </c>
    </row>
    <row r="1863">
      <c r="A1863" s="9" t="s">
        <v>8184</v>
      </c>
      <c r="B1863" s="9" t="s">
        <v>8185</v>
      </c>
      <c r="D1863" s="9" t="s">
        <v>8186</v>
      </c>
      <c r="G1863" s="6" t="s">
        <v>8187</v>
      </c>
      <c r="J1863" s="9" t="s">
        <v>8188</v>
      </c>
      <c r="O1863" s="10">
        <f>IFERROR(__xludf.DUMMYFUNCTION("VALUE(REGEXEXTRACT(A1863, ""\d+""))"),2176.0)</f>
        <v>2176</v>
      </c>
    </row>
    <row r="1864">
      <c r="A1864" s="9" t="s">
        <v>8189</v>
      </c>
      <c r="B1864" s="9" t="s">
        <v>8190</v>
      </c>
      <c r="D1864" s="9" t="s">
        <v>8191</v>
      </c>
      <c r="G1864" s="6" t="s">
        <v>8192</v>
      </c>
      <c r="J1864" s="9" t="s">
        <v>8193</v>
      </c>
      <c r="O1864" s="10">
        <f>IFERROR(__xludf.DUMMYFUNCTION("VALUE(REGEXEXTRACT(A1864, ""\d+""))"),2177.0)</f>
        <v>2177</v>
      </c>
    </row>
    <row r="1865">
      <c r="A1865" s="9" t="s">
        <v>8194</v>
      </c>
      <c r="B1865" s="9" t="s">
        <v>8195</v>
      </c>
      <c r="D1865" s="9" t="s">
        <v>8196</v>
      </c>
      <c r="G1865" s="6" t="s">
        <v>8197</v>
      </c>
      <c r="J1865" s="9" t="s">
        <v>8198</v>
      </c>
      <c r="O1865" s="10">
        <f>IFERROR(__xludf.DUMMYFUNCTION("VALUE(REGEXEXTRACT(A1865, ""\d+""))"),2178.0)</f>
        <v>2178</v>
      </c>
    </row>
    <row r="1866">
      <c r="A1866" s="9" t="s">
        <v>8199</v>
      </c>
      <c r="B1866" s="9" t="s">
        <v>8200</v>
      </c>
      <c r="D1866" s="9" t="s">
        <v>8201</v>
      </c>
      <c r="G1866" s="6" t="s">
        <v>8202</v>
      </c>
      <c r="J1866" s="9" t="s">
        <v>8203</v>
      </c>
      <c r="O1866" s="10">
        <f>IFERROR(__xludf.DUMMYFUNCTION("VALUE(REGEXEXTRACT(A1866, ""\d+""))"),2179.0)</f>
        <v>2179</v>
      </c>
    </row>
    <row r="1867">
      <c r="A1867" s="9" t="s">
        <v>8204</v>
      </c>
      <c r="B1867" s="9" t="s">
        <v>8205</v>
      </c>
      <c r="D1867" s="9" t="s">
        <v>8206</v>
      </c>
      <c r="G1867" s="6" t="s">
        <v>8207</v>
      </c>
      <c r="J1867" s="9" t="s">
        <v>8208</v>
      </c>
      <c r="O1867" s="10">
        <f>IFERROR(__xludf.DUMMYFUNCTION("VALUE(REGEXEXTRACT(A1867, ""\d+""))"),2180.0)</f>
        <v>2180</v>
      </c>
    </row>
    <row r="1868">
      <c r="A1868" s="9" t="s">
        <v>8209</v>
      </c>
      <c r="B1868" s="9" t="s">
        <v>8210</v>
      </c>
      <c r="D1868" s="9" t="s">
        <v>8211</v>
      </c>
      <c r="G1868" s="6" t="s">
        <v>8212</v>
      </c>
      <c r="J1868" s="9" t="s">
        <v>8213</v>
      </c>
      <c r="O1868" s="10">
        <f>IFERROR(__xludf.DUMMYFUNCTION("VALUE(REGEXEXTRACT(A1868, ""\d+""))"),2181.0)</f>
        <v>2181</v>
      </c>
    </row>
    <row r="1869">
      <c r="A1869" s="9" t="s">
        <v>8214</v>
      </c>
      <c r="B1869" s="9" t="s">
        <v>8215</v>
      </c>
      <c r="D1869" s="9" t="s">
        <v>8216</v>
      </c>
      <c r="G1869" s="6" t="s">
        <v>8217</v>
      </c>
      <c r="J1869" s="9" t="s">
        <v>8218</v>
      </c>
      <c r="O1869" s="10">
        <f>IFERROR(__xludf.DUMMYFUNCTION("VALUE(REGEXEXTRACT(A1869, ""\d+""))"),2182.0)</f>
        <v>2182</v>
      </c>
    </row>
    <row r="1870">
      <c r="A1870" s="9" t="s">
        <v>8219</v>
      </c>
      <c r="B1870" s="9" t="s">
        <v>8220</v>
      </c>
      <c r="G1870" s="6" t="s">
        <v>8221</v>
      </c>
      <c r="O1870" s="10">
        <f>IFERROR(__xludf.DUMMYFUNCTION("VALUE(REGEXEXTRACT(A1870, ""\d+""))"),2183.0)</f>
        <v>2183</v>
      </c>
    </row>
    <row r="1871">
      <c r="A1871" s="9" t="s">
        <v>8222</v>
      </c>
      <c r="B1871" s="9" t="s">
        <v>8223</v>
      </c>
      <c r="D1871" s="9" t="s">
        <v>8224</v>
      </c>
      <c r="G1871" s="6" t="s">
        <v>8225</v>
      </c>
      <c r="J1871" s="9" t="s">
        <v>8226</v>
      </c>
      <c r="O1871" s="10">
        <f>IFERROR(__xludf.DUMMYFUNCTION("VALUE(REGEXEXTRACT(A1871, ""\d+""))"),2184.0)</f>
        <v>2184</v>
      </c>
    </row>
    <row r="1872">
      <c r="A1872" s="9" t="s">
        <v>8227</v>
      </c>
      <c r="B1872" s="9" t="s">
        <v>8228</v>
      </c>
      <c r="D1872" s="9" t="s">
        <v>8229</v>
      </c>
      <c r="G1872" s="6" t="s">
        <v>8230</v>
      </c>
      <c r="J1872" s="9" t="s">
        <v>8231</v>
      </c>
      <c r="O1872" s="10">
        <f>IFERROR(__xludf.DUMMYFUNCTION("VALUE(REGEXEXTRACT(A1872, ""\d+""))"),2185.0)</f>
        <v>2185</v>
      </c>
    </row>
    <row r="1873">
      <c r="A1873" s="9" t="s">
        <v>8232</v>
      </c>
      <c r="B1873" s="9" t="s">
        <v>8233</v>
      </c>
      <c r="G1873" s="16" t="s">
        <v>8234</v>
      </c>
      <c r="O1873" s="10">
        <f>IFERROR(__xludf.DUMMYFUNCTION("VALUE(REGEXEXTRACT(A1873, ""\d+""))"),2186.0)</f>
        <v>2186</v>
      </c>
    </row>
    <row r="1874">
      <c r="A1874" s="9" t="s">
        <v>8235</v>
      </c>
      <c r="B1874" s="9" t="s">
        <v>8236</v>
      </c>
      <c r="G1874" s="6" t="s">
        <v>8237</v>
      </c>
      <c r="O1874" s="10">
        <f>IFERROR(__xludf.DUMMYFUNCTION("VALUE(REGEXEXTRACT(A1874, ""\d+""))"),2187.0)</f>
        <v>2187</v>
      </c>
    </row>
    <row r="1875">
      <c r="A1875" s="9" t="s">
        <v>8238</v>
      </c>
      <c r="B1875" s="9" t="s">
        <v>8239</v>
      </c>
      <c r="G1875" s="9" t="s">
        <v>8240</v>
      </c>
      <c r="O1875" s="10">
        <f>IFERROR(__xludf.DUMMYFUNCTION("VALUE(REGEXEXTRACT(A1875, ""\d+""))"),2188.0)</f>
        <v>2188</v>
      </c>
    </row>
    <row r="1876">
      <c r="A1876" s="9" t="s">
        <v>8241</v>
      </c>
      <c r="B1876" s="9" t="s">
        <v>8242</v>
      </c>
      <c r="G1876" s="9" t="s">
        <v>8243</v>
      </c>
      <c r="O1876" s="10">
        <f>IFERROR(__xludf.DUMMYFUNCTION("VALUE(REGEXEXTRACT(A1876, ""\d+""))"),2189.0)</f>
        <v>2189</v>
      </c>
    </row>
    <row r="1877">
      <c r="A1877" s="9" t="s">
        <v>8244</v>
      </c>
      <c r="B1877" s="9" t="s">
        <v>8245</v>
      </c>
      <c r="G1877" s="9" t="s">
        <v>8246</v>
      </c>
      <c r="O1877" s="10">
        <f>IFERROR(__xludf.DUMMYFUNCTION("VALUE(REGEXEXTRACT(A1877, ""\d+""))"),2190.0)</f>
        <v>2190</v>
      </c>
    </row>
    <row r="1878">
      <c r="A1878" s="9" t="s">
        <v>8247</v>
      </c>
      <c r="B1878" s="9" t="s">
        <v>8248</v>
      </c>
      <c r="D1878" s="9" t="s">
        <v>8249</v>
      </c>
      <c r="G1878" s="9" t="s">
        <v>8250</v>
      </c>
      <c r="J1878" s="9" t="s">
        <v>8251</v>
      </c>
      <c r="O1878" s="10">
        <f>IFERROR(__xludf.DUMMYFUNCTION("VALUE(REGEXEXTRACT(A1878, ""\d+""))"),2191.0)</f>
        <v>2191</v>
      </c>
    </row>
    <row r="1879">
      <c r="A1879" s="9" t="s">
        <v>8252</v>
      </c>
      <c r="B1879" s="9" t="s">
        <v>8253</v>
      </c>
      <c r="D1879" s="9" t="s">
        <v>8254</v>
      </c>
      <c r="G1879" s="9" t="s">
        <v>8255</v>
      </c>
      <c r="J1879" s="9" t="s">
        <v>8256</v>
      </c>
      <c r="O1879" s="10">
        <f>IFERROR(__xludf.DUMMYFUNCTION("VALUE(REGEXEXTRACT(A1879, ""\d+""))"),2192.0)</f>
        <v>2192</v>
      </c>
    </row>
    <row r="1880">
      <c r="A1880" s="9" t="s">
        <v>8257</v>
      </c>
      <c r="B1880" s="9" t="s">
        <v>8258</v>
      </c>
      <c r="G1880" s="9" t="s">
        <v>8259</v>
      </c>
      <c r="O1880" s="10">
        <f>IFERROR(__xludf.DUMMYFUNCTION("VALUE(REGEXEXTRACT(A1880, ""\d+""))"),2193.0)</f>
        <v>2193</v>
      </c>
    </row>
    <row r="1881">
      <c r="A1881" s="9" t="s">
        <v>8260</v>
      </c>
      <c r="B1881" s="9" t="s">
        <v>8261</v>
      </c>
      <c r="D1881" s="9" t="s">
        <v>8262</v>
      </c>
      <c r="G1881" s="9" t="s">
        <v>8263</v>
      </c>
      <c r="J1881" s="9" t="s">
        <v>8264</v>
      </c>
      <c r="O1881" s="10">
        <f>IFERROR(__xludf.DUMMYFUNCTION("VALUE(REGEXEXTRACT(A1881, ""\d+""))"),2194.0)</f>
        <v>2194</v>
      </c>
    </row>
    <row r="1882">
      <c r="A1882" s="9" t="s">
        <v>8265</v>
      </c>
      <c r="B1882" s="9" t="s">
        <v>8266</v>
      </c>
      <c r="D1882" s="9" t="s">
        <v>8267</v>
      </c>
      <c r="G1882" s="9" t="s">
        <v>8268</v>
      </c>
      <c r="J1882" s="9" t="s">
        <v>8269</v>
      </c>
      <c r="O1882" s="10">
        <f>IFERROR(__xludf.DUMMYFUNCTION("VALUE(REGEXEXTRACT(A1882, ""\d+""))"),2195.0)</f>
        <v>2195</v>
      </c>
    </row>
    <row r="1883">
      <c r="A1883" s="9" t="s">
        <v>8270</v>
      </c>
      <c r="B1883" s="9" t="s">
        <v>8271</v>
      </c>
      <c r="D1883" s="9" t="s">
        <v>8272</v>
      </c>
      <c r="G1883" s="9" t="s">
        <v>8273</v>
      </c>
      <c r="J1883" s="9" t="s">
        <v>8274</v>
      </c>
      <c r="O1883" s="10">
        <f>IFERROR(__xludf.DUMMYFUNCTION("VALUE(REGEXEXTRACT(A1883, ""\d+""))"),2196.0)</f>
        <v>2196</v>
      </c>
    </row>
    <row r="1884">
      <c r="A1884" s="9" t="s">
        <v>8275</v>
      </c>
      <c r="B1884" s="9" t="s">
        <v>8276</v>
      </c>
      <c r="D1884" s="9" t="s">
        <v>8277</v>
      </c>
      <c r="G1884" s="9" t="s">
        <v>8278</v>
      </c>
      <c r="J1884" s="9" t="s">
        <v>8279</v>
      </c>
      <c r="O1884" s="10">
        <f>IFERROR(__xludf.DUMMYFUNCTION("VALUE(REGEXEXTRACT(A1884, ""\d+""))"),2197.0)</f>
        <v>2197</v>
      </c>
    </row>
    <row r="1885">
      <c r="A1885" s="9" t="s">
        <v>8280</v>
      </c>
      <c r="B1885" s="9" t="s">
        <v>8281</v>
      </c>
      <c r="G1885" s="9" t="s">
        <v>8282</v>
      </c>
      <c r="O1885" s="10">
        <f>IFERROR(__xludf.DUMMYFUNCTION("VALUE(REGEXEXTRACT(A1885, ""\d+""))"),2198.0)</f>
        <v>2198</v>
      </c>
    </row>
    <row r="1886">
      <c r="A1886" s="9" t="s">
        <v>8283</v>
      </c>
      <c r="B1886" s="9" t="s">
        <v>8284</v>
      </c>
      <c r="G1886" s="9" t="s">
        <v>8285</v>
      </c>
      <c r="O1886" s="10">
        <f>IFERROR(__xludf.DUMMYFUNCTION("VALUE(REGEXEXTRACT(A1886, ""\d+""))"),2200.0)</f>
        <v>2200</v>
      </c>
    </row>
    <row r="1887">
      <c r="A1887" s="9" t="s">
        <v>8286</v>
      </c>
      <c r="B1887" s="9" t="s">
        <v>8287</v>
      </c>
      <c r="G1887" s="9" t="s">
        <v>8288</v>
      </c>
      <c r="O1887" s="10">
        <f>IFERROR(__xludf.DUMMYFUNCTION("VALUE(REGEXEXTRACT(A1887, ""\d+""))"),2201.0)</f>
        <v>2201</v>
      </c>
    </row>
    <row r="1888">
      <c r="A1888" s="9" t="s">
        <v>8289</v>
      </c>
      <c r="B1888" s="9" t="s">
        <v>8290</v>
      </c>
      <c r="D1888" s="9" t="s">
        <v>8291</v>
      </c>
      <c r="G1888" s="9" t="s">
        <v>8292</v>
      </c>
      <c r="J1888" s="9" t="s">
        <v>8293</v>
      </c>
      <c r="O1888" s="10">
        <f>IFERROR(__xludf.DUMMYFUNCTION("VALUE(REGEXEXTRACT(A1888, ""\d+""))"),2202.0)</f>
        <v>2202</v>
      </c>
    </row>
    <row r="1889">
      <c r="A1889" s="9" t="s">
        <v>8294</v>
      </c>
      <c r="B1889" s="9" t="s">
        <v>8295</v>
      </c>
      <c r="D1889" s="9" t="s">
        <v>8296</v>
      </c>
      <c r="G1889" s="9" t="s">
        <v>8297</v>
      </c>
      <c r="J1889" s="9" t="s">
        <v>8298</v>
      </c>
      <c r="O1889" s="10">
        <f>IFERROR(__xludf.DUMMYFUNCTION("VALUE(REGEXEXTRACT(A1889, ""\d+""))"),2204.0)</f>
        <v>2204</v>
      </c>
    </row>
    <row r="1890">
      <c r="A1890" s="9" t="s">
        <v>8299</v>
      </c>
      <c r="B1890" s="9" t="s">
        <v>8300</v>
      </c>
      <c r="D1890" s="9" t="s">
        <v>8301</v>
      </c>
      <c r="G1890" s="9" t="s">
        <v>8302</v>
      </c>
      <c r="J1890" s="9" t="s">
        <v>8303</v>
      </c>
      <c r="O1890" s="10">
        <f>IFERROR(__xludf.DUMMYFUNCTION("VALUE(REGEXEXTRACT(A1890, ""\d+""))"),2205.0)</f>
        <v>2205</v>
      </c>
    </row>
    <row r="1891">
      <c r="A1891" s="9" t="s">
        <v>8304</v>
      </c>
      <c r="B1891" s="9" t="s">
        <v>8305</v>
      </c>
      <c r="G1891" s="9" t="s">
        <v>8306</v>
      </c>
      <c r="O1891" s="10">
        <f>IFERROR(__xludf.DUMMYFUNCTION("VALUE(REGEXEXTRACT(A1891, ""\d+""))"),2206.0)</f>
        <v>2206</v>
      </c>
    </row>
    <row r="1892">
      <c r="A1892" s="9" t="s">
        <v>8307</v>
      </c>
      <c r="B1892" s="9" t="s">
        <v>8308</v>
      </c>
      <c r="G1892" s="9" t="s">
        <v>8309</v>
      </c>
      <c r="O1892" s="10">
        <f>IFERROR(__xludf.DUMMYFUNCTION("VALUE(REGEXEXTRACT(A1892, ""\d+""))"),2208.0)</f>
        <v>2208</v>
      </c>
    </row>
    <row r="1893">
      <c r="A1893" s="9" t="s">
        <v>8310</v>
      </c>
      <c r="B1893" s="9" t="s">
        <v>8311</v>
      </c>
      <c r="D1893" s="9" t="s">
        <v>8312</v>
      </c>
      <c r="G1893" s="9" t="s">
        <v>8313</v>
      </c>
      <c r="J1893" s="9" t="s">
        <v>8314</v>
      </c>
      <c r="O1893" s="10">
        <f>IFERROR(__xludf.DUMMYFUNCTION("VALUE(REGEXEXTRACT(A1893, ""\d+""))"),2209.0)</f>
        <v>2209</v>
      </c>
    </row>
    <row r="1894">
      <c r="A1894" s="9" t="s">
        <v>8315</v>
      </c>
      <c r="B1894" s="9" t="s">
        <v>8316</v>
      </c>
      <c r="D1894" s="9" t="s">
        <v>8317</v>
      </c>
      <c r="G1894" s="9" t="s">
        <v>8318</v>
      </c>
      <c r="J1894" s="9" t="s">
        <v>8319</v>
      </c>
      <c r="O1894" s="10">
        <f>IFERROR(__xludf.DUMMYFUNCTION("VALUE(REGEXEXTRACT(A1894, ""\d+""))"),2210.0)</f>
        <v>2210</v>
      </c>
    </row>
    <row r="1895">
      <c r="A1895" s="9" t="s">
        <v>8320</v>
      </c>
      <c r="B1895" s="9" t="s">
        <v>8321</v>
      </c>
      <c r="D1895" s="9" t="s">
        <v>8322</v>
      </c>
      <c r="G1895" s="9" t="s">
        <v>8323</v>
      </c>
      <c r="J1895" s="9" t="s">
        <v>8324</v>
      </c>
      <c r="O1895" s="10">
        <f>IFERROR(__xludf.DUMMYFUNCTION("VALUE(REGEXEXTRACT(A1895, ""\d+""))"),2211.0)</f>
        <v>2211</v>
      </c>
    </row>
    <row r="1896">
      <c r="A1896" s="9" t="s">
        <v>8325</v>
      </c>
      <c r="B1896" s="9" t="s">
        <v>8326</v>
      </c>
      <c r="D1896" s="9" t="s">
        <v>8327</v>
      </c>
      <c r="G1896" s="9" t="s">
        <v>8327</v>
      </c>
      <c r="J1896" s="9" t="s">
        <v>8328</v>
      </c>
      <c r="O1896" s="10">
        <f>IFERROR(__xludf.DUMMYFUNCTION("VALUE(REGEXEXTRACT(A1896, ""\d+""))"),2212.0)</f>
        <v>2212</v>
      </c>
    </row>
    <row r="1897">
      <c r="A1897" s="9" t="s">
        <v>8329</v>
      </c>
      <c r="B1897" s="9" t="s">
        <v>8330</v>
      </c>
      <c r="D1897" s="9" t="s">
        <v>8331</v>
      </c>
      <c r="G1897" s="9" t="s">
        <v>8332</v>
      </c>
      <c r="J1897" s="9" t="s">
        <v>8333</v>
      </c>
      <c r="O1897" s="10">
        <f>IFERROR(__xludf.DUMMYFUNCTION("VALUE(REGEXEXTRACT(A1897, ""\d+""))"),2213.0)</f>
        <v>2213</v>
      </c>
    </row>
    <row r="1898">
      <c r="A1898" s="9" t="s">
        <v>8334</v>
      </c>
      <c r="B1898" s="9" t="s">
        <v>8335</v>
      </c>
      <c r="D1898" s="9" t="s">
        <v>8336</v>
      </c>
      <c r="G1898" s="9" t="s">
        <v>8337</v>
      </c>
      <c r="J1898" s="9" t="s">
        <v>8338</v>
      </c>
      <c r="O1898" s="10">
        <f>IFERROR(__xludf.DUMMYFUNCTION("VALUE(REGEXEXTRACT(A1898, ""\d+""))"),2214.0)</f>
        <v>2214</v>
      </c>
    </row>
    <row r="1899">
      <c r="A1899" s="9" t="s">
        <v>8339</v>
      </c>
      <c r="B1899" s="9" t="s">
        <v>8340</v>
      </c>
      <c r="D1899" s="9" t="s">
        <v>8341</v>
      </c>
      <c r="G1899" s="9" t="s">
        <v>8342</v>
      </c>
      <c r="J1899" s="9" t="s">
        <v>8343</v>
      </c>
      <c r="O1899" s="10">
        <f>IFERROR(__xludf.DUMMYFUNCTION("VALUE(REGEXEXTRACT(A1899, ""\d+""))"),2215.0)</f>
        <v>2215</v>
      </c>
    </row>
    <row r="1900">
      <c r="A1900" s="9" t="s">
        <v>8344</v>
      </c>
      <c r="B1900" s="9" t="s">
        <v>8345</v>
      </c>
      <c r="D1900" s="9" t="s">
        <v>8346</v>
      </c>
      <c r="G1900" s="9" t="s">
        <v>8347</v>
      </c>
      <c r="J1900" s="9" t="s">
        <v>8348</v>
      </c>
      <c r="O1900" s="10">
        <f>IFERROR(__xludf.DUMMYFUNCTION("VALUE(REGEXEXTRACT(A1900, ""\d+""))"),2216.0)</f>
        <v>2216</v>
      </c>
    </row>
    <row r="1901">
      <c r="A1901" s="9" t="s">
        <v>8349</v>
      </c>
      <c r="B1901" s="9" t="s">
        <v>8350</v>
      </c>
      <c r="D1901" s="9" t="s">
        <v>8351</v>
      </c>
      <c r="G1901" s="9" t="s">
        <v>8352</v>
      </c>
      <c r="J1901" s="9" t="s">
        <v>8353</v>
      </c>
      <c r="O1901" s="10">
        <f>IFERROR(__xludf.DUMMYFUNCTION("VALUE(REGEXEXTRACT(A1901, ""\d+""))"),2217.0)</f>
        <v>2217</v>
      </c>
    </row>
    <row r="1902">
      <c r="A1902" s="9" t="s">
        <v>8354</v>
      </c>
      <c r="B1902" s="9" t="s">
        <v>8355</v>
      </c>
      <c r="D1902" s="9" t="s">
        <v>8356</v>
      </c>
      <c r="G1902" s="9" t="s">
        <v>8357</v>
      </c>
      <c r="J1902" s="9" t="s">
        <v>8358</v>
      </c>
      <c r="O1902" s="10">
        <f>IFERROR(__xludf.DUMMYFUNCTION("VALUE(REGEXEXTRACT(A1902, ""\d+""))"),2218.0)</f>
        <v>2218</v>
      </c>
    </row>
    <row r="1903">
      <c r="A1903" s="9" t="s">
        <v>8359</v>
      </c>
      <c r="B1903" s="9" t="s">
        <v>8360</v>
      </c>
      <c r="D1903" s="9" t="s">
        <v>8361</v>
      </c>
      <c r="G1903" s="9" t="s">
        <v>8362</v>
      </c>
      <c r="J1903" s="9" t="s">
        <v>8363</v>
      </c>
      <c r="O1903" s="10">
        <f>IFERROR(__xludf.DUMMYFUNCTION("VALUE(REGEXEXTRACT(A1903, ""\d+""))"),2219.0)</f>
        <v>2219</v>
      </c>
    </row>
    <row r="1904">
      <c r="A1904" s="9" t="s">
        <v>8364</v>
      </c>
      <c r="B1904" s="9" t="s">
        <v>8365</v>
      </c>
      <c r="D1904" s="9" t="s">
        <v>8366</v>
      </c>
      <c r="G1904" s="9" t="s">
        <v>8367</v>
      </c>
      <c r="J1904" s="9" t="s">
        <v>8368</v>
      </c>
      <c r="O1904" s="10">
        <f>IFERROR(__xludf.DUMMYFUNCTION("VALUE(REGEXEXTRACT(A1904, ""\d+""))"),2220.0)</f>
        <v>2220</v>
      </c>
    </row>
    <row r="1905">
      <c r="A1905" s="9" t="s">
        <v>8369</v>
      </c>
      <c r="B1905" s="9" t="s">
        <v>8370</v>
      </c>
      <c r="D1905" s="9" t="s">
        <v>8371</v>
      </c>
      <c r="G1905" s="9" t="s">
        <v>8372</v>
      </c>
      <c r="J1905" s="9" t="s">
        <v>8373</v>
      </c>
      <c r="O1905" s="10">
        <f>IFERROR(__xludf.DUMMYFUNCTION("VALUE(REGEXEXTRACT(A1905, ""\d+""))"),2221.0)</f>
        <v>2221</v>
      </c>
    </row>
    <row r="1906">
      <c r="A1906" s="9" t="s">
        <v>8374</v>
      </c>
      <c r="B1906" s="9" t="s">
        <v>8375</v>
      </c>
      <c r="D1906" s="9" t="s">
        <v>8376</v>
      </c>
      <c r="G1906" s="9" t="s">
        <v>8377</v>
      </c>
      <c r="J1906" s="9" t="s">
        <v>8378</v>
      </c>
      <c r="O1906" s="10">
        <f>IFERROR(__xludf.DUMMYFUNCTION("VALUE(REGEXEXTRACT(A1906, ""\d+""))"),2222.0)</f>
        <v>2222</v>
      </c>
    </row>
    <row r="1907">
      <c r="A1907" s="9" t="s">
        <v>8379</v>
      </c>
      <c r="B1907" s="9" t="s">
        <v>8380</v>
      </c>
      <c r="G1907" s="9" t="s">
        <v>8381</v>
      </c>
      <c r="O1907" s="10">
        <f>IFERROR(__xludf.DUMMYFUNCTION("VALUE(REGEXEXTRACT(A1907, ""\d+""))"),2224.0)</f>
        <v>2224</v>
      </c>
    </row>
    <row r="1908">
      <c r="A1908" s="9" t="s">
        <v>8382</v>
      </c>
      <c r="B1908" s="9" t="s">
        <v>8383</v>
      </c>
      <c r="D1908" s="9" t="s">
        <v>8384</v>
      </c>
      <c r="G1908" s="9" t="s">
        <v>8385</v>
      </c>
      <c r="J1908" s="9" t="s">
        <v>8386</v>
      </c>
      <c r="O1908" s="10">
        <f>IFERROR(__xludf.DUMMYFUNCTION("VALUE(REGEXEXTRACT(A1908, ""\d+""))"),2226.0)</f>
        <v>2226</v>
      </c>
    </row>
    <row r="1909">
      <c r="A1909" s="9" t="s">
        <v>8387</v>
      </c>
      <c r="B1909" s="9" t="s">
        <v>8388</v>
      </c>
      <c r="D1909" s="9" t="s">
        <v>8389</v>
      </c>
      <c r="G1909" s="9" t="s">
        <v>8390</v>
      </c>
      <c r="J1909" s="9" t="s">
        <v>8391</v>
      </c>
      <c r="O1909" s="10">
        <f>IFERROR(__xludf.DUMMYFUNCTION("VALUE(REGEXEXTRACT(A1909, ""\d+""))"),2227.0)</f>
        <v>2227</v>
      </c>
    </row>
    <row r="1910">
      <c r="A1910" s="9" t="s">
        <v>8392</v>
      </c>
      <c r="B1910" s="9" t="s">
        <v>8393</v>
      </c>
      <c r="D1910" s="9" t="s">
        <v>8394</v>
      </c>
      <c r="G1910" s="9" t="s">
        <v>8395</v>
      </c>
      <c r="J1910" s="9" t="s">
        <v>8396</v>
      </c>
      <c r="O1910" s="10">
        <f>IFERROR(__xludf.DUMMYFUNCTION("VALUE(REGEXEXTRACT(A1910, ""\d+""))"),2228.0)</f>
        <v>2228</v>
      </c>
    </row>
    <row r="1911">
      <c r="A1911" s="9" t="s">
        <v>8397</v>
      </c>
      <c r="B1911" s="9" t="s">
        <v>8398</v>
      </c>
      <c r="D1911" s="9" t="s">
        <v>8399</v>
      </c>
      <c r="G1911" s="9" t="s">
        <v>8400</v>
      </c>
      <c r="J1911" s="9" t="s">
        <v>8401</v>
      </c>
      <c r="O1911" s="10">
        <f>IFERROR(__xludf.DUMMYFUNCTION("VALUE(REGEXEXTRACT(A1911, ""\d+""))"),2229.0)</f>
        <v>2229</v>
      </c>
    </row>
    <row r="1912">
      <c r="A1912" s="9" t="s">
        <v>8402</v>
      </c>
      <c r="B1912" s="9" t="s">
        <v>8403</v>
      </c>
      <c r="D1912" s="9" t="s">
        <v>8404</v>
      </c>
      <c r="G1912" s="9" t="s">
        <v>8405</v>
      </c>
      <c r="J1912" s="9" t="s">
        <v>8406</v>
      </c>
      <c r="O1912" s="10">
        <f>IFERROR(__xludf.DUMMYFUNCTION("VALUE(REGEXEXTRACT(A1912, ""\d+""))"),2230.0)</f>
        <v>2230</v>
      </c>
    </row>
    <row r="1913">
      <c r="A1913" s="9" t="s">
        <v>8407</v>
      </c>
      <c r="B1913" s="9" t="s">
        <v>8408</v>
      </c>
      <c r="D1913" s="9" t="s">
        <v>8409</v>
      </c>
      <c r="G1913" s="9" t="s">
        <v>8410</v>
      </c>
      <c r="J1913" s="9" t="s">
        <v>8411</v>
      </c>
      <c r="O1913" s="10">
        <f>IFERROR(__xludf.DUMMYFUNCTION("VALUE(REGEXEXTRACT(A1913, ""\d+""))"),2231.0)</f>
        <v>2231</v>
      </c>
    </row>
    <row r="1914">
      <c r="A1914" s="9" t="s">
        <v>8412</v>
      </c>
      <c r="B1914" s="9" t="s">
        <v>8413</v>
      </c>
      <c r="D1914" s="9" t="s">
        <v>8414</v>
      </c>
      <c r="G1914" s="9" t="s">
        <v>8415</v>
      </c>
      <c r="J1914" s="9" t="s">
        <v>8416</v>
      </c>
      <c r="O1914" s="10">
        <f>IFERROR(__xludf.DUMMYFUNCTION("VALUE(REGEXEXTRACT(A1914, ""\d+""))"),2232.0)</f>
        <v>2232</v>
      </c>
    </row>
    <row r="1915">
      <c r="A1915" s="9" t="s">
        <v>8417</v>
      </c>
      <c r="B1915" s="9" t="s">
        <v>8418</v>
      </c>
      <c r="D1915" s="9" t="s">
        <v>8419</v>
      </c>
      <c r="G1915" s="9" t="s">
        <v>8418</v>
      </c>
      <c r="J1915" s="9" t="s">
        <v>8420</v>
      </c>
      <c r="O1915" s="10">
        <f>IFERROR(__xludf.DUMMYFUNCTION("VALUE(REGEXEXTRACT(A1915, ""\d+""))"),2233.0)</f>
        <v>2233</v>
      </c>
    </row>
    <row r="1916">
      <c r="A1916" s="9" t="s">
        <v>8421</v>
      </c>
      <c r="B1916" s="9" t="s">
        <v>8422</v>
      </c>
      <c r="D1916" s="9" t="s">
        <v>8423</v>
      </c>
      <c r="G1916" s="9" t="s">
        <v>8424</v>
      </c>
      <c r="J1916" s="9" t="s">
        <v>8425</v>
      </c>
      <c r="O1916" s="10">
        <f>IFERROR(__xludf.DUMMYFUNCTION("VALUE(REGEXEXTRACT(A1916, ""\d+""))"),2234.0)</f>
        <v>2234</v>
      </c>
    </row>
    <row r="1917">
      <c r="A1917" s="9" t="s">
        <v>8426</v>
      </c>
      <c r="B1917" s="9" t="s">
        <v>8427</v>
      </c>
      <c r="D1917" s="9" t="s">
        <v>8428</v>
      </c>
      <c r="G1917" s="9" t="s">
        <v>8429</v>
      </c>
      <c r="J1917" s="9" t="s">
        <v>8430</v>
      </c>
      <c r="O1917" s="10">
        <f>IFERROR(__xludf.DUMMYFUNCTION("VALUE(REGEXEXTRACT(A1917, ""\d+""))"),2235.0)</f>
        <v>2235</v>
      </c>
    </row>
    <row r="1918">
      <c r="A1918" s="9" t="s">
        <v>8431</v>
      </c>
      <c r="B1918" s="9" t="s">
        <v>8432</v>
      </c>
      <c r="D1918" s="9" t="s">
        <v>8433</v>
      </c>
      <c r="G1918" s="9" t="s">
        <v>8434</v>
      </c>
      <c r="J1918" s="9" t="s">
        <v>8435</v>
      </c>
      <c r="O1918" s="10">
        <f>IFERROR(__xludf.DUMMYFUNCTION("VALUE(REGEXEXTRACT(A1918, ""\d+""))"),2236.0)</f>
        <v>2236</v>
      </c>
    </row>
    <row r="1919">
      <c r="A1919" s="9" t="s">
        <v>8436</v>
      </c>
      <c r="B1919" s="9" t="s">
        <v>8437</v>
      </c>
      <c r="G1919" s="9" t="s">
        <v>8438</v>
      </c>
      <c r="O1919" s="10">
        <f>IFERROR(__xludf.DUMMYFUNCTION("VALUE(REGEXEXTRACT(A1919, ""\d+""))"),2238.0)</f>
        <v>2238</v>
      </c>
    </row>
    <row r="1920">
      <c r="A1920" s="9" t="s">
        <v>8439</v>
      </c>
      <c r="B1920" s="9" t="s">
        <v>8440</v>
      </c>
      <c r="D1920" s="9" t="s">
        <v>8441</v>
      </c>
      <c r="G1920" s="9" t="s">
        <v>8442</v>
      </c>
      <c r="J1920" s="9" t="s">
        <v>8440</v>
      </c>
      <c r="O1920" s="10">
        <f>IFERROR(__xludf.DUMMYFUNCTION("VALUE(REGEXEXTRACT(A1920, ""\d+""))"),2239.0)</f>
        <v>2239</v>
      </c>
    </row>
    <row r="1921">
      <c r="A1921" s="9" t="s">
        <v>8443</v>
      </c>
      <c r="B1921" s="9" t="s">
        <v>8444</v>
      </c>
      <c r="D1921" s="9" t="s">
        <v>8445</v>
      </c>
      <c r="G1921" s="9" t="s">
        <v>8446</v>
      </c>
      <c r="J1921" s="9" t="s">
        <v>8447</v>
      </c>
      <c r="O1921" s="10">
        <f>IFERROR(__xludf.DUMMYFUNCTION("VALUE(REGEXEXTRACT(A1921, ""\d+""))"),2240.0)</f>
        <v>2240</v>
      </c>
    </row>
    <row r="1922">
      <c r="A1922" s="9" t="s">
        <v>8448</v>
      </c>
      <c r="B1922" s="9" t="s">
        <v>8449</v>
      </c>
      <c r="D1922" s="9" t="s">
        <v>8450</v>
      </c>
      <c r="G1922" s="9" t="s">
        <v>8451</v>
      </c>
      <c r="J1922" s="9" t="s">
        <v>8452</v>
      </c>
      <c r="O1922" s="10">
        <f>IFERROR(__xludf.DUMMYFUNCTION("VALUE(REGEXEXTRACT(A1922, ""\d+""))"),2241.0)</f>
        <v>2241</v>
      </c>
    </row>
    <row r="1923">
      <c r="A1923" s="9" t="s">
        <v>8453</v>
      </c>
      <c r="B1923" s="9" t="s">
        <v>8454</v>
      </c>
      <c r="G1923" s="9" t="s">
        <v>8455</v>
      </c>
      <c r="O1923" s="10">
        <f>IFERROR(__xludf.DUMMYFUNCTION("VALUE(REGEXEXTRACT(A1923, ""\d+""))"),2242.0)</f>
        <v>2242</v>
      </c>
    </row>
    <row r="1924">
      <c r="A1924" s="9" t="s">
        <v>8456</v>
      </c>
      <c r="B1924" s="9" t="s">
        <v>8457</v>
      </c>
      <c r="D1924" s="9" t="s">
        <v>8458</v>
      </c>
      <c r="G1924" s="9" t="s">
        <v>8459</v>
      </c>
      <c r="J1924" s="9" t="s">
        <v>8460</v>
      </c>
      <c r="O1924" s="10">
        <f>IFERROR(__xludf.DUMMYFUNCTION("VALUE(REGEXEXTRACT(A1924, ""\d+""))"),2243.0)</f>
        <v>2243</v>
      </c>
    </row>
    <row r="1925">
      <c r="A1925" s="9" t="s">
        <v>8461</v>
      </c>
      <c r="B1925" s="9" t="s">
        <v>8462</v>
      </c>
      <c r="D1925" s="9" t="s">
        <v>8463</v>
      </c>
      <c r="G1925" s="9" t="s">
        <v>8464</v>
      </c>
      <c r="J1925" s="9" t="s">
        <v>8465</v>
      </c>
      <c r="O1925" s="10">
        <f>IFERROR(__xludf.DUMMYFUNCTION("VALUE(REGEXEXTRACT(A1925, ""\d+""))"),2244.0)</f>
        <v>2244</v>
      </c>
    </row>
    <row r="1926">
      <c r="A1926" s="9" t="s">
        <v>8466</v>
      </c>
      <c r="B1926" s="9" t="s">
        <v>8467</v>
      </c>
      <c r="D1926" s="9" t="s">
        <v>8468</v>
      </c>
      <c r="G1926" s="9" t="s">
        <v>8469</v>
      </c>
      <c r="J1926" s="9" t="s">
        <v>8470</v>
      </c>
      <c r="O1926" s="10">
        <f>IFERROR(__xludf.DUMMYFUNCTION("VALUE(REGEXEXTRACT(A1926, ""\d+""))"),2245.0)</f>
        <v>2245</v>
      </c>
    </row>
    <row r="1927">
      <c r="A1927" s="9" t="s">
        <v>8471</v>
      </c>
      <c r="B1927" s="9" t="s">
        <v>8472</v>
      </c>
      <c r="D1927" s="9" t="s">
        <v>8473</v>
      </c>
      <c r="G1927" s="9" t="s">
        <v>8474</v>
      </c>
      <c r="J1927" s="9" t="s">
        <v>8475</v>
      </c>
      <c r="O1927" s="10">
        <f>IFERROR(__xludf.DUMMYFUNCTION("VALUE(REGEXEXTRACT(A1927, ""\d+""))"),2246.0)</f>
        <v>2246</v>
      </c>
    </row>
    <row r="1928">
      <c r="A1928" s="9" t="s">
        <v>8476</v>
      </c>
      <c r="B1928" s="9" t="s">
        <v>8477</v>
      </c>
      <c r="D1928" s="9" t="s">
        <v>8478</v>
      </c>
      <c r="G1928" s="9" t="s">
        <v>8479</v>
      </c>
      <c r="J1928" s="9" t="s">
        <v>8480</v>
      </c>
      <c r="O1928" s="10">
        <f>IFERROR(__xludf.DUMMYFUNCTION("VALUE(REGEXEXTRACT(A1928, ""\d+""))"),2247.0)</f>
        <v>2247</v>
      </c>
    </row>
    <row r="1929">
      <c r="A1929" s="9" t="s">
        <v>8481</v>
      </c>
      <c r="B1929" s="9" t="s">
        <v>8482</v>
      </c>
      <c r="D1929" s="9" t="s">
        <v>8483</v>
      </c>
      <c r="G1929" s="9" t="s">
        <v>8484</v>
      </c>
      <c r="J1929" s="9" t="s">
        <v>8485</v>
      </c>
      <c r="O1929" s="10">
        <f>IFERROR(__xludf.DUMMYFUNCTION("VALUE(REGEXEXTRACT(A1929, ""\d+""))"),2248.0)</f>
        <v>2248</v>
      </c>
    </row>
    <row r="1930">
      <c r="A1930" s="9" t="s">
        <v>8486</v>
      </c>
      <c r="B1930" s="9" t="s">
        <v>8487</v>
      </c>
      <c r="D1930" s="9" t="s">
        <v>8488</v>
      </c>
      <c r="G1930" s="9" t="s">
        <v>8489</v>
      </c>
      <c r="J1930" s="9" t="s">
        <v>8490</v>
      </c>
      <c r="O1930" s="10">
        <f>IFERROR(__xludf.DUMMYFUNCTION("VALUE(REGEXEXTRACT(A1930, ""\d+""))"),2249.0)</f>
        <v>2249</v>
      </c>
    </row>
    <row r="1931">
      <c r="A1931" s="9" t="s">
        <v>8491</v>
      </c>
      <c r="B1931" s="9" t="s">
        <v>8492</v>
      </c>
      <c r="D1931" s="9" t="s">
        <v>8493</v>
      </c>
      <c r="G1931" s="9" t="s">
        <v>8494</v>
      </c>
      <c r="J1931" s="9" t="s">
        <v>8495</v>
      </c>
      <c r="O1931" s="10">
        <f>IFERROR(__xludf.DUMMYFUNCTION("VALUE(REGEXEXTRACT(A1931, ""\d+""))"),2250.0)</f>
        <v>2250</v>
      </c>
    </row>
    <row r="1932">
      <c r="A1932" s="9" t="s">
        <v>8496</v>
      </c>
      <c r="B1932" s="9" t="s">
        <v>8497</v>
      </c>
      <c r="D1932" s="9" t="s">
        <v>8498</v>
      </c>
      <c r="G1932" s="9" t="s">
        <v>8498</v>
      </c>
      <c r="J1932" s="9" t="s">
        <v>8499</v>
      </c>
      <c r="O1932" s="10">
        <f>IFERROR(__xludf.DUMMYFUNCTION("VALUE(REGEXEXTRACT(A1932, ""\d+""))"),2251.0)</f>
        <v>2251</v>
      </c>
    </row>
    <row r="1933">
      <c r="A1933" s="9" t="s">
        <v>8500</v>
      </c>
      <c r="B1933" s="9" t="s">
        <v>8501</v>
      </c>
      <c r="D1933" s="9" t="s">
        <v>8502</v>
      </c>
      <c r="G1933" s="9" t="s">
        <v>8503</v>
      </c>
      <c r="J1933" s="9" t="s">
        <v>8504</v>
      </c>
      <c r="O1933" s="10">
        <f>IFERROR(__xludf.DUMMYFUNCTION("VALUE(REGEXEXTRACT(A1933, ""\d+""))"),2252.0)</f>
        <v>2252</v>
      </c>
    </row>
    <row r="1934">
      <c r="A1934" s="9" t="s">
        <v>8505</v>
      </c>
      <c r="B1934" s="9" t="s">
        <v>8506</v>
      </c>
      <c r="D1934" s="9" t="s">
        <v>8507</v>
      </c>
      <c r="G1934" s="9" t="s">
        <v>8508</v>
      </c>
      <c r="J1934" s="9" t="s">
        <v>8509</v>
      </c>
      <c r="O1934" s="10">
        <f>IFERROR(__xludf.DUMMYFUNCTION("VALUE(REGEXEXTRACT(A1934, ""\d+""))"),2253.0)</f>
        <v>2253</v>
      </c>
    </row>
    <row r="1935">
      <c r="A1935" s="9" t="s">
        <v>8510</v>
      </c>
      <c r="B1935" s="9" t="s">
        <v>8511</v>
      </c>
      <c r="D1935" s="9" t="s">
        <v>8512</v>
      </c>
      <c r="G1935" s="9" t="s">
        <v>8513</v>
      </c>
      <c r="J1935" s="9" t="s">
        <v>8514</v>
      </c>
      <c r="O1935" s="10">
        <f>IFERROR(__xludf.DUMMYFUNCTION("VALUE(REGEXEXTRACT(A1935, ""\d+""))"),2254.0)</f>
        <v>2254</v>
      </c>
    </row>
    <row r="1936">
      <c r="A1936" s="9" t="s">
        <v>8515</v>
      </c>
      <c r="B1936" s="9" t="s">
        <v>8516</v>
      </c>
      <c r="D1936" s="9" t="s">
        <v>8517</v>
      </c>
      <c r="G1936" s="9" t="s">
        <v>8518</v>
      </c>
      <c r="J1936" s="9" t="s">
        <v>8519</v>
      </c>
      <c r="O1936" s="10">
        <f>IFERROR(__xludf.DUMMYFUNCTION("VALUE(REGEXEXTRACT(A1936, ""\d+""))"),2255.0)</f>
        <v>2255</v>
      </c>
    </row>
    <row r="1937">
      <c r="A1937" s="9" t="s">
        <v>8520</v>
      </c>
      <c r="B1937" s="9" t="s">
        <v>8521</v>
      </c>
      <c r="D1937" s="9" t="s">
        <v>8522</v>
      </c>
      <c r="G1937" s="9" t="s">
        <v>8523</v>
      </c>
      <c r="J1937" s="9" t="s">
        <v>8524</v>
      </c>
      <c r="O1937" s="10">
        <f>IFERROR(__xludf.DUMMYFUNCTION("VALUE(REGEXEXTRACT(A1937, ""\d+""))"),2256.0)</f>
        <v>2256</v>
      </c>
    </row>
    <row r="1938">
      <c r="A1938" s="9" t="s">
        <v>8525</v>
      </c>
      <c r="B1938" s="9" t="s">
        <v>8526</v>
      </c>
      <c r="D1938" s="9" t="s">
        <v>8527</v>
      </c>
      <c r="G1938" s="9" t="s">
        <v>8528</v>
      </c>
      <c r="J1938" s="9" t="s">
        <v>8529</v>
      </c>
      <c r="O1938" s="10">
        <f>IFERROR(__xludf.DUMMYFUNCTION("VALUE(REGEXEXTRACT(A1938, ""\d+""))"),2257.0)</f>
        <v>2257</v>
      </c>
    </row>
    <row r="1939">
      <c r="A1939" s="9" t="s">
        <v>8530</v>
      </c>
      <c r="B1939" s="9" t="s">
        <v>8531</v>
      </c>
      <c r="D1939" s="9" t="s">
        <v>8532</v>
      </c>
      <c r="G1939" s="9" t="s">
        <v>8533</v>
      </c>
      <c r="J1939" s="9" t="s">
        <v>8534</v>
      </c>
      <c r="O1939" s="10">
        <f>IFERROR(__xludf.DUMMYFUNCTION("VALUE(REGEXEXTRACT(A1939, ""\d+""))"),2258.0)</f>
        <v>2258</v>
      </c>
    </row>
    <row r="1940">
      <c r="A1940" s="9" t="s">
        <v>8535</v>
      </c>
      <c r="B1940" s="9" t="s">
        <v>8536</v>
      </c>
      <c r="D1940" s="9" t="s">
        <v>8537</v>
      </c>
      <c r="G1940" s="9" t="s">
        <v>8538</v>
      </c>
      <c r="J1940" s="9" t="s">
        <v>8539</v>
      </c>
      <c r="O1940" s="10">
        <f>IFERROR(__xludf.DUMMYFUNCTION("VALUE(REGEXEXTRACT(A1940, ""\d+""))"),2259.0)</f>
        <v>2259</v>
      </c>
    </row>
    <row r="1941">
      <c r="A1941" s="9" t="s">
        <v>8540</v>
      </c>
      <c r="B1941" s="9" t="s">
        <v>8541</v>
      </c>
      <c r="D1941" s="9" t="s">
        <v>8542</v>
      </c>
      <c r="G1941" s="9" t="s">
        <v>8543</v>
      </c>
      <c r="J1941" s="9" t="s">
        <v>8544</v>
      </c>
      <c r="O1941" s="10">
        <f>IFERROR(__xludf.DUMMYFUNCTION("VALUE(REGEXEXTRACT(A1941, ""\d+""))"),2260.0)</f>
        <v>2260</v>
      </c>
    </row>
    <row r="1942">
      <c r="A1942" s="9" t="s">
        <v>8545</v>
      </c>
      <c r="B1942" s="9" t="s">
        <v>8546</v>
      </c>
      <c r="D1942" s="9" t="s">
        <v>8547</v>
      </c>
      <c r="G1942" s="9" t="s">
        <v>8548</v>
      </c>
      <c r="J1942" s="9" t="s">
        <v>8549</v>
      </c>
      <c r="O1942" s="10">
        <f>IFERROR(__xludf.DUMMYFUNCTION("VALUE(REGEXEXTRACT(A1942, ""\d+""))"),2261.0)</f>
        <v>2261</v>
      </c>
    </row>
    <row r="1943">
      <c r="A1943" s="9" t="s">
        <v>8550</v>
      </c>
      <c r="B1943" s="9" t="s">
        <v>8551</v>
      </c>
      <c r="D1943" s="9" t="s">
        <v>8552</v>
      </c>
      <c r="G1943" s="9" t="s">
        <v>8553</v>
      </c>
      <c r="J1943" s="9" t="s">
        <v>8554</v>
      </c>
      <c r="O1943" s="10">
        <f>IFERROR(__xludf.DUMMYFUNCTION("VALUE(REGEXEXTRACT(A1943, ""\d+""))"),2262.0)</f>
        <v>2262</v>
      </c>
    </row>
    <row r="1944">
      <c r="A1944" s="9" t="s">
        <v>8555</v>
      </c>
      <c r="B1944" s="9" t="s">
        <v>8556</v>
      </c>
      <c r="D1944" s="9" t="s">
        <v>8557</v>
      </c>
      <c r="G1944" s="9" t="s">
        <v>8558</v>
      </c>
      <c r="J1944" s="9" t="s">
        <v>8559</v>
      </c>
      <c r="O1944" s="10">
        <f>IFERROR(__xludf.DUMMYFUNCTION("VALUE(REGEXEXTRACT(A1944, ""\d+""))"),2263.0)</f>
        <v>2263</v>
      </c>
    </row>
    <row r="1945">
      <c r="A1945" s="9" t="s">
        <v>8560</v>
      </c>
      <c r="B1945" s="9" t="s">
        <v>8561</v>
      </c>
      <c r="D1945" s="9" t="s">
        <v>8562</v>
      </c>
      <c r="G1945" s="9" t="s">
        <v>8563</v>
      </c>
      <c r="J1945" s="9" t="s">
        <v>8564</v>
      </c>
      <c r="O1945" s="10">
        <f>IFERROR(__xludf.DUMMYFUNCTION("VALUE(REGEXEXTRACT(A1945, ""\d+""))"),2264.0)</f>
        <v>2264</v>
      </c>
    </row>
    <row r="1946">
      <c r="A1946" s="9" t="s">
        <v>8565</v>
      </c>
      <c r="B1946" s="9" t="s">
        <v>8566</v>
      </c>
      <c r="D1946" s="9" t="s">
        <v>8567</v>
      </c>
      <c r="G1946" s="9" t="s">
        <v>8568</v>
      </c>
      <c r="J1946" s="9" t="s">
        <v>8569</v>
      </c>
      <c r="O1946" s="10">
        <f>IFERROR(__xludf.DUMMYFUNCTION("VALUE(REGEXEXTRACT(A1946, ""\d+""))"),2265.0)</f>
        <v>2265</v>
      </c>
    </row>
    <row r="1947">
      <c r="A1947" s="9" t="s">
        <v>8570</v>
      </c>
      <c r="B1947" s="9" t="s">
        <v>8571</v>
      </c>
      <c r="D1947" s="9" t="s">
        <v>8572</v>
      </c>
      <c r="G1947" s="9" t="s">
        <v>8573</v>
      </c>
      <c r="J1947" s="9" t="s">
        <v>8574</v>
      </c>
      <c r="O1947" s="10">
        <f>IFERROR(__xludf.DUMMYFUNCTION("VALUE(REGEXEXTRACT(A1947, ""\d+""))"),2266.0)</f>
        <v>2266</v>
      </c>
    </row>
    <row r="1948">
      <c r="A1948" s="9" t="s">
        <v>8575</v>
      </c>
      <c r="B1948" s="9" t="s">
        <v>8576</v>
      </c>
      <c r="D1948" s="9" t="s">
        <v>8577</v>
      </c>
      <c r="G1948" s="9" t="s">
        <v>8578</v>
      </c>
      <c r="J1948" s="9" t="s">
        <v>8579</v>
      </c>
      <c r="O1948" s="10">
        <f>IFERROR(__xludf.DUMMYFUNCTION("VALUE(REGEXEXTRACT(A1948, ""\d+""))"),2267.0)</f>
        <v>2267</v>
      </c>
    </row>
    <row r="1949">
      <c r="A1949" s="9" t="s">
        <v>8580</v>
      </c>
      <c r="B1949" s="9" t="s">
        <v>8581</v>
      </c>
      <c r="D1949" s="9" t="s">
        <v>8582</v>
      </c>
      <c r="G1949" s="9" t="s">
        <v>8583</v>
      </c>
      <c r="J1949" s="9" t="s">
        <v>8584</v>
      </c>
      <c r="O1949" s="10">
        <f>IFERROR(__xludf.DUMMYFUNCTION("VALUE(REGEXEXTRACT(A1949, ""\d+""))"),2268.0)</f>
        <v>2268</v>
      </c>
    </row>
    <row r="1950">
      <c r="A1950" s="9" t="s">
        <v>8585</v>
      </c>
      <c r="B1950" s="9" t="s">
        <v>8586</v>
      </c>
      <c r="D1950" s="9" t="s">
        <v>8587</v>
      </c>
      <c r="G1950" s="9" t="s">
        <v>8588</v>
      </c>
      <c r="J1950" s="9" t="s">
        <v>8589</v>
      </c>
      <c r="O1950" s="10">
        <f>IFERROR(__xludf.DUMMYFUNCTION("VALUE(REGEXEXTRACT(A1950, ""\d+""))"),2269.0)</f>
        <v>2269</v>
      </c>
    </row>
    <row r="1951">
      <c r="A1951" s="9" t="s">
        <v>8590</v>
      </c>
      <c r="B1951" s="9" t="s">
        <v>8591</v>
      </c>
      <c r="D1951" s="9" t="s">
        <v>8592</v>
      </c>
      <c r="G1951" s="9" t="s">
        <v>8593</v>
      </c>
      <c r="J1951" s="9" t="s">
        <v>8594</v>
      </c>
      <c r="O1951" s="10">
        <f>IFERROR(__xludf.DUMMYFUNCTION("VALUE(REGEXEXTRACT(A1951, ""\d+""))"),2270.0)</f>
        <v>2270</v>
      </c>
    </row>
    <row r="1952">
      <c r="A1952" s="9" t="s">
        <v>8595</v>
      </c>
      <c r="B1952" s="9" t="s">
        <v>8596</v>
      </c>
      <c r="G1952" s="9" t="s">
        <v>8597</v>
      </c>
      <c r="O1952" s="10">
        <f>IFERROR(__xludf.DUMMYFUNCTION("VALUE(REGEXEXTRACT(A1952, ""\d+""))"),2271.0)</f>
        <v>2271</v>
      </c>
    </row>
    <row r="1953">
      <c r="A1953" s="9" t="s">
        <v>8598</v>
      </c>
      <c r="B1953" s="9" t="s">
        <v>8599</v>
      </c>
      <c r="D1953" s="9" t="s">
        <v>8600</v>
      </c>
      <c r="G1953" s="9" t="s">
        <v>8601</v>
      </c>
      <c r="J1953" s="9" t="s">
        <v>8602</v>
      </c>
      <c r="O1953" s="10">
        <f>IFERROR(__xludf.DUMMYFUNCTION("VALUE(REGEXEXTRACT(A1953, ""\d+""))"),2274.0)</f>
        <v>2274</v>
      </c>
    </row>
    <row r="1954">
      <c r="A1954" s="9" t="s">
        <v>8603</v>
      </c>
      <c r="B1954" s="9" t="s">
        <v>8604</v>
      </c>
      <c r="G1954" s="9" t="s">
        <v>8605</v>
      </c>
      <c r="O1954" s="10">
        <f>IFERROR(__xludf.DUMMYFUNCTION("VALUE(REGEXEXTRACT(A1954, ""\d+""))"),2275.0)</f>
        <v>2275</v>
      </c>
    </row>
    <row r="1955">
      <c r="A1955" s="9" t="s">
        <v>8606</v>
      </c>
      <c r="B1955" s="9" t="s">
        <v>8607</v>
      </c>
      <c r="D1955" s="9" t="s">
        <v>8608</v>
      </c>
      <c r="G1955" s="9" t="s">
        <v>8609</v>
      </c>
      <c r="J1955" s="9" t="s">
        <v>8610</v>
      </c>
      <c r="O1955" s="10">
        <f>IFERROR(__xludf.DUMMYFUNCTION("VALUE(REGEXEXTRACT(A1955, ""\d+""))"),2276.0)</f>
        <v>2276</v>
      </c>
    </row>
    <row r="1956">
      <c r="A1956" s="9" t="s">
        <v>8611</v>
      </c>
      <c r="B1956" s="9" t="s">
        <v>8612</v>
      </c>
      <c r="G1956" s="9" t="s">
        <v>8613</v>
      </c>
      <c r="O1956" s="10">
        <f>IFERROR(__xludf.DUMMYFUNCTION("VALUE(REGEXEXTRACT(A1956, ""\d+""))"),2277.0)</f>
        <v>2277</v>
      </c>
    </row>
    <row r="1957">
      <c r="A1957" s="9" t="s">
        <v>8614</v>
      </c>
      <c r="B1957" s="9" t="s">
        <v>8615</v>
      </c>
      <c r="D1957" s="9" t="s">
        <v>8616</v>
      </c>
      <c r="G1957" s="9" t="s">
        <v>8617</v>
      </c>
      <c r="J1957" s="9" t="s">
        <v>8618</v>
      </c>
      <c r="O1957" s="10">
        <f>IFERROR(__xludf.DUMMYFUNCTION("VALUE(REGEXEXTRACT(A1957, ""\d+""))"),2278.0)</f>
        <v>2278</v>
      </c>
    </row>
    <row r="1958">
      <c r="A1958" s="9" t="s">
        <v>8619</v>
      </c>
      <c r="B1958" s="9" t="s">
        <v>8620</v>
      </c>
      <c r="D1958" s="9" t="s">
        <v>8621</v>
      </c>
      <c r="G1958" s="9" t="s">
        <v>8622</v>
      </c>
      <c r="J1958" s="9" t="s">
        <v>8623</v>
      </c>
      <c r="O1958" s="10">
        <f>IFERROR(__xludf.DUMMYFUNCTION("VALUE(REGEXEXTRACT(A1958, ""\d+""))"),2280.0)</f>
        <v>2280</v>
      </c>
    </row>
    <row r="1959">
      <c r="A1959" s="9" t="s">
        <v>8624</v>
      </c>
      <c r="B1959" s="9" t="s">
        <v>8625</v>
      </c>
      <c r="D1959" s="9" t="s">
        <v>8626</v>
      </c>
      <c r="G1959" s="9" t="s">
        <v>8627</v>
      </c>
      <c r="J1959" s="9" t="s">
        <v>8628</v>
      </c>
      <c r="O1959" s="10">
        <f>IFERROR(__xludf.DUMMYFUNCTION("VALUE(REGEXEXTRACT(A1959, ""\d+""))"),2281.0)</f>
        <v>2281</v>
      </c>
    </row>
    <row r="1960">
      <c r="A1960" s="9" t="s">
        <v>8629</v>
      </c>
      <c r="B1960" s="9" t="s">
        <v>8630</v>
      </c>
      <c r="G1960" s="9" t="s">
        <v>8631</v>
      </c>
      <c r="O1960" s="10">
        <f>IFERROR(__xludf.DUMMYFUNCTION("VALUE(REGEXEXTRACT(A1960, ""\d+""))"),2283.0)</f>
        <v>2283</v>
      </c>
    </row>
    <row r="1961">
      <c r="A1961" s="9" t="s">
        <v>8632</v>
      </c>
      <c r="B1961" s="9" t="s">
        <v>8633</v>
      </c>
      <c r="D1961" s="9" t="s">
        <v>8634</v>
      </c>
      <c r="G1961" s="9" t="s">
        <v>8635</v>
      </c>
      <c r="J1961" s="9" t="s">
        <v>8636</v>
      </c>
      <c r="O1961" s="10">
        <f>IFERROR(__xludf.DUMMYFUNCTION("VALUE(REGEXEXTRACT(A1961, ""\d+""))"),2284.0)</f>
        <v>2284</v>
      </c>
    </row>
    <row r="1962">
      <c r="A1962" s="9" t="s">
        <v>8637</v>
      </c>
      <c r="B1962" s="9" t="s">
        <v>8638</v>
      </c>
      <c r="G1962" s="9" t="s">
        <v>8639</v>
      </c>
      <c r="O1962" s="10">
        <f>IFERROR(__xludf.DUMMYFUNCTION("VALUE(REGEXEXTRACT(A1962, ""\d+""))"),2285.0)</f>
        <v>2285</v>
      </c>
    </row>
    <row r="1963">
      <c r="A1963" s="9" t="s">
        <v>8640</v>
      </c>
      <c r="B1963" s="9" t="s">
        <v>8641</v>
      </c>
      <c r="D1963" s="9" t="s">
        <v>8642</v>
      </c>
      <c r="G1963" s="9" t="s">
        <v>8643</v>
      </c>
      <c r="J1963" s="9" t="s">
        <v>8644</v>
      </c>
      <c r="O1963" s="10">
        <f>IFERROR(__xludf.DUMMYFUNCTION("VALUE(REGEXEXTRACT(A1963, ""\d+""))"),2286.0)</f>
        <v>2286</v>
      </c>
    </row>
    <row r="1964">
      <c r="A1964" s="9" t="s">
        <v>8645</v>
      </c>
      <c r="B1964" s="9" t="s">
        <v>8646</v>
      </c>
      <c r="D1964" s="9" t="s">
        <v>8647</v>
      </c>
      <c r="G1964" s="9" t="s">
        <v>8648</v>
      </c>
      <c r="J1964" s="9" t="s">
        <v>8649</v>
      </c>
      <c r="O1964" s="10">
        <f>IFERROR(__xludf.DUMMYFUNCTION("VALUE(REGEXEXTRACT(A1964, ""\d+""))"),2287.0)</f>
        <v>2287</v>
      </c>
    </row>
    <row r="1965">
      <c r="A1965" s="9" t="s">
        <v>8650</v>
      </c>
      <c r="B1965" s="9" t="s">
        <v>8651</v>
      </c>
      <c r="D1965" s="9" t="s">
        <v>8652</v>
      </c>
      <c r="G1965" s="9" t="s">
        <v>8653</v>
      </c>
      <c r="J1965" s="9" t="s">
        <v>8654</v>
      </c>
      <c r="O1965" s="10">
        <f>IFERROR(__xludf.DUMMYFUNCTION("VALUE(REGEXEXTRACT(A1965, ""\d+""))"),2289.0)</f>
        <v>2289</v>
      </c>
    </row>
    <row r="1966">
      <c r="A1966" s="9" t="s">
        <v>8655</v>
      </c>
      <c r="B1966" s="9" t="s">
        <v>8656</v>
      </c>
      <c r="D1966" s="9" t="s">
        <v>8657</v>
      </c>
      <c r="G1966" s="9" t="s">
        <v>8658</v>
      </c>
      <c r="J1966" s="9" t="s">
        <v>8659</v>
      </c>
      <c r="O1966" s="10">
        <f>IFERROR(__xludf.DUMMYFUNCTION("VALUE(REGEXEXTRACT(A1966, ""\d+""))"),2290.0)</f>
        <v>2290</v>
      </c>
    </row>
    <row r="1967">
      <c r="A1967" s="9" t="s">
        <v>8660</v>
      </c>
      <c r="B1967" s="9" t="s">
        <v>8661</v>
      </c>
      <c r="D1967" s="9" t="s">
        <v>8662</v>
      </c>
      <c r="G1967" s="9" t="s">
        <v>8663</v>
      </c>
      <c r="J1967" s="9" t="s">
        <v>8664</v>
      </c>
      <c r="O1967" s="10">
        <f>IFERROR(__xludf.DUMMYFUNCTION("VALUE(REGEXEXTRACT(A1967, ""\d+""))"),2291.0)</f>
        <v>2291</v>
      </c>
    </row>
    <row r="1968">
      <c r="A1968" s="9" t="s">
        <v>8665</v>
      </c>
      <c r="B1968" s="9" t="s">
        <v>8666</v>
      </c>
      <c r="D1968" s="9" t="s">
        <v>8667</v>
      </c>
      <c r="G1968" s="9" t="s">
        <v>8668</v>
      </c>
      <c r="J1968" s="9" t="s">
        <v>8669</v>
      </c>
      <c r="O1968" s="10">
        <f>IFERROR(__xludf.DUMMYFUNCTION("VALUE(REGEXEXTRACT(A1968, ""\d+""))"),2292.0)</f>
        <v>2292</v>
      </c>
    </row>
    <row r="1969">
      <c r="A1969" s="9" t="s">
        <v>8670</v>
      </c>
      <c r="B1969" s="9" t="s">
        <v>8671</v>
      </c>
      <c r="G1969" s="9" t="s">
        <v>8672</v>
      </c>
      <c r="O1969" s="10">
        <f>IFERROR(__xludf.DUMMYFUNCTION("VALUE(REGEXEXTRACT(A1969, ""\d+""))"),2293.0)</f>
        <v>2293</v>
      </c>
    </row>
    <row r="1970">
      <c r="A1970" s="9" t="s">
        <v>8673</v>
      </c>
      <c r="B1970" s="9" t="s">
        <v>8674</v>
      </c>
      <c r="D1970" s="9" t="s">
        <v>8675</v>
      </c>
      <c r="G1970" s="9" t="s">
        <v>8676</v>
      </c>
      <c r="J1970" s="9" t="s">
        <v>8677</v>
      </c>
      <c r="O1970" s="10">
        <f>IFERROR(__xludf.DUMMYFUNCTION("VALUE(REGEXEXTRACT(A1970, ""\d+""))"),2294.0)</f>
        <v>2294</v>
      </c>
    </row>
    <row r="1971">
      <c r="A1971" s="9" t="s">
        <v>8678</v>
      </c>
      <c r="B1971" s="9" t="s">
        <v>8679</v>
      </c>
      <c r="D1971" s="9" t="s">
        <v>8680</v>
      </c>
      <c r="G1971" s="9" t="s">
        <v>8681</v>
      </c>
      <c r="J1971" s="9" t="s">
        <v>8679</v>
      </c>
      <c r="O1971" s="10">
        <f>IFERROR(__xludf.DUMMYFUNCTION("VALUE(REGEXEXTRACT(A1971, ""\d+""))"),2295.0)</f>
        <v>2295</v>
      </c>
    </row>
    <row r="1972">
      <c r="A1972" s="9" t="s">
        <v>8682</v>
      </c>
      <c r="B1972" s="9" t="s">
        <v>8683</v>
      </c>
      <c r="D1972" s="9" t="s">
        <v>8684</v>
      </c>
      <c r="G1972" s="9" t="s">
        <v>8685</v>
      </c>
      <c r="J1972" s="9" t="s">
        <v>8686</v>
      </c>
      <c r="O1972" s="10">
        <f>IFERROR(__xludf.DUMMYFUNCTION("VALUE(REGEXEXTRACT(A1972, ""\d+""))"),2296.0)</f>
        <v>2296</v>
      </c>
    </row>
    <row r="1973">
      <c r="A1973" s="9" t="s">
        <v>8687</v>
      </c>
      <c r="B1973" s="9" t="s">
        <v>8688</v>
      </c>
      <c r="D1973" s="9" t="s">
        <v>8689</v>
      </c>
      <c r="G1973" s="9" t="s">
        <v>8690</v>
      </c>
      <c r="J1973" s="9" t="s">
        <v>8691</v>
      </c>
      <c r="O1973" s="10">
        <f>IFERROR(__xludf.DUMMYFUNCTION("VALUE(REGEXEXTRACT(A1973, ""\d+""))"),2297.0)</f>
        <v>2297</v>
      </c>
    </row>
    <row r="1974">
      <c r="A1974" s="9" t="s">
        <v>8692</v>
      </c>
      <c r="B1974" s="9" t="s">
        <v>8693</v>
      </c>
      <c r="D1974" s="9" t="s">
        <v>8694</v>
      </c>
      <c r="G1974" s="9" t="s">
        <v>8695</v>
      </c>
      <c r="J1974" s="9" t="s">
        <v>8696</v>
      </c>
      <c r="O1974" s="10">
        <f>IFERROR(__xludf.DUMMYFUNCTION("VALUE(REGEXEXTRACT(A1974, ""\d+""))"),2298.0)</f>
        <v>2298</v>
      </c>
    </row>
    <row r="1975">
      <c r="A1975" s="9" t="s">
        <v>8697</v>
      </c>
      <c r="B1975" s="9" t="s">
        <v>8698</v>
      </c>
      <c r="D1975" s="9" t="s">
        <v>8699</v>
      </c>
      <c r="G1975" s="9" t="s">
        <v>8700</v>
      </c>
      <c r="J1975" s="9" t="s">
        <v>8701</v>
      </c>
      <c r="O1975" s="10">
        <f>IFERROR(__xludf.DUMMYFUNCTION("VALUE(REGEXEXTRACT(A1975, ""\d+""))"),2299.0)</f>
        <v>2299</v>
      </c>
    </row>
    <row r="1976">
      <c r="A1976" s="9" t="s">
        <v>8702</v>
      </c>
      <c r="B1976" s="9" t="s">
        <v>8703</v>
      </c>
      <c r="D1976" s="9" t="s">
        <v>8704</v>
      </c>
      <c r="G1976" s="9" t="s">
        <v>8705</v>
      </c>
      <c r="J1976" s="9" t="s">
        <v>8706</v>
      </c>
      <c r="O1976" s="10">
        <f>IFERROR(__xludf.DUMMYFUNCTION("VALUE(REGEXEXTRACT(A1976, ""\d+""))"),2300.0)</f>
        <v>2300</v>
      </c>
    </row>
    <row r="1977">
      <c r="A1977" s="9" t="s">
        <v>8707</v>
      </c>
      <c r="B1977" s="9" t="s">
        <v>8708</v>
      </c>
      <c r="D1977" s="9" t="s">
        <v>8709</v>
      </c>
      <c r="G1977" s="9" t="s">
        <v>8710</v>
      </c>
      <c r="J1977" s="9" t="s">
        <v>8711</v>
      </c>
      <c r="O1977" s="10">
        <f>IFERROR(__xludf.DUMMYFUNCTION("VALUE(REGEXEXTRACT(A1977, ""\d+""))"),2301.0)</f>
        <v>2301</v>
      </c>
    </row>
    <row r="1978">
      <c r="A1978" s="9" t="s">
        <v>8712</v>
      </c>
      <c r="B1978" s="9" t="s">
        <v>8713</v>
      </c>
      <c r="G1978" s="9" t="s">
        <v>8714</v>
      </c>
      <c r="O1978" s="10">
        <f>IFERROR(__xludf.DUMMYFUNCTION("VALUE(REGEXEXTRACT(A1978, ""\d+""))"),2302.0)</f>
        <v>2302</v>
      </c>
    </row>
    <row r="1979">
      <c r="A1979" s="9" t="s">
        <v>8715</v>
      </c>
      <c r="B1979" s="9" t="s">
        <v>8716</v>
      </c>
      <c r="D1979" s="9" t="s">
        <v>8717</v>
      </c>
      <c r="G1979" s="9" t="s">
        <v>8718</v>
      </c>
      <c r="J1979" s="9" t="s">
        <v>8719</v>
      </c>
      <c r="O1979" s="10">
        <f>IFERROR(__xludf.DUMMYFUNCTION("VALUE(REGEXEXTRACT(A1979, ""\d+""))"),2303.0)</f>
        <v>2303</v>
      </c>
    </row>
    <row r="1980">
      <c r="A1980" s="9" t="s">
        <v>8720</v>
      </c>
      <c r="B1980" s="9" t="s">
        <v>8721</v>
      </c>
      <c r="D1980" s="9" t="s">
        <v>8722</v>
      </c>
      <c r="G1980" s="9" t="s">
        <v>8723</v>
      </c>
      <c r="J1980" s="9" t="s">
        <v>8724</v>
      </c>
      <c r="O1980" s="10">
        <f>IFERROR(__xludf.DUMMYFUNCTION("VALUE(REGEXEXTRACT(A1980, ""\d+""))"),2304.0)</f>
        <v>2304</v>
      </c>
    </row>
    <row r="1981">
      <c r="A1981" s="9" t="s">
        <v>8725</v>
      </c>
      <c r="B1981" s="9" t="s">
        <v>8726</v>
      </c>
      <c r="D1981" s="9" t="s">
        <v>8727</v>
      </c>
      <c r="G1981" s="9" t="s">
        <v>8728</v>
      </c>
      <c r="J1981" s="9" t="s">
        <v>8729</v>
      </c>
      <c r="O1981" s="10">
        <f>IFERROR(__xludf.DUMMYFUNCTION("VALUE(REGEXEXTRACT(A1981, ""\d+""))"),2305.0)</f>
        <v>2305</v>
      </c>
    </row>
    <row r="1982">
      <c r="A1982" s="9" t="s">
        <v>8730</v>
      </c>
      <c r="B1982" s="9" t="s">
        <v>8731</v>
      </c>
      <c r="G1982" s="9" t="s">
        <v>8732</v>
      </c>
      <c r="O1982" s="10">
        <f>IFERROR(__xludf.DUMMYFUNCTION("VALUE(REGEXEXTRACT(A1982, ""\d+""))"),2306.0)</f>
        <v>2306</v>
      </c>
    </row>
    <row r="1983">
      <c r="A1983" s="9" t="s">
        <v>8733</v>
      </c>
      <c r="B1983" s="9" t="s">
        <v>8734</v>
      </c>
      <c r="D1983" s="9" t="s">
        <v>8735</v>
      </c>
      <c r="G1983" s="9" t="s">
        <v>8736</v>
      </c>
      <c r="J1983" s="9" t="s">
        <v>8737</v>
      </c>
      <c r="O1983" s="10">
        <f>IFERROR(__xludf.DUMMYFUNCTION("VALUE(REGEXEXTRACT(A1983, ""\d+""))"),2307.0)</f>
        <v>2307</v>
      </c>
    </row>
    <row r="1984">
      <c r="A1984" s="9" t="s">
        <v>8738</v>
      </c>
      <c r="B1984" s="9" t="s">
        <v>8739</v>
      </c>
      <c r="D1984" s="9" t="s">
        <v>8740</v>
      </c>
      <c r="G1984" s="9" t="s">
        <v>8741</v>
      </c>
      <c r="J1984" s="9" t="s">
        <v>8742</v>
      </c>
      <c r="O1984" s="10">
        <f>IFERROR(__xludf.DUMMYFUNCTION("VALUE(REGEXEXTRACT(A1984, ""\d+""))"),2308.0)</f>
        <v>2308</v>
      </c>
    </row>
    <row r="1985">
      <c r="A1985" s="9" t="s">
        <v>8743</v>
      </c>
      <c r="B1985" s="9" t="s">
        <v>8744</v>
      </c>
      <c r="D1985" s="9" t="s">
        <v>8745</v>
      </c>
      <c r="G1985" s="9" t="s">
        <v>8746</v>
      </c>
      <c r="J1985" s="9" t="s">
        <v>8747</v>
      </c>
      <c r="O1985" s="10">
        <f>IFERROR(__xludf.DUMMYFUNCTION("VALUE(REGEXEXTRACT(A1985, ""\d+""))"),2309.0)</f>
        <v>2309</v>
      </c>
    </row>
    <row r="1986">
      <c r="A1986" s="9" t="s">
        <v>8748</v>
      </c>
      <c r="B1986" s="9" t="s">
        <v>8749</v>
      </c>
      <c r="D1986" s="9" t="s">
        <v>8750</v>
      </c>
      <c r="G1986" s="9" t="s">
        <v>8751</v>
      </c>
      <c r="J1986" s="9" t="s">
        <v>8752</v>
      </c>
      <c r="O1986" s="10">
        <f>IFERROR(__xludf.DUMMYFUNCTION("VALUE(REGEXEXTRACT(A1986, ""\d+""))"),2311.0)</f>
        <v>2311</v>
      </c>
    </row>
    <row r="1987">
      <c r="A1987" s="9" t="s">
        <v>8753</v>
      </c>
      <c r="B1987" s="9" t="s">
        <v>8754</v>
      </c>
      <c r="D1987" s="9" t="s">
        <v>8755</v>
      </c>
      <c r="G1987" s="9" t="s">
        <v>8756</v>
      </c>
      <c r="J1987" s="9" t="s">
        <v>8757</v>
      </c>
      <c r="O1987" s="10">
        <f>IFERROR(__xludf.DUMMYFUNCTION("VALUE(REGEXEXTRACT(A1987, ""\d+""))"),2312.0)</f>
        <v>2312</v>
      </c>
    </row>
    <row r="1988">
      <c r="A1988" s="9" t="s">
        <v>8758</v>
      </c>
      <c r="B1988" s="9" t="s">
        <v>8759</v>
      </c>
      <c r="D1988" s="9" t="s">
        <v>8760</v>
      </c>
      <c r="G1988" s="9" t="s">
        <v>8761</v>
      </c>
      <c r="J1988" s="9" t="s">
        <v>8762</v>
      </c>
      <c r="O1988" s="10">
        <f>IFERROR(__xludf.DUMMYFUNCTION("VALUE(REGEXEXTRACT(A1988, ""\d+""))"),2313.0)</f>
        <v>2313</v>
      </c>
    </row>
    <row r="1989">
      <c r="A1989" s="9" t="s">
        <v>8763</v>
      </c>
      <c r="B1989" s="9" t="s">
        <v>8764</v>
      </c>
      <c r="D1989" s="9" t="s">
        <v>8765</v>
      </c>
      <c r="G1989" s="9" t="s">
        <v>8766</v>
      </c>
      <c r="J1989" s="9" t="s">
        <v>8767</v>
      </c>
      <c r="O1989" s="10">
        <f>IFERROR(__xludf.DUMMYFUNCTION("VALUE(REGEXEXTRACT(A1989, ""\d+""))"),2314.0)</f>
        <v>2314</v>
      </c>
    </row>
    <row r="1990">
      <c r="A1990" s="9" t="s">
        <v>8768</v>
      </c>
      <c r="B1990" s="9" t="s">
        <v>8769</v>
      </c>
      <c r="D1990" s="9" t="s">
        <v>8770</v>
      </c>
      <c r="G1990" s="9" t="s">
        <v>8771</v>
      </c>
      <c r="J1990" s="9" t="s">
        <v>8772</v>
      </c>
      <c r="O1990" s="10">
        <f>IFERROR(__xludf.DUMMYFUNCTION("VALUE(REGEXEXTRACT(A1990, ""\d+""))"),2315.0)</f>
        <v>2315</v>
      </c>
    </row>
    <row r="1991">
      <c r="A1991" s="9" t="s">
        <v>8773</v>
      </c>
      <c r="B1991" s="9" t="s">
        <v>8774</v>
      </c>
      <c r="D1991" s="9" t="s">
        <v>8775</v>
      </c>
      <c r="G1991" s="9" t="s">
        <v>8776</v>
      </c>
      <c r="J1991" s="9" t="s">
        <v>8777</v>
      </c>
      <c r="O1991" s="10">
        <f>IFERROR(__xludf.DUMMYFUNCTION("VALUE(REGEXEXTRACT(A1991, ""\d+""))"),2316.0)</f>
        <v>2316</v>
      </c>
    </row>
    <row r="1992">
      <c r="A1992" s="9" t="s">
        <v>8778</v>
      </c>
      <c r="B1992" s="9" t="s">
        <v>8779</v>
      </c>
      <c r="D1992" s="9" t="s">
        <v>8780</v>
      </c>
      <c r="G1992" s="9" t="s">
        <v>8781</v>
      </c>
      <c r="J1992" s="9" t="s">
        <v>8782</v>
      </c>
      <c r="O1992" s="10">
        <f>IFERROR(__xludf.DUMMYFUNCTION("VALUE(REGEXEXTRACT(A1992, ""\d+""))"),2317.0)</f>
        <v>2317</v>
      </c>
    </row>
    <row r="1993">
      <c r="A1993" s="9" t="s">
        <v>8783</v>
      </c>
      <c r="B1993" s="9" t="s">
        <v>8784</v>
      </c>
      <c r="D1993" s="9" t="s">
        <v>8785</v>
      </c>
      <c r="G1993" s="9" t="s">
        <v>8786</v>
      </c>
      <c r="J1993" s="9" t="s">
        <v>8787</v>
      </c>
      <c r="O1993" s="10">
        <f>IFERROR(__xludf.DUMMYFUNCTION("VALUE(REGEXEXTRACT(A1993, ""\d+""))"),2318.0)</f>
        <v>2318</v>
      </c>
    </row>
    <row r="1994">
      <c r="A1994" s="9" t="s">
        <v>8788</v>
      </c>
      <c r="B1994" s="9" t="s">
        <v>8789</v>
      </c>
      <c r="D1994" s="9" t="s">
        <v>8790</v>
      </c>
      <c r="G1994" s="9" t="s">
        <v>8791</v>
      </c>
      <c r="J1994" s="9" t="s">
        <v>8792</v>
      </c>
      <c r="O1994" s="10">
        <f>IFERROR(__xludf.DUMMYFUNCTION("VALUE(REGEXEXTRACT(A1994, ""\d+""))"),2319.0)</f>
        <v>2319</v>
      </c>
    </row>
    <row r="1995">
      <c r="A1995" s="9" t="s">
        <v>8793</v>
      </c>
      <c r="B1995" s="9" t="s">
        <v>8794</v>
      </c>
      <c r="D1995" s="9" t="s">
        <v>8795</v>
      </c>
      <c r="G1995" s="9" t="s">
        <v>8796</v>
      </c>
      <c r="J1995" s="9" t="s">
        <v>8797</v>
      </c>
      <c r="O1995" s="10">
        <f>IFERROR(__xludf.DUMMYFUNCTION("VALUE(REGEXEXTRACT(A1995, ""\d+""))"),2320.0)</f>
        <v>2320</v>
      </c>
    </row>
    <row r="1996">
      <c r="A1996" s="9" t="s">
        <v>8798</v>
      </c>
      <c r="B1996" s="9" t="s">
        <v>8799</v>
      </c>
      <c r="D1996" s="9" t="s">
        <v>8800</v>
      </c>
      <c r="G1996" s="9" t="s">
        <v>8801</v>
      </c>
      <c r="J1996" s="9" t="s">
        <v>8802</v>
      </c>
      <c r="O1996" s="10">
        <f>IFERROR(__xludf.DUMMYFUNCTION("VALUE(REGEXEXTRACT(A1996, ""\d+""))"),2321.0)</f>
        <v>2321</v>
      </c>
    </row>
    <row r="1997">
      <c r="A1997" s="9" t="s">
        <v>8803</v>
      </c>
      <c r="B1997" s="9" t="s">
        <v>8804</v>
      </c>
      <c r="D1997" s="9" t="s">
        <v>8805</v>
      </c>
      <c r="G1997" s="9" t="s">
        <v>8806</v>
      </c>
      <c r="J1997" s="9" t="s">
        <v>8807</v>
      </c>
      <c r="O1997" s="10">
        <f>IFERROR(__xludf.DUMMYFUNCTION("VALUE(REGEXEXTRACT(A1997, ""\d+""))"),2325.0)</f>
        <v>2325</v>
      </c>
    </row>
    <row r="1998">
      <c r="A1998" s="9" t="s">
        <v>8808</v>
      </c>
      <c r="B1998" s="9" t="s">
        <v>8809</v>
      </c>
      <c r="D1998" s="9" t="s">
        <v>8810</v>
      </c>
      <c r="G1998" s="9" t="s">
        <v>8811</v>
      </c>
      <c r="J1998" s="9" t="s">
        <v>8812</v>
      </c>
      <c r="O1998" s="10">
        <f>IFERROR(__xludf.DUMMYFUNCTION("VALUE(REGEXEXTRACT(A1998, ""\d+""))"),2326.0)</f>
        <v>2326</v>
      </c>
    </row>
    <row r="1999">
      <c r="A1999" s="9" t="s">
        <v>8813</v>
      </c>
      <c r="B1999" s="9" t="s">
        <v>8814</v>
      </c>
      <c r="D1999" s="9" t="s">
        <v>8815</v>
      </c>
      <c r="G1999" s="9" t="s">
        <v>8816</v>
      </c>
      <c r="J1999" s="9" t="s">
        <v>8817</v>
      </c>
      <c r="O1999" s="10">
        <f>IFERROR(__xludf.DUMMYFUNCTION("VALUE(REGEXEXTRACT(A1999, ""\d+""))"),2328.0)</f>
        <v>2328</v>
      </c>
    </row>
    <row r="2000">
      <c r="A2000" s="9" t="s">
        <v>8818</v>
      </c>
      <c r="B2000" s="9" t="s">
        <v>8819</v>
      </c>
      <c r="D2000" s="9" t="s">
        <v>8820</v>
      </c>
      <c r="G2000" s="9" t="s">
        <v>8821</v>
      </c>
      <c r="J2000" s="9" t="s">
        <v>8822</v>
      </c>
      <c r="O2000" s="10">
        <f>IFERROR(__xludf.DUMMYFUNCTION("VALUE(REGEXEXTRACT(A2000, ""\d+""))"),2329.0)</f>
        <v>2329</v>
      </c>
    </row>
    <row r="2001">
      <c r="A2001" s="9" t="s">
        <v>8823</v>
      </c>
      <c r="B2001" s="9" t="s">
        <v>8824</v>
      </c>
      <c r="D2001" s="9" t="s">
        <v>8825</v>
      </c>
      <c r="G2001" s="9" t="s">
        <v>8826</v>
      </c>
      <c r="J2001" s="9" t="s">
        <v>8827</v>
      </c>
      <c r="O2001" s="10">
        <f>IFERROR(__xludf.DUMMYFUNCTION("VALUE(REGEXEXTRACT(A2001, ""\d+""))"),2330.0)</f>
        <v>2330</v>
      </c>
    </row>
    <row r="2002">
      <c r="A2002" s="9" t="s">
        <v>8828</v>
      </c>
      <c r="B2002" s="9" t="s">
        <v>8829</v>
      </c>
      <c r="D2002" s="9" t="s">
        <v>8830</v>
      </c>
      <c r="G2002" s="9" t="s">
        <v>8831</v>
      </c>
      <c r="J2002" s="9" t="s">
        <v>8832</v>
      </c>
      <c r="O2002" s="10">
        <f>IFERROR(__xludf.DUMMYFUNCTION("VALUE(REGEXEXTRACT(A2002, ""\d+""))"),2331.0)</f>
        <v>2331</v>
      </c>
    </row>
    <row r="2003">
      <c r="A2003" s="9" t="s">
        <v>8833</v>
      </c>
      <c r="B2003" s="9" t="s">
        <v>8834</v>
      </c>
      <c r="D2003" s="9" t="s">
        <v>8835</v>
      </c>
      <c r="G2003" s="9" t="s">
        <v>8836</v>
      </c>
      <c r="J2003" s="9" t="s">
        <v>8837</v>
      </c>
      <c r="O2003" s="10">
        <f>IFERROR(__xludf.DUMMYFUNCTION("VALUE(REGEXEXTRACT(A2003, ""\d+""))"),2332.0)</f>
        <v>2332</v>
      </c>
    </row>
    <row r="2004">
      <c r="A2004" s="9" t="s">
        <v>8838</v>
      </c>
      <c r="B2004" s="9" t="s">
        <v>8839</v>
      </c>
      <c r="D2004" s="9" t="s">
        <v>8840</v>
      </c>
      <c r="G2004" s="9" t="s">
        <v>8841</v>
      </c>
      <c r="J2004" s="9" t="s">
        <v>8842</v>
      </c>
      <c r="O2004" s="10">
        <f>IFERROR(__xludf.DUMMYFUNCTION("VALUE(REGEXEXTRACT(A2004, ""\d+""))"),2333.0)</f>
        <v>2333</v>
      </c>
    </row>
    <row r="2005">
      <c r="A2005" s="9" t="s">
        <v>8843</v>
      </c>
      <c r="B2005" s="9" t="s">
        <v>8844</v>
      </c>
      <c r="G2005" s="9" t="s">
        <v>8845</v>
      </c>
      <c r="O2005" s="10">
        <f>IFERROR(__xludf.DUMMYFUNCTION("VALUE(REGEXEXTRACT(A2005, ""\d+""))"),2334.0)</f>
        <v>2334</v>
      </c>
    </row>
    <row r="2006">
      <c r="A2006" s="9" t="s">
        <v>8846</v>
      </c>
      <c r="B2006" s="9" t="s">
        <v>8847</v>
      </c>
      <c r="D2006" s="9" t="s">
        <v>8848</v>
      </c>
      <c r="G2006" s="9" t="s">
        <v>8849</v>
      </c>
      <c r="J2006" s="9" t="s">
        <v>8850</v>
      </c>
      <c r="O2006" s="10">
        <f>IFERROR(__xludf.DUMMYFUNCTION("VALUE(REGEXEXTRACT(A2006, ""\d+""))"),2335.0)</f>
        <v>2335</v>
      </c>
    </row>
    <row r="2007">
      <c r="A2007" s="9" t="s">
        <v>8851</v>
      </c>
      <c r="B2007" s="9" t="s">
        <v>8852</v>
      </c>
      <c r="D2007" s="9" t="s">
        <v>8853</v>
      </c>
      <c r="G2007" s="9" t="s">
        <v>8854</v>
      </c>
      <c r="J2007" s="9" t="s">
        <v>8855</v>
      </c>
      <c r="O2007" s="10">
        <f>IFERROR(__xludf.DUMMYFUNCTION("VALUE(REGEXEXTRACT(A2007, ""\d+""))"),2336.0)</f>
        <v>2336</v>
      </c>
    </row>
    <row r="2008">
      <c r="A2008" s="9" t="s">
        <v>8856</v>
      </c>
      <c r="B2008" s="9" t="s">
        <v>8857</v>
      </c>
      <c r="D2008" s="9" t="s">
        <v>8858</v>
      </c>
      <c r="G2008" s="9" t="s">
        <v>8859</v>
      </c>
      <c r="J2008" s="9" t="s">
        <v>8860</v>
      </c>
      <c r="O2008" s="10">
        <f>IFERROR(__xludf.DUMMYFUNCTION("VALUE(REGEXEXTRACT(A2008, ""\d+""))"),2337.0)</f>
        <v>2337</v>
      </c>
    </row>
    <row r="2009">
      <c r="A2009" s="9" t="s">
        <v>8861</v>
      </c>
      <c r="B2009" s="9" t="s">
        <v>8862</v>
      </c>
      <c r="D2009" s="9" t="s">
        <v>8863</v>
      </c>
      <c r="G2009" s="9" t="s">
        <v>8864</v>
      </c>
      <c r="J2009" s="9" t="s">
        <v>8865</v>
      </c>
      <c r="O2009" s="10">
        <f>IFERROR(__xludf.DUMMYFUNCTION("VALUE(REGEXEXTRACT(A2009, ""\d+""))"),2338.0)</f>
        <v>2338</v>
      </c>
    </row>
    <row r="2010">
      <c r="A2010" s="9" t="s">
        <v>8866</v>
      </c>
      <c r="B2010" s="9" t="s">
        <v>8867</v>
      </c>
      <c r="D2010" s="9" t="s">
        <v>8868</v>
      </c>
      <c r="G2010" s="9" t="s">
        <v>8869</v>
      </c>
      <c r="J2010" s="9" t="s">
        <v>8860</v>
      </c>
      <c r="O2010" s="10">
        <f>IFERROR(__xludf.DUMMYFUNCTION("VALUE(REGEXEXTRACT(A2010, ""\d+""))"),2339.0)</f>
        <v>2339</v>
      </c>
    </row>
    <row r="2011">
      <c r="A2011" s="9" t="s">
        <v>8870</v>
      </c>
      <c r="B2011" s="9" t="s">
        <v>8871</v>
      </c>
      <c r="D2011" s="9" t="s">
        <v>8872</v>
      </c>
      <c r="G2011" s="9" t="s">
        <v>8873</v>
      </c>
      <c r="J2011" s="9" t="s">
        <v>8874</v>
      </c>
      <c r="O2011" s="10">
        <f>IFERROR(__xludf.DUMMYFUNCTION("VALUE(REGEXEXTRACT(A2011, ""\d+""))"),2340.0)</f>
        <v>2340</v>
      </c>
    </row>
    <row r="2012">
      <c r="A2012" s="9" t="s">
        <v>8875</v>
      </c>
      <c r="B2012" s="9" t="s">
        <v>8876</v>
      </c>
      <c r="D2012" s="9" t="s">
        <v>8877</v>
      </c>
      <c r="G2012" s="9" t="s">
        <v>8878</v>
      </c>
      <c r="J2012" s="9" t="s">
        <v>8879</v>
      </c>
      <c r="O2012" s="10">
        <f>IFERROR(__xludf.DUMMYFUNCTION("VALUE(REGEXEXTRACT(A2012, ""\d+""))"),2341.0)</f>
        <v>2341</v>
      </c>
    </row>
    <row r="2013">
      <c r="A2013" s="9" t="s">
        <v>8880</v>
      </c>
      <c r="B2013" s="9" t="s">
        <v>8881</v>
      </c>
      <c r="D2013" s="9" t="s">
        <v>8882</v>
      </c>
      <c r="G2013" s="9" t="s">
        <v>8883</v>
      </c>
      <c r="J2013" s="9" t="s">
        <v>8884</v>
      </c>
      <c r="O2013" s="10">
        <f>IFERROR(__xludf.DUMMYFUNCTION("VALUE(REGEXEXTRACT(A2013, ""\d+""))"),2342.0)</f>
        <v>2342</v>
      </c>
    </row>
    <row r="2014">
      <c r="A2014" s="9" t="s">
        <v>8885</v>
      </c>
      <c r="B2014" s="9" t="s">
        <v>8886</v>
      </c>
      <c r="G2014" s="9" t="s">
        <v>8887</v>
      </c>
      <c r="O2014" s="10">
        <f>IFERROR(__xludf.DUMMYFUNCTION("VALUE(REGEXEXTRACT(A2014, ""\d+""))"),2343.0)</f>
        <v>2343</v>
      </c>
    </row>
    <row r="2015">
      <c r="A2015" s="9" t="s">
        <v>8888</v>
      </c>
      <c r="B2015" s="9" t="s">
        <v>8889</v>
      </c>
      <c r="D2015" s="9" t="s">
        <v>8890</v>
      </c>
      <c r="G2015" s="9" t="s">
        <v>8891</v>
      </c>
      <c r="J2015" s="9" t="s">
        <v>8892</v>
      </c>
      <c r="O2015" s="10">
        <f>IFERROR(__xludf.DUMMYFUNCTION("VALUE(REGEXEXTRACT(A2015, ""\d+""))"),2347.0)</f>
        <v>2347</v>
      </c>
    </row>
    <row r="2016">
      <c r="A2016" s="9" t="s">
        <v>8893</v>
      </c>
      <c r="B2016" s="9" t="s">
        <v>8894</v>
      </c>
      <c r="D2016" s="9" t="s">
        <v>8895</v>
      </c>
      <c r="G2016" s="9" t="s">
        <v>8896</v>
      </c>
      <c r="J2016" s="9" t="s">
        <v>8897</v>
      </c>
      <c r="O2016" s="10">
        <f>IFERROR(__xludf.DUMMYFUNCTION("VALUE(REGEXEXTRACT(A2016, ""\d+""))"),2348.0)</f>
        <v>2348</v>
      </c>
    </row>
    <row r="2017">
      <c r="A2017" s="9" t="s">
        <v>8898</v>
      </c>
      <c r="B2017" s="9" t="s">
        <v>8899</v>
      </c>
      <c r="D2017" s="9" t="s">
        <v>8900</v>
      </c>
      <c r="G2017" s="9" t="s">
        <v>8901</v>
      </c>
      <c r="J2017" s="9" t="s">
        <v>8902</v>
      </c>
      <c r="O2017" s="10">
        <f>IFERROR(__xludf.DUMMYFUNCTION("VALUE(REGEXEXTRACT(A2017, ""\d+""))"),2355.0)</f>
        <v>2355</v>
      </c>
    </row>
    <row r="2018">
      <c r="A2018" s="9" t="s">
        <v>8903</v>
      </c>
      <c r="B2018" s="9" t="s">
        <v>8904</v>
      </c>
      <c r="D2018" s="9" t="s">
        <v>8905</v>
      </c>
      <c r="G2018" s="9" t="s">
        <v>8906</v>
      </c>
      <c r="J2018" s="9" t="s">
        <v>8907</v>
      </c>
      <c r="O2018" s="10">
        <f>IFERROR(__xludf.DUMMYFUNCTION("VALUE(REGEXEXTRACT(A2018, ""\d+""))"),2356.0)</f>
        <v>2356</v>
      </c>
    </row>
    <row r="2019">
      <c r="A2019" s="9" t="s">
        <v>8908</v>
      </c>
      <c r="B2019" s="9" t="s">
        <v>8909</v>
      </c>
      <c r="G2019" s="9" t="s">
        <v>8910</v>
      </c>
      <c r="O2019" s="10">
        <f>IFERROR(__xludf.DUMMYFUNCTION("VALUE(REGEXEXTRACT(A2019, ""\d+""))"),2357.0)</f>
        <v>2357</v>
      </c>
    </row>
    <row r="2020">
      <c r="A2020" s="9" t="s">
        <v>8911</v>
      </c>
      <c r="B2020" s="9" t="s">
        <v>8912</v>
      </c>
      <c r="D2020" s="9" t="s">
        <v>8913</v>
      </c>
      <c r="G2020" s="9" t="s">
        <v>8914</v>
      </c>
      <c r="J2020" s="9" t="s">
        <v>8915</v>
      </c>
      <c r="O2020" s="10">
        <f>IFERROR(__xludf.DUMMYFUNCTION("VALUE(REGEXEXTRACT(A2020, ""\d+""))"),2359.0)</f>
        <v>2359</v>
      </c>
    </row>
    <row r="2021">
      <c r="A2021" s="9" t="s">
        <v>8916</v>
      </c>
      <c r="B2021" s="9" t="s">
        <v>8917</v>
      </c>
      <c r="G2021" s="9" t="s">
        <v>8918</v>
      </c>
      <c r="O2021" s="10">
        <f>IFERROR(__xludf.DUMMYFUNCTION("VALUE(REGEXEXTRACT(A2021, ""\d+""))"),2360.0)</f>
        <v>2360</v>
      </c>
    </row>
    <row r="2022">
      <c r="A2022" s="9" t="s">
        <v>8919</v>
      </c>
      <c r="B2022" s="9" t="s">
        <v>8920</v>
      </c>
      <c r="D2022" s="9" t="s">
        <v>8921</v>
      </c>
      <c r="G2022" s="9" t="s">
        <v>8922</v>
      </c>
      <c r="J2022" s="9" t="s">
        <v>8923</v>
      </c>
      <c r="O2022" s="10">
        <f>IFERROR(__xludf.DUMMYFUNCTION("VALUE(REGEXEXTRACT(A2022, ""\d+""))"),2361.0)</f>
        <v>2361</v>
      </c>
    </row>
    <row r="2023">
      <c r="A2023" s="9" t="s">
        <v>8924</v>
      </c>
      <c r="B2023" s="9" t="s">
        <v>8925</v>
      </c>
      <c r="D2023" s="9" t="s">
        <v>8926</v>
      </c>
      <c r="G2023" s="9" t="s">
        <v>8927</v>
      </c>
      <c r="J2023" s="9" t="s">
        <v>8928</v>
      </c>
      <c r="O2023" s="10">
        <f>IFERROR(__xludf.DUMMYFUNCTION("VALUE(REGEXEXTRACT(A2023, ""\d+""))"),2363.0)</f>
        <v>2363</v>
      </c>
    </row>
    <row r="2024">
      <c r="A2024" s="9" t="s">
        <v>8929</v>
      </c>
      <c r="B2024" s="9" t="s">
        <v>8930</v>
      </c>
      <c r="D2024" s="9" t="s">
        <v>8931</v>
      </c>
      <c r="G2024" s="9" t="s">
        <v>8932</v>
      </c>
      <c r="J2024" s="9" t="s">
        <v>8933</v>
      </c>
      <c r="O2024" s="10">
        <f>IFERROR(__xludf.DUMMYFUNCTION("VALUE(REGEXEXTRACT(A2024, ""\d+""))"),2364.0)</f>
        <v>2364</v>
      </c>
    </row>
    <row r="2025">
      <c r="A2025" s="9" t="s">
        <v>8934</v>
      </c>
      <c r="B2025" s="9" t="s">
        <v>8935</v>
      </c>
      <c r="D2025" s="9" t="s">
        <v>8936</v>
      </c>
      <c r="G2025" s="9" t="s">
        <v>8937</v>
      </c>
      <c r="J2025" s="9" t="s">
        <v>8938</v>
      </c>
      <c r="O2025" s="10">
        <f>IFERROR(__xludf.DUMMYFUNCTION("VALUE(REGEXEXTRACT(A2025, ""\d+""))"),2365.0)</f>
        <v>2365</v>
      </c>
    </row>
    <row r="2026">
      <c r="A2026" s="9" t="s">
        <v>8939</v>
      </c>
      <c r="B2026" s="9" t="s">
        <v>8940</v>
      </c>
      <c r="D2026" s="9" t="s">
        <v>8941</v>
      </c>
      <c r="G2026" s="9" t="s">
        <v>8942</v>
      </c>
      <c r="J2026" s="9" t="s">
        <v>8943</v>
      </c>
      <c r="O2026" s="10">
        <f>IFERROR(__xludf.DUMMYFUNCTION("VALUE(REGEXEXTRACT(A2026, ""\d+""))"),2366.0)</f>
        <v>2366</v>
      </c>
    </row>
    <row r="2027">
      <c r="A2027" s="9" t="s">
        <v>8944</v>
      </c>
      <c r="B2027" s="9" t="s">
        <v>8945</v>
      </c>
      <c r="D2027" s="9" t="s">
        <v>8946</v>
      </c>
      <c r="G2027" s="9" t="s">
        <v>8947</v>
      </c>
      <c r="J2027" s="9" t="s">
        <v>8948</v>
      </c>
      <c r="O2027" s="10">
        <f>IFERROR(__xludf.DUMMYFUNCTION("VALUE(REGEXEXTRACT(A2027, ""\d+""))"),2368.0)</f>
        <v>2368</v>
      </c>
    </row>
    <row r="2028">
      <c r="A2028" s="9" t="s">
        <v>8949</v>
      </c>
      <c r="B2028" s="9" t="s">
        <v>8950</v>
      </c>
      <c r="D2028" s="9" t="s">
        <v>8951</v>
      </c>
      <c r="G2028" s="9" t="s">
        <v>8952</v>
      </c>
      <c r="J2028" s="9" t="s">
        <v>8953</v>
      </c>
      <c r="O2028" s="10">
        <f>IFERROR(__xludf.DUMMYFUNCTION("VALUE(REGEXEXTRACT(A2028, ""\d+""))"),2369.0)</f>
        <v>2369</v>
      </c>
    </row>
    <row r="2029">
      <c r="A2029" s="9" t="s">
        <v>8954</v>
      </c>
      <c r="B2029" s="9" t="s">
        <v>8955</v>
      </c>
      <c r="D2029" s="9" t="s">
        <v>8956</v>
      </c>
      <c r="G2029" s="9" t="s">
        <v>8957</v>
      </c>
      <c r="J2029" s="9" t="s">
        <v>8958</v>
      </c>
      <c r="O2029" s="10">
        <f>IFERROR(__xludf.DUMMYFUNCTION("VALUE(REGEXEXTRACT(A2029, ""\d+""))"),2370.0)</f>
        <v>2370</v>
      </c>
    </row>
    <row r="2030">
      <c r="A2030" s="9" t="s">
        <v>8959</v>
      </c>
      <c r="B2030" s="9" t="s">
        <v>8960</v>
      </c>
      <c r="D2030" s="9" t="s">
        <v>8961</v>
      </c>
      <c r="G2030" s="9" t="s">
        <v>8962</v>
      </c>
      <c r="J2030" s="9" t="s">
        <v>8963</v>
      </c>
      <c r="O2030" s="10">
        <f>IFERROR(__xludf.DUMMYFUNCTION("VALUE(REGEXEXTRACT(A2030, ""\d+""))"),2371.0)</f>
        <v>2371</v>
      </c>
    </row>
    <row r="2031">
      <c r="A2031" s="9" t="s">
        <v>8964</v>
      </c>
      <c r="B2031" s="9" t="s">
        <v>8965</v>
      </c>
      <c r="D2031" s="9" t="s">
        <v>8966</v>
      </c>
      <c r="G2031" s="9" t="s">
        <v>8966</v>
      </c>
      <c r="J2031" s="9" t="s">
        <v>8967</v>
      </c>
      <c r="O2031" s="10">
        <f>IFERROR(__xludf.DUMMYFUNCTION("VALUE(REGEXEXTRACT(A2031, ""\d+""))"),2372.0)</f>
        <v>2372</v>
      </c>
    </row>
    <row r="2032">
      <c r="A2032" s="9" t="s">
        <v>8968</v>
      </c>
      <c r="B2032" s="9" t="s">
        <v>8969</v>
      </c>
      <c r="D2032" s="9" t="s">
        <v>8970</v>
      </c>
      <c r="G2032" s="9" t="s">
        <v>8971</v>
      </c>
      <c r="J2032" s="9" t="s">
        <v>8972</v>
      </c>
      <c r="O2032" s="10">
        <f>IFERROR(__xludf.DUMMYFUNCTION("VALUE(REGEXEXTRACT(A2032, ""\d+""))"),2373.0)</f>
        <v>2373</v>
      </c>
    </row>
    <row r="2033">
      <c r="A2033" s="9" t="s">
        <v>8973</v>
      </c>
      <c r="B2033" s="9" t="s">
        <v>8974</v>
      </c>
      <c r="D2033" s="9" t="s">
        <v>8975</v>
      </c>
      <c r="G2033" s="9" t="s">
        <v>8976</v>
      </c>
      <c r="J2033" s="9" t="s">
        <v>8977</v>
      </c>
      <c r="O2033" s="10">
        <f>IFERROR(__xludf.DUMMYFUNCTION("VALUE(REGEXEXTRACT(A2033, ""\d+""))"),2374.0)</f>
        <v>2374</v>
      </c>
    </row>
    <row r="2034">
      <c r="A2034" s="9" t="s">
        <v>8978</v>
      </c>
      <c r="B2034" s="9" t="s">
        <v>8979</v>
      </c>
      <c r="D2034" s="9" t="s">
        <v>8980</v>
      </c>
      <c r="G2034" s="9" t="s">
        <v>8981</v>
      </c>
      <c r="J2034" s="9" t="s">
        <v>8982</v>
      </c>
      <c r="O2034" s="10">
        <f>IFERROR(__xludf.DUMMYFUNCTION("VALUE(REGEXEXTRACT(A2034, ""\d+""))"),2375.0)</f>
        <v>2375</v>
      </c>
    </row>
    <row r="2035">
      <c r="A2035" s="9" t="s">
        <v>8983</v>
      </c>
      <c r="B2035" s="9" t="s">
        <v>8984</v>
      </c>
      <c r="D2035" s="9" t="s">
        <v>8985</v>
      </c>
      <c r="G2035" s="9" t="s">
        <v>8986</v>
      </c>
      <c r="J2035" s="9" t="s">
        <v>8987</v>
      </c>
      <c r="O2035" s="10">
        <f>IFERROR(__xludf.DUMMYFUNCTION("VALUE(REGEXEXTRACT(A2035, ""\d+""))"),2376.0)</f>
        <v>2376</v>
      </c>
    </row>
    <row r="2036">
      <c r="A2036" s="9" t="s">
        <v>8988</v>
      </c>
      <c r="B2036" s="9" t="s">
        <v>8989</v>
      </c>
      <c r="D2036" s="9" t="s">
        <v>8990</v>
      </c>
      <c r="G2036" s="9" t="s">
        <v>8991</v>
      </c>
      <c r="J2036" s="9" t="s">
        <v>8992</v>
      </c>
      <c r="O2036" s="10">
        <f>IFERROR(__xludf.DUMMYFUNCTION("VALUE(REGEXEXTRACT(A2036, ""\d+""))"),2379.0)</f>
        <v>2379</v>
      </c>
    </row>
    <row r="2037">
      <c r="A2037" s="9" t="s">
        <v>8993</v>
      </c>
      <c r="B2037" s="9" t="s">
        <v>8994</v>
      </c>
      <c r="D2037" s="9" t="s">
        <v>8995</v>
      </c>
      <c r="G2037" s="9" t="s">
        <v>8996</v>
      </c>
      <c r="J2037" s="9" t="s">
        <v>8997</v>
      </c>
      <c r="O2037" s="10">
        <f>IFERROR(__xludf.DUMMYFUNCTION("VALUE(REGEXEXTRACT(A2037, ""\d+""))"),2380.0)</f>
        <v>2380</v>
      </c>
    </row>
    <row r="2038">
      <c r="A2038" s="9" t="s">
        <v>8998</v>
      </c>
      <c r="B2038" s="9" t="s">
        <v>8999</v>
      </c>
      <c r="D2038" s="9" t="s">
        <v>9000</v>
      </c>
      <c r="G2038" s="9" t="s">
        <v>9001</v>
      </c>
      <c r="J2038" s="9" t="s">
        <v>9002</v>
      </c>
      <c r="O2038" s="10">
        <f>IFERROR(__xludf.DUMMYFUNCTION("VALUE(REGEXEXTRACT(A2038, ""\d+""))"),2381.0)</f>
        <v>2381</v>
      </c>
    </row>
    <row r="2039">
      <c r="A2039" s="9" t="s">
        <v>9003</v>
      </c>
      <c r="B2039" s="9" t="s">
        <v>9004</v>
      </c>
      <c r="D2039" s="9" t="s">
        <v>9005</v>
      </c>
      <c r="G2039" s="9" t="s">
        <v>9006</v>
      </c>
      <c r="J2039" s="9" t="s">
        <v>9007</v>
      </c>
      <c r="O2039" s="10">
        <f>IFERROR(__xludf.DUMMYFUNCTION("VALUE(REGEXEXTRACT(A2039, ""\d+""))"),2382.0)</f>
        <v>2382</v>
      </c>
    </row>
    <row r="2040">
      <c r="A2040" s="9" t="s">
        <v>9008</v>
      </c>
      <c r="B2040" s="9" t="s">
        <v>9009</v>
      </c>
      <c r="D2040" s="9" t="s">
        <v>9010</v>
      </c>
      <c r="G2040" s="9" t="s">
        <v>9011</v>
      </c>
      <c r="J2040" s="9" t="s">
        <v>9012</v>
      </c>
      <c r="O2040" s="10">
        <f>IFERROR(__xludf.DUMMYFUNCTION("VALUE(REGEXEXTRACT(A2040, ""\d+""))"),2383.0)</f>
        <v>2383</v>
      </c>
    </row>
    <row r="2041">
      <c r="A2041" s="9" t="s">
        <v>9013</v>
      </c>
      <c r="B2041" s="9" t="s">
        <v>9014</v>
      </c>
      <c r="D2041" s="9" t="s">
        <v>9015</v>
      </c>
      <c r="G2041" s="9" t="s">
        <v>9016</v>
      </c>
      <c r="J2041" s="9" t="s">
        <v>9017</v>
      </c>
      <c r="O2041" s="10">
        <f>IFERROR(__xludf.DUMMYFUNCTION("VALUE(REGEXEXTRACT(A2041, ""\d+""))"),2384.0)</f>
        <v>2384</v>
      </c>
    </row>
    <row r="2042">
      <c r="A2042" s="9" t="s">
        <v>9018</v>
      </c>
      <c r="B2042" s="9" t="s">
        <v>9019</v>
      </c>
      <c r="D2042" s="9" t="s">
        <v>9020</v>
      </c>
      <c r="G2042" s="9" t="s">
        <v>9021</v>
      </c>
      <c r="J2042" s="9" t="s">
        <v>9022</v>
      </c>
      <c r="O2042" s="10">
        <f>IFERROR(__xludf.DUMMYFUNCTION("VALUE(REGEXEXTRACT(A2042, ""\d+""))"),2385.0)</f>
        <v>2385</v>
      </c>
    </row>
    <row r="2043">
      <c r="A2043" s="9" t="s">
        <v>9023</v>
      </c>
      <c r="B2043" s="9" t="s">
        <v>9024</v>
      </c>
      <c r="D2043" s="9" t="s">
        <v>9025</v>
      </c>
      <c r="G2043" s="9" t="s">
        <v>9026</v>
      </c>
      <c r="J2043" s="9" t="s">
        <v>9027</v>
      </c>
      <c r="O2043" s="10">
        <f>IFERROR(__xludf.DUMMYFUNCTION("VALUE(REGEXEXTRACT(A2043, ""\d+""))"),2386.0)</f>
        <v>2386</v>
      </c>
    </row>
    <row r="2044">
      <c r="A2044" s="9" t="s">
        <v>9028</v>
      </c>
      <c r="B2044" s="9" t="s">
        <v>9029</v>
      </c>
      <c r="G2044" s="9" t="s">
        <v>9030</v>
      </c>
      <c r="O2044" s="10">
        <f>IFERROR(__xludf.DUMMYFUNCTION("VALUE(REGEXEXTRACT(A2044, ""\d+""))"),2388.0)</f>
        <v>2388</v>
      </c>
    </row>
    <row r="2045">
      <c r="A2045" s="9" t="s">
        <v>9031</v>
      </c>
      <c r="B2045" s="9" t="s">
        <v>9032</v>
      </c>
      <c r="G2045" s="9" t="s">
        <v>9033</v>
      </c>
      <c r="O2045" s="10">
        <f>IFERROR(__xludf.DUMMYFUNCTION("VALUE(REGEXEXTRACT(A2045, ""\d+""))"),2389.0)</f>
        <v>2389</v>
      </c>
    </row>
    <row r="2046">
      <c r="A2046" s="9" t="s">
        <v>9034</v>
      </c>
      <c r="B2046" s="9" t="s">
        <v>9035</v>
      </c>
      <c r="D2046" s="9" t="s">
        <v>9036</v>
      </c>
      <c r="G2046" s="9" t="s">
        <v>9037</v>
      </c>
      <c r="J2046" s="9" t="s">
        <v>9038</v>
      </c>
      <c r="O2046" s="10">
        <f>IFERROR(__xludf.DUMMYFUNCTION("VALUE(REGEXEXTRACT(A2046, ""\d+""))"),2390.0)</f>
        <v>2390</v>
      </c>
    </row>
    <row r="2047">
      <c r="A2047" s="9" t="s">
        <v>9039</v>
      </c>
      <c r="B2047" s="9" t="s">
        <v>9040</v>
      </c>
      <c r="D2047" s="9" t="s">
        <v>9041</v>
      </c>
      <c r="G2047" s="9" t="s">
        <v>9042</v>
      </c>
      <c r="J2047" s="9" t="s">
        <v>9043</v>
      </c>
      <c r="O2047" s="10">
        <f>IFERROR(__xludf.DUMMYFUNCTION("VALUE(REGEXEXTRACT(A2047, ""\d+""))"),2391.0)</f>
        <v>2391</v>
      </c>
    </row>
    <row r="2048">
      <c r="A2048" s="9" t="s">
        <v>9044</v>
      </c>
      <c r="B2048" s="9" t="s">
        <v>9045</v>
      </c>
      <c r="D2048" s="9" t="s">
        <v>9046</v>
      </c>
      <c r="G2048" s="9" t="s">
        <v>9047</v>
      </c>
      <c r="J2048" s="9" t="s">
        <v>9048</v>
      </c>
      <c r="O2048" s="10">
        <f>IFERROR(__xludf.DUMMYFUNCTION("VALUE(REGEXEXTRACT(A2048, ""\d+""))"),2392.0)</f>
        <v>2392</v>
      </c>
    </row>
    <row r="2049">
      <c r="A2049" s="9" t="s">
        <v>9049</v>
      </c>
      <c r="B2049" s="9" t="s">
        <v>9050</v>
      </c>
      <c r="D2049" s="9" t="s">
        <v>9051</v>
      </c>
      <c r="G2049" s="9" t="s">
        <v>9052</v>
      </c>
      <c r="J2049" s="9" t="s">
        <v>9053</v>
      </c>
      <c r="O2049" s="10">
        <f>IFERROR(__xludf.DUMMYFUNCTION("VALUE(REGEXEXTRACT(A2049, ""\d+""))"),2393.0)</f>
        <v>2393</v>
      </c>
    </row>
    <row r="2050">
      <c r="A2050" s="9" t="s">
        <v>9054</v>
      </c>
      <c r="B2050" s="9" t="s">
        <v>9055</v>
      </c>
      <c r="D2050" s="9" t="s">
        <v>9056</v>
      </c>
      <c r="G2050" s="9" t="s">
        <v>9057</v>
      </c>
      <c r="J2050" s="9" t="s">
        <v>9058</v>
      </c>
      <c r="O2050" s="10">
        <f>IFERROR(__xludf.DUMMYFUNCTION("VALUE(REGEXEXTRACT(A2050, ""\d+""))"),2394.0)</f>
        <v>2394</v>
      </c>
    </row>
    <row r="2051">
      <c r="A2051" s="9" t="s">
        <v>9059</v>
      </c>
      <c r="B2051" s="9" t="s">
        <v>9060</v>
      </c>
      <c r="G2051" s="9" t="s">
        <v>9061</v>
      </c>
      <c r="O2051" s="10">
        <f>IFERROR(__xludf.DUMMYFUNCTION("VALUE(REGEXEXTRACT(A2051, ""\d+""))"),2395.0)</f>
        <v>2395</v>
      </c>
    </row>
    <row r="2052">
      <c r="A2052" s="9" t="s">
        <v>9062</v>
      </c>
      <c r="B2052" s="9" t="s">
        <v>9063</v>
      </c>
      <c r="D2052" s="9" t="s">
        <v>9064</v>
      </c>
      <c r="G2052" s="9" t="s">
        <v>9065</v>
      </c>
      <c r="J2052" s="9" t="s">
        <v>9066</v>
      </c>
      <c r="O2052" s="10">
        <f>IFERROR(__xludf.DUMMYFUNCTION("VALUE(REGEXEXTRACT(A2052, ""\d+""))"),2396.0)</f>
        <v>2396</v>
      </c>
    </row>
    <row r="2053">
      <c r="A2053" s="9" t="s">
        <v>9067</v>
      </c>
      <c r="B2053" s="9" t="s">
        <v>9068</v>
      </c>
      <c r="D2053" s="9" t="s">
        <v>9069</v>
      </c>
      <c r="G2053" s="9" t="s">
        <v>9070</v>
      </c>
      <c r="J2053" s="9" t="s">
        <v>9071</v>
      </c>
      <c r="O2053" s="10">
        <f>IFERROR(__xludf.DUMMYFUNCTION("VALUE(REGEXEXTRACT(A2053, ""\d+""))"),2400.0)</f>
        <v>2400</v>
      </c>
    </row>
    <row r="2054">
      <c r="A2054" s="9" t="s">
        <v>9072</v>
      </c>
      <c r="B2054" s="9" t="s">
        <v>9073</v>
      </c>
      <c r="D2054" s="9" t="s">
        <v>9074</v>
      </c>
      <c r="G2054" s="9" t="s">
        <v>9073</v>
      </c>
      <c r="J2054" s="9" t="s">
        <v>9075</v>
      </c>
      <c r="O2054" s="10">
        <f>IFERROR(__xludf.DUMMYFUNCTION("VALUE(REGEXEXTRACT(A2054, ""\d+""))"),2401.0)</f>
        <v>2401</v>
      </c>
    </row>
    <row r="2055">
      <c r="A2055" s="9" t="s">
        <v>9076</v>
      </c>
      <c r="B2055" s="9" t="s">
        <v>9077</v>
      </c>
      <c r="D2055" s="9" t="s">
        <v>9078</v>
      </c>
      <c r="G2055" s="9" t="s">
        <v>9077</v>
      </c>
      <c r="J2055" s="9" t="s">
        <v>9079</v>
      </c>
      <c r="O2055" s="10">
        <f>IFERROR(__xludf.DUMMYFUNCTION("VALUE(REGEXEXTRACT(A2055, ""\d+""))"),2403.0)</f>
        <v>2403</v>
      </c>
    </row>
    <row r="2056">
      <c r="A2056" s="9" t="s">
        <v>9080</v>
      </c>
      <c r="B2056" s="9" t="s">
        <v>9081</v>
      </c>
      <c r="D2056" s="9" t="s">
        <v>9082</v>
      </c>
      <c r="G2056" s="9" t="s">
        <v>9081</v>
      </c>
      <c r="J2056" s="9" t="s">
        <v>9083</v>
      </c>
      <c r="O2056" s="10">
        <f>IFERROR(__xludf.DUMMYFUNCTION("VALUE(REGEXEXTRACT(A2056, ""\d+""))"),2404.0)</f>
        <v>2404</v>
      </c>
    </row>
    <row r="2057">
      <c r="A2057" s="9" t="s">
        <v>9084</v>
      </c>
      <c r="B2057" s="9" t="s">
        <v>9085</v>
      </c>
      <c r="G2057" s="9" t="s">
        <v>9086</v>
      </c>
      <c r="O2057" s="10">
        <f>IFERROR(__xludf.DUMMYFUNCTION("VALUE(REGEXEXTRACT(A2057, ""\d+""))"),2405.0)</f>
        <v>2405</v>
      </c>
    </row>
    <row r="2058">
      <c r="A2058" s="9" t="s">
        <v>9087</v>
      </c>
      <c r="B2058" s="9" t="s">
        <v>9088</v>
      </c>
      <c r="D2058" s="9" t="s">
        <v>9089</v>
      </c>
      <c r="G2058" s="9" t="s">
        <v>9090</v>
      </c>
      <c r="J2058" s="9" t="s">
        <v>9088</v>
      </c>
      <c r="O2058" s="10">
        <f>IFERROR(__xludf.DUMMYFUNCTION("VALUE(REGEXEXTRACT(A2058, ""\d+""))"),2406.0)</f>
        <v>2406</v>
      </c>
    </row>
    <row r="2059">
      <c r="A2059" s="9" t="s">
        <v>9091</v>
      </c>
      <c r="B2059" s="9" t="s">
        <v>9092</v>
      </c>
      <c r="G2059" s="9" t="s">
        <v>9093</v>
      </c>
      <c r="O2059" s="10">
        <f>IFERROR(__xludf.DUMMYFUNCTION("VALUE(REGEXEXTRACT(A2059, ""\d+""))"),2407.0)</f>
        <v>2407</v>
      </c>
    </row>
    <row r="2060">
      <c r="A2060" s="9" t="s">
        <v>9094</v>
      </c>
      <c r="B2060" s="9" t="s">
        <v>9095</v>
      </c>
      <c r="D2060" s="9" t="s">
        <v>9096</v>
      </c>
      <c r="G2060" s="9" t="s">
        <v>9097</v>
      </c>
      <c r="J2060" s="9" t="s">
        <v>9098</v>
      </c>
      <c r="O2060" s="10">
        <f>IFERROR(__xludf.DUMMYFUNCTION("VALUE(REGEXEXTRACT(A2060, ""\d+""))"),2408.0)</f>
        <v>2408</v>
      </c>
    </row>
    <row r="2061">
      <c r="A2061" s="9" t="s">
        <v>9099</v>
      </c>
      <c r="B2061" s="9" t="s">
        <v>9100</v>
      </c>
      <c r="D2061" s="9" t="s">
        <v>9101</v>
      </c>
      <c r="G2061" s="9" t="s">
        <v>9102</v>
      </c>
      <c r="J2061" s="9" t="s">
        <v>9103</v>
      </c>
      <c r="O2061" s="10">
        <f>IFERROR(__xludf.DUMMYFUNCTION("VALUE(REGEXEXTRACT(A2061, ""\d+""))"),2410.0)</f>
        <v>2410</v>
      </c>
    </row>
    <row r="2062">
      <c r="A2062" s="9" t="s">
        <v>9104</v>
      </c>
      <c r="B2062" s="9" t="s">
        <v>9105</v>
      </c>
      <c r="D2062" s="9" t="s">
        <v>9106</v>
      </c>
      <c r="G2062" s="9" t="s">
        <v>9107</v>
      </c>
      <c r="J2062" s="9" t="s">
        <v>9108</v>
      </c>
      <c r="O2062" s="10">
        <f>IFERROR(__xludf.DUMMYFUNCTION("VALUE(REGEXEXTRACT(A2062, ""\d+""))"),2411.0)</f>
        <v>2411</v>
      </c>
    </row>
    <row r="2063">
      <c r="A2063" s="9" t="s">
        <v>9109</v>
      </c>
      <c r="B2063" s="9" t="s">
        <v>9110</v>
      </c>
      <c r="D2063" s="9" t="s">
        <v>9111</v>
      </c>
      <c r="G2063" s="9" t="s">
        <v>9112</v>
      </c>
      <c r="J2063" s="9" t="s">
        <v>9113</v>
      </c>
      <c r="O2063" s="10">
        <f>IFERROR(__xludf.DUMMYFUNCTION("VALUE(REGEXEXTRACT(A2063, ""\d+""))"),2412.0)</f>
        <v>2412</v>
      </c>
    </row>
    <row r="2064">
      <c r="A2064" s="9" t="s">
        <v>9114</v>
      </c>
      <c r="B2064" s="9" t="s">
        <v>9115</v>
      </c>
      <c r="D2064" s="9" t="s">
        <v>9116</v>
      </c>
      <c r="G2064" s="9" t="s">
        <v>9117</v>
      </c>
      <c r="J2064" s="9" t="s">
        <v>9118</v>
      </c>
      <c r="O2064" s="10">
        <f>IFERROR(__xludf.DUMMYFUNCTION("VALUE(REGEXEXTRACT(A2064, ""\d+""))"),2413.0)</f>
        <v>2413</v>
      </c>
    </row>
    <row r="2065">
      <c r="A2065" s="9" t="s">
        <v>9119</v>
      </c>
      <c r="B2065" s="9" t="s">
        <v>9120</v>
      </c>
      <c r="D2065" s="9" t="s">
        <v>9121</v>
      </c>
      <c r="G2065" s="9" t="s">
        <v>9122</v>
      </c>
      <c r="J2065" s="9" t="s">
        <v>9123</v>
      </c>
      <c r="O2065" s="10">
        <f>IFERROR(__xludf.DUMMYFUNCTION("VALUE(REGEXEXTRACT(A2065, ""\d+""))"),2414.0)</f>
        <v>2414</v>
      </c>
    </row>
    <row r="2066">
      <c r="A2066" s="9" t="s">
        <v>9124</v>
      </c>
      <c r="B2066" s="9" t="s">
        <v>9125</v>
      </c>
      <c r="D2066" s="9" t="s">
        <v>9126</v>
      </c>
      <c r="G2066" s="9" t="s">
        <v>9126</v>
      </c>
      <c r="J2066" s="9" t="s">
        <v>9127</v>
      </c>
      <c r="O2066" s="10">
        <f>IFERROR(__xludf.DUMMYFUNCTION("VALUE(REGEXEXTRACT(A2066, ""\d+""))"),2415.0)</f>
        <v>2415</v>
      </c>
    </row>
    <row r="2067">
      <c r="A2067" s="9" t="s">
        <v>9128</v>
      </c>
      <c r="B2067" s="9" t="s">
        <v>9129</v>
      </c>
      <c r="D2067" s="9" t="s">
        <v>9130</v>
      </c>
      <c r="G2067" s="9" t="s">
        <v>9131</v>
      </c>
      <c r="J2067" s="9" t="s">
        <v>9132</v>
      </c>
      <c r="O2067" s="10">
        <f>IFERROR(__xludf.DUMMYFUNCTION("VALUE(REGEXEXTRACT(A2067, ""\d+""))"),2416.0)</f>
        <v>2416</v>
      </c>
    </row>
    <row r="2068">
      <c r="A2068" s="9" t="s">
        <v>9133</v>
      </c>
      <c r="B2068" s="9" t="s">
        <v>9134</v>
      </c>
      <c r="D2068" s="9" t="s">
        <v>9135</v>
      </c>
      <c r="G2068" s="9" t="s">
        <v>9136</v>
      </c>
      <c r="J2068" s="9" t="s">
        <v>9137</v>
      </c>
      <c r="O2068" s="10">
        <f>IFERROR(__xludf.DUMMYFUNCTION("VALUE(REGEXEXTRACT(A2068, ""\d+""))"),2417.0)</f>
        <v>2417</v>
      </c>
    </row>
    <row r="2069">
      <c r="A2069" s="9" t="s">
        <v>9138</v>
      </c>
      <c r="B2069" s="9" t="s">
        <v>9139</v>
      </c>
      <c r="D2069" s="9" t="s">
        <v>9140</v>
      </c>
      <c r="G2069" s="9" t="s">
        <v>9140</v>
      </c>
      <c r="J2069" s="9" t="s">
        <v>9141</v>
      </c>
      <c r="O2069" s="10">
        <f>IFERROR(__xludf.DUMMYFUNCTION("VALUE(REGEXEXTRACT(A2069, ""\d+""))"),2418.0)</f>
        <v>2418</v>
      </c>
    </row>
    <row r="2070">
      <c r="A2070" s="9" t="s">
        <v>9142</v>
      </c>
      <c r="B2070" s="9" t="s">
        <v>9143</v>
      </c>
      <c r="D2070" s="9" t="s">
        <v>9144</v>
      </c>
      <c r="G2070" s="9" t="s">
        <v>9145</v>
      </c>
      <c r="J2070" s="9" t="s">
        <v>9146</v>
      </c>
      <c r="O2070" s="10">
        <f>IFERROR(__xludf.DUMMYFUNCTION("VALUE(REGEXEXTRACT(A2070, ""\d+""))"),2419.0)</f>
        <v>2419</v>
      </c>
    </row>
    <row r="2071">
      <c r="A2071" s="9" t="s">
        <v>9147</v>
      </c>
      <c r="B2071" s="9" t="s">
        <v>9148</v>
      </c>
      <c r="D2071" s="9" t="s">
        <v>9149</v>
      </c>
      <c r="G2071" s="9" t="s">
        <v>9150</v>
      </c>
      <c r="J2071" s="9" t="s">
        <v>9151</v>
      </c>
      <c r="O2071" s="10">
        <f>IFERROR(__xludf.DUMMYFUNCTION("VALUE(REGEXEXTRACT(A2071, ""\d+""))"),2420.0)</f>
        <v>2420</v>
      </c>
    </row>
    <row r="2072">
      <c r="A2072" s="9" t="s">
        <v>9152</v>
      </c>
      <c r="B2072" s="9" t="s">
        <v>9153</v>
      </c>
      <c r="D2072" s="9" t="s">
        <v>9154</v>
      </c>
      <c r="G2072" s="9" t="s">
        <v>9155</v>
      </c>
      <c r="J2072" s="9" t="s">
        <v>9156</v>
      </c>
      <c r="O2072" s="10">
        <f>IFERROR(__xludf.DUMMYFUNCTION("VALUE(REGEXEXTRACT(A2072, ""\d+""))"),2421.0)</f>
        <v>2421</v>
      </c>
    </row>
    <row r="2073">
      <c r="A2073" s="9" t="s">
        <v>9157</v>
      </c>
      <c r="B2073" s="9" t="s">
        <v>9158</v>
      </c>
      <c r="D2073" s="9" t="s">
        <v>9159</v>
      </c>
      <c r="G2073" s="9" t="s">
        <v>9160</v>
      </c>
      <c r="J2073" s="9" t="s">
        <v>9161</v>
      </c>
      <c r="O2073" s="10">
        <f>IFERROR(__xludf.DUMMYFUNCTION("VALUE(REGEXEXTRACT(A2073, ""\d+""))"),2422.0)</f>
        <v>2422</v>
      </c>
    </row>
    <row r="2074">
      <c r="A2074" s="9" t="s">
        <v>9162</v>
      </c>
      <c r="B2074" s="9" t="s">
        <v>9163</v>
      </c>
      <c r="D2074" s="9" t="s">
        <v>9164</v>
      </c>
      <c r="G2074" s="9" t="s">
        <v>9165</v>
      </c>
      <c r="J2074" s="9" t="s">
        <v>9166</v>
      </c>
      <c r="O2074" s="10">
        <f>IFERROR(__xludf.DUMMYFUNCTION("VALUE(REGEXEXTRACT(A2074, ""\d+""))"),2423.0)</f>
        <v>2423</v>
      </c>
    </row>
    <row r="2075">
      <c r="A2075" s="9" t="s">
        <v>9167</v>
      </c>
      <c r="B2075" s="9" t="s">
        <v>9168</v>
      </c>
      <c r="D2075" s="9" t="s">
        <v>9169</v>
      </c>
      <c r="G2075" s="9" t="s">
        <v>9170</v>
      </c>
      <c r="J2075" s="9" t="s">
        <v>9171</v>
      </c>
      <c r="O2075" s="10">
        <f>IFERROR(__xludf.DUMMYFUNCTION("VALUE(REGEXEXTRACT(A2075, ""\d+""))"),2428.0)</f>
        <v>2428</v>
      </c>
    </row>
    <row r="2076">
      <c r="A2076" s="9" t="s">
        <v>9172</v>
      </c>
      <c r="B2076" s="9" t="s">
        <v>9173</v>
      </c>
      <c r="D2076" s="9" t="s">
        <v>9174</v>
      </c>
      <c r="G2076" s="9" t="s">
        <v>9175</v>
      </c>
      <c r="J2076" s="9" t="s">
        <v>9176</v>
      </c>
      <c r="O2076" s="10">
        <f>IFERROR(__xludf.DUMMYFUNCTION("VALUE(REGEXEXTRACT(A2076, ""\d+""))"),2429.0)</f>
        <v>2429</v>
      </c>
    </row>
    <row r="2077">
      <c r="A2077" s="9" t="s">
        <v>9177</v>
      </c>
      <c r="B2077" s="9" t="s">
        <v>9178</v>
      </c>
      <c r="D2077" s="9" t="s">
        <v>9179</v>
      </c>
      <c r="G2077" s="9" t="s">
        <v>9180</v>
      </c>
      <c r="J2077" s="9" t="s">
        <v>9181</v>
      </c>
      <c r="O2077" s="10">
        <f>IFERROR(__xludf.DUMMYFUNCTION("VALUE(REGEXEXTRACT(A2077, ""\d+""))"),2430.0)</f>
        <v>2430</v>
      </c>
    </row>
    <row r="2078">
      <c r="A2078" s="9" t="s">
        <v>9182</v>
      </c>
      <c r="B2078" s="9" t="s">
        <v>9183</v>
      </c>
      <c r="D2078" s="9" t="s">
        <v>9184</v>
      </c>
      <c r="G2078" s="9" t="s">
        <v>9185</v>
      </c>
      <c r="J2078" s="9" t="s">
        <v>9186</v>
      </c>
      <c r="O2078" s="10">
        <f>IFERROR(__xludf.DUMMYFUNCTION("VALUE(REGEXEXTRACT(A2078, ""\d+""))"),2431.0)</f>
        <v>2431</v>
      </c>
    </row>
    <row r="2079">
      <c r="A2079" s="9" t="s">
        <v>9187</v>
      </c>
      <c r="B2079" s="9" t="s">
        <v>9188</v>
      </c>
      <c r="D2079" s="9" t="s">
        <v>9189</v>
      </c>
      <c r="G2079" s="9" t="s">
        <v>9190</v>
      </c>
      <c r="J2079" s="9" t="s">
        <v>9191</v>
      </c>
      <c r="O2079" s="10">
        <f>IFERROR(__xludf.DUMMYFUNCTION("VALUE(REGEXEXTRACT(A2079, ""\d+""))"),2432.0)</f>
        <v>2432</v>
      </c>
    </row>
    <row r="2080">
      <c r="A2080" s="9" t="s">
        <v>9192</v>
      </c>
      <c r="B2080" s="9" t="s">
        <v>9193</v>
      </c>
      <c r="D2080" s="9" t="s">
        <v>9194</v>
      </c>
      <c r="G2080" s="9" t="s">
        <v>9195</v>
      </c>
      <c r="J2080" s="9" t="s">
        <v>9196</v>
      </c>
      <c r="O2080" s="10">
        <f>IFERROR(__xludf.DUMMYFUNCTION("VALUE(REGEXEXTRACT(A2080, ""\d+""))"),2433.0)</f>
        <v>2433</v>
      </c>
    </row>
    <row r="2081">
      <c r="A2081" s="9" t="s">
        <v>9197</v>
      </c>
      <c r="B2081" s="9" t="s">
        <v>9198</v>
      </c>
      <c r="D2081" s="9" t="s">
        <v>9199</v>
      </c>
      <c r="G2081" s="9" t="s">
        <v>9200</v>
      </c>
      <c r="J2081" s="9" t="s">
        <v>9201</v>
      </c>
      <c r="O2081" s="10">
        <f>IFERROR(__xludf.DUMMYFUNCTION("VALUE(REGEXEXTRACT(A2081, ""\d+""))"),2434.0)</f>
        <v>2434</v>
      </c>
    </row>
    <row r="2082">
      <c r="A2082" s="9" t="s">
        <v>9202</v>
      </c>
      <c r="B2082" s="9" t="s">
        <v>9203</v>
      </c>
      <c r="D2082" s="9" t="s">
        <v>9204</v>
      </c>
      <c r="G2082" s="9" t="s">
        <v>9205</v>
      </c>
      <c r="J2082" s="9" t="s">
        <v>9206</v>
      </c>
      <c r="O2082" s="10">
        <f>IFERROR(__xludf.DUMMYFUNCTION("VALUE(REGEXEXTRACT(A2082, ""\d+""))"),2435.0)</f>
        <v>2435</v>
      </c>
    </row>
    <row r="2083">
      <c r="A2083" s="9" t="s">
        <v>9207</v>
      </c>
      <c r="B2083" s="9" t="s">
        <v>9208</v>
      </c>
      <c r="D2083" s="9" t="s">
        <v>9209</v>
      </c>
      <c r="G2083" s="9" t="s">
        <v>9210</v>
      </c>
      <c r="J2083" s="9" t="s">
        <v>9211</v>
      </c>
      <c r="O2083" s="10">
        <f>IFERROR(__xludf.DUMMYFUNCTION("VALUE(REGEXEXTRACT(A2083, ""\d+""))"),2436.0)</f>
        <v>2436</v>
      </c>
    </row>
    <row r="2084">
      <c r="A2084" s="9" t="s">
        <v>9212</v>
      </c>
      <c r="B2084" s="9" t="s">
        <v>9213</v>
      </c>
      <c r="D2084" s="9" t="s">
        <v>9214</v>
      </c>
      <c r="G2084" s="9" t="s">
        <v>9215</v>
      </c>
      <c r="J2084" s="9" t="s">
        <v>9216</v>
      </c>
      <c r="O2084" s="10">
        <f>IFERROR(__xludf.DUMMYFUNCTION("VALUE(REGEXEXTRACT(A2084, ""\d+""))"),2437.0)</f>
        <v>2437</v>
      </c>
    </row>
    <row r="2085">
      <c r="A2085" s="9" t="s">
        <v>9217</v>
      </c>
      <c r="B2085" s="9" t="s">
        <v>9218</v>
      </c>
      <c r="D2085" s="9" t="s">
        <v>9219</v>
      </c>
      <c r="G2085" s="9" t="s">
        <v>9220</v>
      </c>
      <c r="J2085" s="9" t="s">
        <v>9221</v>
      </c>
      <c r="O2085" s="10">
        <f>IFERROR(__xludf.DUMMYFUNCTION("VALUE(REGEXEXTRACT(A2085, ""\d+""))"),2438.0)</f>
        <v>2438</v>
      </c>
    </row>
    <row r="2086">
      <c r="A2086" s="9" t="s">
        <v>9222</v>
      </c>
      <c r="B2086" s="9" t="s">
        <v>9223</v>
      </c>
      <c r="D2086" s="9" t="s">
        <v>9224</v>
      </c>
      <c r="G2086" s="9" t="s">
        <v>9225</v>
      </c>
      <c r="J2086" s="9" t="s">
        <v>9226</v>
      </c>
      <c r="O2086" s="10">
        <f>IFERROR(__xludf.DUMMYFUNCTION("VALUE(REGEXEXTRACT(A2086, ""\d+""))"),2439.0)</f>
        <v>2439</v>
      </c>
    </row>
    <row r="2087">
      <c r="A2087" s="9" t="s">
        <v>9227</v>
      </c>
      <c r="B2087" s="9" t="s">
        <v>9228</v>
      </c>
      <c r="D2087" s="9" t="s">
        <v>9229</v>
      </c>
      <c r="G2087" s="9" t="s">
        <v>9230</v>
      </c>
      <c r="J2087" s="9" t="s">
        <v>9231</v>
      </c>
      <c r="O2087" s="10">
        <f>IFERROR(__xludf.DUMMYFUNCTION("VALUE(REGEXEXTRACT(A2087, ""\d+""))"),2440.0)</f>
        <v>2440</v>
      </c>
    </row>
    <row r="2088">
      <c r="A2088" s="9" t="s">
        <v>9232</v>
      </c>
      <c r="B2088" s="9" t="s">
        <v>9233</v>
      </c>
      <c r="G2088" s="9" t="s">
        <v>9234</v>
      </c>
      <c r="O2088" s="10">
        <f>IFERROR(__xludf.DUMMYFUNCTION("VALUE(REGEXEXTRACT(A2088, ""\d+""))"),2441.0)</f>
        <v>2441</v>
      </c>
    </row>
    <row r="2089">
      <c r="A2089" s="9" t="s">
        <v>9235</v>
      </c>
      <c r="B2089" s="9" t="s">
        <v>9236</v>
      </c>
      <c r="D2089" s="9" t="s">
        <v>9237</v>
      </c>
      <c r="G2089" s="9" t="s">
        <v>9238</v>
      </c>
      <c r="J2089" s="9" t="s">
        <v>9239</v>
      </c>
      <c r="O2089" s="10">
        <f>IFERROR(__xludf.DUMMYFUNCTION("VALUE(REGEXEXTRACT(A2089, ""\d+""))"),2442.0)</f>
        <v>2442</v>
      </c>
    </row>
    <row r="2090">
      <c r="A2090" s="9" t="s">
        <v>9240</v>
      </c>
      <c r="B2090" s="9" t="s">
        <v>9241</v>
      </c>
      <c r="D2090" s="9" t="s">
        <v>9242</v>
      </c>
      <c r="G2090" s="9" t="s">
        <v>9243</v>
      </c>
      <c r="J2090" s="9" t="s">
        <v>9244</v>
      </c>
      <c r="O2090" s="10">
        <f>IFERROR(__xludf.DUMMYFUNCTION("VALUE(REGEXEXTRACT(A2090, ""\d+""))"),2443.0)</f>
        <v>2443</v>
      </c>
    </row>
    <row r="2091">
      <c r="A2091" s="9" t="s">
        <v>9245</v>
      </c>
      <c r="B2091" s="9" t="s">
        <v>9246</v>
      </c>
      <c r="D2091" s="9" t="s">
        <v>9247</v>
      </c>
      <c r="G2091" s="9" t="s">
        <v>9248</v>
      </c>
      <c r="J2091" s="9" t="s">
        <v>9249</v>
      </c>
      <c r="O2091" s="10">
        <f>IFERROR(__xludf.DUMMYFUNCTION("VALUE(REGEXEXTRACT(A2091, ""\d+""))"),2444.0)</f>
        <v>2444</v>
      </c>
    </row>
    <row r="2092">
      <c r="A2092" s="9" t="s">
        <v>9250</v>
      </c>
      <c r="B2092" s="9" t="s">
        <v>9251</v>
      </c>
      <c r="D2092" s="9" t="s">
        <v>9252</v>
      </c>
      <c r="G2092" s="9" t="s">
        <v>9253</v>
      </c>
      <c r="J2092" s="9" t="s">
        <v>9254</v>
      </c>
      <c r="O2092" s="10">
        <f>IFERROR(__xludf.DUMMYFUNCTION("VALUE(REGEXEXTRACT(A2092, ""\d+""))"),2445.0)</f>
        <v>2445</v>
      </c>
    </row>
    <row r="2093">
      <c r="A2093" s="9" t="s">
        <v>9255</v>
      </c>
      <c r="B2093" s="9" t="s">
        <v>9256</v>
      </c>
      <c r="D2093" s="9" t="s">
        <v>9257</v>
      </c>
      <c r="G2093" s="9" t="s">
        <v>9258</v>
      </c>
      <c r="J2093" s="9" t="s">
        <v>9259</v>
      </c>
      <c r="O2093" s="10">
        <f>IFERROR(__xludf.DUMMYFUNCTION("VALUE(REGEXEXTRACT(A2093, ""\d+""))"),2446.0)</f>
        <v>2446</v>
      </c>
    </row>
    <row r="2094">
      <c r="A2094" s="9" t="s">
        <v>9260</v>
      </c>
      <c r="B2094" s="9" t="s">
        <v>9261</v>
      </c>
      <c r="D2094" s="9" t="s">
        <v>9262</v>
      </c>
      <c r="G2094" s="9" t="s">
        <v>9263</v>
      </c>
      <c r="J2094" s="9" t="s">
        <v>9264</v>
      </c>
      <c r="O2094" s="10">
        <f>IFERROR(__xludf.DUMMYFUNCTION("VALUE(REGEXEXTRACT(A2094, ""\d+""))"),2447.0)</f>
        <v>2447</v>
      </c>
    </row>
    <row r="2095">
      <c r="A2095" s="9" t="s">
        <v>9265</v>
      </c>
      <c r="B2095" s="9" t="s">
        <v>9266</v>
      </c>
      <c r="D2095" s="9" t="s">
        <v>9267</v>
      </c>
      <c r="G2095" s="9" t="s">
        <v>9268</v>
      </c>
      <c r="J2095" s="9" t="s">
        <v>9269</v>
      </c>
      <c r="O2095" s="10">
        <f>IFERROR(__xludf.DUMMYFUNCTION("VALUE(REGEXEXTRACT(A2095, ""\d+""))"),2448.0)</f>
        <v>2448</v>
      </c>
    </row>
    <row r="2096">
      <c r="A2096" s="9" t="s">
        <v>9270</v>
      </c>
      <c r="B2096" s="9" t="s">
        <v>9271</v>
      </c>
      <c r="D2096" s="9" t="s">
        <v>9272</v>
      </c>
      <c r="G2096" s="9" t="s">
        <v>9273</v>
      </c>
      <c r="J2096" s="9" t="s">
        <v>9274</v>
      </c>
      <c r="O2096" s="10">
        <f>IFERROR(__xludf.DUMMYFUNCTION("VALUE(REGEXEXTRACT(A2096, ""\d+""))"),2449.0)</f>
        <v>2449</v>
      </c>
    </row>
    <row r="2097">
      <c r="A2097" s="9" t="s">
        <v>9275</v>
      </c>
      <c r="B2097" s="9" t="s">
        <v>9276</v>
      </c>
      <c r="D2097" s="9" t="s">
        <v>9277</v>
      </c>
      <c r="G2097" s="9" t="s">
        <v>9278</v>
      </c>
      <c r="J2097" s="9" t="s">
        <v>9279</v>
      </c>
      <c r="O2097" s="10">
        <f>IFERROR(__xludf.DUMMYFUNCTION("VALUE(REGEXEXTRACT(A2097, ""\d+""))"),2450.0)</f>
        <v>2450</v>
      </c>
    </row>
    <row r="2098">
      <c r="A2098" s="9" t="s">
        <v>9280</v>
      </c>
      <c r="B2098" s="9" t="s">
        <v>9281</v>
      </c>
      <c r="D2098" s="9" t="s">
        <v>9282</v>
      </c>
      <c r="G2098" s="9" t="s">
        <v>9283</v>
      </c>
      <c r="J2098" s="9" t="s">
        <v>9284</v>
      </c>
      <c r="O2098" s="10">
        <f>IFERROR(__xludf.DUMMYFUNCTION("VALUE(REGEXEXTRACT(A2098, ""\d+""))"),2452.0)</f>
        <v>2452</v>
      </c>
    </row>
    <row r="2099">
      <c r="A2099" s="9" t="s">
        <v>9285</v>
      </c>
      <c r="B2099" s="9" t="s">
        <v>9286</v>
      </c>
      <c r="D2099" s="9" t="s">
        <v>9287</v>
      </c>
      <c r="G2099" s="9" t="s">
        <v>9288</v>
      </c>
      <c r="J2099" s="9" t="s">
        <v>9284</v>
      </c>
      <c r="O2099" s="10">
        <f>IFERROR(__xludf.DUMMYFUNCTION("VALUE(REGEXEXTRACT(A2099, ""\d+""))"),2454.0)</f>
        <v>2454</v>
      </c>
    </row>
    <row r="2100">
      <c r="A2100" s="9" t="s">
        <v>9289</v>
      </c>
      <c r="B2100" s="9" t="s">
        <v>9290</v>
      </c>
      <c r="D2100" s="9" t="s">
        <v>9291</v>
      </c>
      <c r="G2100" s="9" t="s">
        <v>9292</v>
      </c>
      <c r="J2100" s="9" t="s">
        <v>9293</v>
      </c>
      <c r="O2100" s="10">
        <f>IFERROR(__xludf.DUMMYFUNCTION("VALUE(REGEXEXTRACT(A2100, ""\d+""))"),2455.0)</f>
        <v>2455</v>
      </c>
    </row>
    <row r="2101">
      <c r="A2101" s="9" t="s">
        <v>9294</v>
      </c>
      <c r="B2101" s="9" t="s">
        <v>9295</v>
      </c>
      <c r="D2101" s="9" t="s">
        <v>9296</v>
      </c>
      <c r="G2101" s="9" t="s">
        <v>9297</v>
      </c>
      <c r="J2101" s="9" t="s">
        <v>9298</v>
      </c>
      <c r="O2101" s="10">
        <f>IFERROR(__xludf.DUMMYFUNCTION("VALUE(REGEXEXTRACT(A2101, ""\d+""))"),2456.0)</f>
        <v>2456</v>
      </c>
    </row>
    <row r="2102">
      <c r="A2102" s="9" t="s">
        <v>9299</v>
      </c>
      <c r="B2102" s="9" t="s">
        <v>9300</v>
      </c>
      <c r="D2102" s="9" t="s">
        <v>9301</v>
      </c>
      <c r="G2102" s="9" t="s">
        <v>9302</v>
      </c>
      <c r="J2102" s="9" t="s">
        <v>9303</v>
      </c>
      <c r="O2102" s="10">
        <f>IFERROR(__xludf.DUMMYFUNCTION("VALUE(REGEXEXTRACT(A2102, ""\d+""))"),2460.0)</f>
        <v>2460</v>
      </c>
    </row>
    <row r="2103">
      <c r="A2103" s="9" t="s">
        <v>9304</v>
      </c>
      <c r="B2103" s="9" t="s">
        <v>9305</v>
      </c>
      <c r="D2103" s="9" t="s">
        <v>9306</v>
      </c>
      <c r="G2103" s="9" t="s">
        <v>9307</v>
      </c>
      <c r="J2103" s="9" t="s">
        <v>9308</v>
      </c>
      <c r="O2103" s="10">
        <f>IFERROR(__xludf.DUMMYFUNCTION("VALUE(REGEXEXTRACT(A2103, ""\d+""))"),2461.0)</f>
        <v>2461</v>
      </c>
    </row>
    <row r="2104">
      <c r="A2104" s="9" t="s">
        <v>9309</v>
      </c>
      <c r="B2104" s="9" t="s">
        <v>9310</v>
      </c>
      <c r="D2104" s="9" t="s">
        <v>9311</v>
      </c>
      <c r="G2104" s="9" t="s">
        <v>9310</v>
      </c>
      <c r="J2104" s="9" t="s">
        <v>9312</v>
      </c>
      <c r="O2104" s="10">
        <f>IFERROR(__xludf.DUMMYFUNCTION("VALUE(REGEXEXTRACT(A2104, ""\d+""))"),2462.0)</f>
        <v>2462</v>
      </c>
    </row>
    <row r="2105">
      <c r="A2105" s="9" t="s">
        <v>9313</v>
      </c>
      <c r="B2105" s="9" t="s">
        <v>9314</v>
      </c>
      <c r="D2105" s="9" t="s">
        <v>9315</v>
      </c>
      <c r="G2105" s="9" t="s">
        <v>9315</v>
      </c>
      <c r="J2105" s="9" t="s">
        <v>9316</v>
      </c>
      <c r="O2105" s="10">
        <f>IFERROR(__xludf.DUMMYFUNCTION("VALUE(REGEXEXTRACT(A2105, ""\d+""))"),2464.0)</f>
        <v>2464</v>
      </c>
    </row>
    <row r="2106">
      <c r="A2106" s="9" t="s">
        <v>9317</v>
      </c>
      <c r="B2106" s="9" t="s">
        <v>9318</v>
      </c>
      <c r="D2106" s="9" t="s">
        <v>9319</v>
      </c>
      <c r="G2106" s="9" t="s">
        <v>9320</v>
      </c>
      <c r="J2106" s="9" t="s">
        <v>9321</v>
      </c>
      <c r="O2106" s="10">
        <f>IFERROR(__xludf.DUMMYFUNCTION("VALUE(REGEXEXTRACT(A2106, ""\d+""))"),2465.0)</f>
        <v>2465</v>
      </c>
    </row>
    <row r="2107">
      <c r="A2107" s="9" t="s">
        <v>9322</v>
      </c>
      <c r="B2107" s="9" t="s">
        <v>9323</v>
      </c>
      <c r="G2107" s="9" t="s">
        <v>9324</v>
      </c>
      <c r="O2107" s="10">
        <f>IFERROR(__xludf.DUMMYFUNCTION("VALUE(REGEXEXTRACT(A2107, ""\d+""))"),2466.0)</f>
        <v>2466</v>
      </c>
    </row>
    <row r="2108">
      <c r="A2108" s="9" t="s">
        <v>9325</v>
      </c>
      <c r="B2108" s="9" t="s">
        <v>9326</v>
      </c>
      <c r="D2108" s="9" t="s">
        <v>9327</v>
      </c>
      <c r="G2108" s="9" t="s">
        <v>9326</v>
      </c>
      <c r="J2108" s="9" t="s">
        <v>9326</v>
      </c>
      <c r="O2108" s="10">
        <f>IFERROR(__xludf.DUMMYFUNCTION("VALUE(REGEXEXTRACT(A2108, ""\d+""))"),2467.0)</f>
        <v>2467</v>
      </c>
    </row>
    <row r="2109">
      <c r="A2109" s="9" t="s">
        <v>9328</v>
      </c>
      <c r="B2109" s="9" t="s">
        <v>9329</v>
      </c>
      <c r="G2109" s="9" t="s">
        <v>9330</v>
      </c>
      <c r="O2109" s="10">
        <f>IFERROR(__xludf.DUMMYFUNCTION("VALUE(REGEXEXTRACT(A2109, ""\d+""))"),2469.0)</f>
        <v>2469</v>
      </c>
    </row>
    <row r="2110">
      <c r="A2110" s="9" t="s">
        <v>9331</v>
      </c>
      <c r="B2110" s="9" t="s">
        <v>9332</v>
      </c>
      <c r="D2110" s="9" t="s">
        <v>9333</v>
      </c>
      <c r="G2110" s="9" t="s">
        <v>9334</v>
      </c>
      <c r="J2110" s="9" t="s">
        <v>9335</v>
      </c>
      <c r="O2110" s="10">
        <f>IFERROR(__xludf.DUMMYFUNCTION("VALUE(REGEXEXTRACT(A2110, ""\d+""))"),2470.0)</f>
        <v>2470</v>
      </c>
    </row>
    <row r="2111">
      <c r="A2111" s="9" t="s">
        <v>9336</v>
      </c>
      <c r="B2111" s="9" t="s">
        <v>9337</v>
      </c>
      <c r="D2111" s="9" t="s">
        <v>9338</v>
      </c>
      <c r="G2111" s="9" t="s">
        <v>9337</v>
      </c>
      <c r="J2111" s="9" t="s">
        <v>9339</v>
      </c>
      <c r="O2111" s="10">
        <f>IFERROR(__xludf.DUMMYFUNCTION("VALUE(REGEXEXTRACT(A2111, ""\d+""))"),2474.0)</f>
        <v>2474</v>
      </c>
    </row>
    <row r="2112">
      <c r="A2112" s="9" t="s">
        <v>9340</v>
      </c>
      <c r="B2112" s="9" t="s">
        <v>9341</v>
      </c>
      <c r="D2112" s="9" t="s">
        <v>9342</v>
      </c>
      <c r="G2112" s="9" t="s">
        <v>9343</v>
      </c>
      <c r="J2112" s="9" t="s">
        <v>9344</v>
      </c>
      <c r="O2112" s="10">
        <f>IFERROR(__xludf.DUMMYFUNCTION("VALUE(REGEXEXTRACT(A2112, ""\d+""))"),2475.0)</f>
        <v>2475</v>
      </c>
    </row>
    <row r="2113">
      <c r="A2113" s="9" t="s">
        <v>9345</v>
      </c>
      <c r="B2113" s="9" t="s">
        <v>9346</v>
      </c>
      <c r="D2113" s="9" t="s">
        <v>9347</v>
      </c>
      <c r="G2113" s="9" t="s">
        <v>9348</v>
      </c>
      <c r="J2113" s="9" t="s">
        <v>9349</v>
      </c>
      <c r="O2113" s="10">
        <f>IFERROR(__xludf.DUMMYFUNCTION("VALUE(REGEXEXTRACT(A2113, ""\d+""))"),2476.0)</f>
        <v>2476</v>
      </c>
    </row>
    <row r="2114">
      <c r="A2114" s="9" t="s">
        <v>9350</v>
      </c>
      <c r="B2114" s="9" t="s">
        <v>9351</v>
      </c>
      <c r="G2114" s="9" t="s">
        <v>9352</v>
      </c>
      <c r="O2114" s="10">
        <f>IFERROR(__xludf.DUMMYFUNCTION("VALUE(REGEXEXTRACT(A2114, ""\d+""))"),2477.0)</f>
        <v>2477</v>
      </c>
    </row>
    <row r="2115">
      <c r="A2115" s="9" t="s">
        <v>9353</v>
      </c>
      <c r="B2115" s="9" t="s">
        <v>9354</v>
      </c>
      <c r="G2115" s="9" t="s">
        <v>9355</v>
      </c>
      <c r="O2115" s="10">
        <f>IFERROR(__xludf.DUMMYFUNCTION("VALUE(REGEXEXTRACT(A2115, ""\d+""))"),2478.0)</f>
        <v>2478</v>
      </c>
    </row>
    <row r="2116">
      <c r="A2116" s="9" t="s">
        <v>9356</v>
      </c>
      <c r="B2116" s="9" t="s">
        <v>9357</v>
      </c>
      <c r="D2116" s="9" t="s">
        <v>9358</v>
      </c>
      <c r="G2116" s="9" t="s">
        <v>9359</v>
      </c>
      <c r="J2116" s="9" t="s">
        <v>9357</v>
      </c>
      <c r="O2116" s="10">
        <f>IFERROR(__xludf.DUMMYFUNCTION("VALUE(REGEXEXTRACT(A2116, ""\d+""))"),2481.0)</f>
        <v>2481</v>
      </c>
    </row>
    <row r="2117">
      <c r="A2117" s="9" t="s">
        <v>9360</v>
      </c>
      <c r="B2117" s="9" t="s">
        <v>9361</v>
      </c>
      <c r="D2117" s="9" t="s">
        <v>9362</v>
      </c>
      <c r="G2117" s="9" t="s">
        <v>9363</v>
      </c>
      <c r="J2117" s="9" t="s">
        <v>9364</v>
      </c>
      <c r="O2117" s="10">
        <f>IFERROR(__xludf.DUMMYFUNCTION("VALUE(REGEXEXTRACT(A2117, ""\d+""))"),2482.0)</f>
        <v>2482</v>
      </c>
    </row>
    <row r="2118">
      <c r="A2118" s="9" t="s">
        <v>9365</v>
      </c>
      <c r="B2118" s="9" t="s">
        <v>9351</v>
      </c>
      <c r="D2118" s="9" t="s">
        <v>9366</v>
      </c>
      <c r="G2118" s="9" t="s">
        <v>9366</v>
      </c>
      <c r="J2118" s="9" t="s">
        <v>9367</v>
      </c>
      <c r="O2118" s="10">
        <f>IFERROR(__xludf.DUMMYFUNCTION("VALUE(REGEXEXTRACT(A2118, ""\d+""))"),2483.0)</f>
        <v>2483</v>
      </c>
    </row>
    <row r="2119">
      <c r="A2119" s="9" t="s">
        <v>9368</v>
      </c>
      <c r="B2119" s="9" t="s">
        <v>9369</v>
      </c>
      <c r="G2119" s="9" t="s">
        <v>9370</v>
      </c>
      <c r="O2119" s="10">
        <f>IFERROR(__xludf.DUMMYFUNCTION("VALUE(REGEXEXTRACT(A2119, ""\d+""))"),2484.0)</f>
        <v>2484</v>
      </c>
    </row>
    <row r="2120">
      <c r="A2120" s="9" t="s">
        <v>9371</v>
      </c>
      <c r="B2120" s="9" t="s">
        <v>9351</v>
      </c>
      <c r="D2120" s="9" t="s">
        <v>9366</v>
      </c>
      <c r="G2120" s="9" t="s">
        <v>9366</v>
      </c>
      <c r="J2120" s="9" t="s">
        <v>9367</v>
      </c>
      <c r="O2120" s="10">
        <f>IFERROR(__xludf.DUMMYFUNCTION("VALUE(REGEXEXTRACT(A2120, ""\d+""))"),2485.0)</f>
        <v>2485</v>
      </c>
    </row>
    <row r="2121">
      <c r="A2121" s="9" t="s">
        <v>9372</v>
      </c>
      <c r="B2121" s="9" t="s">
        <v>9354</v>
      </c>
      <c r="G2121" s="9" t="s">
        <v>9355</v>
      </c>
      <c r="O2121" s="10">
        <f>IFERROR(__xludf.DUMMYFUNCTION("VALUE(REGEXEXTRACT(A2121, ""\d+""))"),2486.0)</f>
        <v>2486</v>
      </c>
    </row>
    <row r="2122">
      <c r="A2122" s="9" t="s">
        <v>9373</v>
      </c>
      <c r="B2122" s="9" t="s">
        <v>9351</v>
      </c>
      <c r="D2122" s="9" t="s">
        <v>9366</v>
      </c>
      <c r="G2122" s="9" t="s">
        <v>9366</v>
      </c>
      <c r="J2122" s="9" t="s">
        <v>9367</v>
      </c>
      <c r="O2122" s="10">
        <f>IFERROR(__xludf.DUMMYFUNCTION("VALUE(REGEXEXTRACT(A2122, ""\d+""))"),2487.0)</f>
        <v>2487</v>
      </c>
    </row>
    <row r="2123">
      <c r="A2123" s="9" t="s">
        <v>9374</v>
      </c>
      <c r="B2123" s="9" t="s">
        <v>9375</v>
      </c>
      <c r="G2123" s="9" t="s">
        <v>9376</v>
      </c>
      <c r="O2123" s="10">
        <f>IFERROR(__xludf.DUMMYFUNCTION("VALUE(REGEXEXTRACT(A2123, ""\d+""))"),2488.0)</f>
        <v>2488</v>
      </c>
    </row>
    <row r="2124">
      <c r="A2124" s="9" t="s">
        <v>9377</v>
      </c>
      <c r="B2124" s="9" t="s">
        <v>9378</v>
      </c>
      <c r="D2124" s="9" t="s">
        <v>9379</v>
      </c>
      <c r="G2124" s="9" t="s">
        <v>9380</v>
      </c>
      <c r="J2124" s="9" t="s">
        <v>9381</v>
      </c>
      <c r="O2124" s="10">
        <f>IFERROR(__xludf.DUMMYFUNCTION("VALUE(REGEXEXTRACT(A2124, ""\d+""))"),2489.0)</f>
        <v>2489</v>
      </c>
    </row>
    <row r="2125">
      <c r="A2125" s="9" t="s">
        <v>9382</v>
      </c>
      <c r="B2125" s="9" t="s">
        <v>9383</v>
      </c>
      <c r="D2125" s="9" t="s">
        <v>9384</v>
      </c>
      <c r="G2125" s="9" t="s">
        <v>9385</v>
      </c>
      <c r="J2125" s="9" t="s">
        <v>9386</v>
      </c>
      <c r="O2125" s="10">
        <f>IFERROR(__xludf.DUMMYFUNCTION("VALUE(REGEXEXTRACT(A2125, ""\d+""))"),2490.0)</f>
        <v>2490</v>
      </c>
    </row>
    <row r="2126">
      <c r="A2126" s="9" t="s">
        <v>9387</v>
      </c>
      <c r="B2126" s="9" t="s">
        <v>9388</v>
      </c>
      <c r="D2126" s="9" t="s">
        <v>9389</v>
      </c>
      <c r="G2126" s="9" t="s">
        <v>9390</v>
      </c>
      <c r="J2126" s="9" t="s">
        <v>9391</v>
      </c>
      <c r="O2126" s="10">
        <f>IFERROR(__xludf.DUMMYFUNCTION("VALUE(REGEXEXTRACT(A2126, ""\d+""))"),2491.0)</f>
        <v>2491</v>
      </c>
    </row>
    <row r="2127">
      <c r="A2127" s="9" t="s">
        <v>9392</v>
      </c>
      <c r="B2127" s="9" t="s">
        <v>9393</v>
      </c>
      <c r="D2127" s="9" t="s">
        <v>9394</v>
      </c>
      <c r="G2127" s="9" t="s">
        <v>9395</v>
      </c>
      <c r="J2127" s="9" t="s">
        <v>9396</v>
      </c>
      <c r="O2127" s="10">
        <f>IFERROR(__xludf.DUMMYFUNCTION("VALUE(REGEXEXTRACT(A2127, ""\d+""))"),2492.0)</f>
        <v>2492</v>
      </c>
    </row>
    <row r="2128">
      <c r="A2128" s="9" t="s">
        <v>9397</v>
      </c>
      <c r="B2128" s="9" t="s">
        <v>9398</v>
      </c>
      <c r="D2128" s="9" t="s">
        <v>9399</v>
      </c>
      <c r="G2128" s="9" t="s">
        <v>9400</v>
      </c>
      <c r="J2128" s="9" t="s">
        <v>9401</v>
      </c>
      <c r="O2128" s="10">
        <f>IFERROR(__xludf.DUMMYFUNCTION("VALUE(REGEXEXTRACT(A2128, ""\d+""))"),2493.0)</f>
        <v>2493</v>
      </c>
    </row>
    <row r="2129">
      <c r="A2129" s="9" t="s">
        <v>9402</v>
      </c>
      <c r="B2129" s="9" t="s">
        <v>9403</v>
      </c>
      <c r="D2129" s="9" t="s">
        <v>9404</v>
      </c>
      <c r="G2129" s="9" t="s">
        <v>9405</v>
      </c>
      <c r="J2129" s="9" t="s">
        <v>9406</v>
      </c>
      <c r="O2129" s="10">
        <f>IFERROR(__xludf.DUMMYFUNCTION("VALUE(REGEXEXTRACT(A2129, ""\d+""))"),2494.0)</f>
        <v>2494</v>
      </c>
    </row>
    <row r="2130">
      <c r="A2130" s="9" t="s">
        <v>9407</v>
      </c>
      <c r="B2130" s="9" t="s">
        <v>9408</v>
      </c>
      <c r="D2130" s="9" t="s">
        <v>9409</v>
      </c>
      <c r="G2130" s="9" t="s">
        <v>9410</v>
      </c>
      <c r="J2130" s="9" t="s">
        <v>9411</v>
      </c>
      <c r="O2130" s="10">
        <f>IFERROR(__xludf.DUMMYFUNCTION("VALUE(REGEXEXTRACT(A2130, ""\d+""))"),2495.0)</f>
        <v>2495</v>
      </c>
    </row>
    <row r="2131">
      <c r="A2131" s="9" t="s">
        <v>9412</v>
      </c>
      <c r="B2131" s="9" t="s">
        <v>9413</v>
      </c>
      <c r="D2131" s="9" t="s">
        <v>9414</v>
      </c>
      <c r="G2131" s="9" t="s">
        <v>9415</v>
      </c>
      <c r="J2131" s="9" t="s">
        <v>9416</v>
      </c>
      <c r="O2131" s="10">
        <f>IFERROR(__xludf.DUMMYFUNCTION("VALUE(REGEXEXTRACT(A2131, ""\d+""))"),2496.0)</f>
        <v>2496</v>
      </c>
    </row>
    <row r="2132">
      <c r="A2132" s="9" t="s">
        <v>9417</v>
      </c>
      <c r="B2132" s="9" t="s">
        <v>9418</v>
      </c>
      <c r="D2132" s="9" t="s">
        <v>9419</v>
      </c>
      <c r="G2132" s="9" t="s">
        <v>9420</v>
      </c>
      <c r="J2132" s="9" t="s">
        <v>9421</v>
      </c>
      <c r="O2132" s="10">
        <f>IFERROR(__xludf.DUMMYFUNCTION("VALUE(REGEXEXTRACT(A2132, ""\d+""))"),2497.0)</f>
        <v>2497</v>
      </c>
    </row>
    <row r="2133">
      <c r="A2133" s="9" t="s">
        <v>9422</v>
      </c>
      <c r="B2133" s="9" t="s">
        <v>9423</v>
      </c>
      <c r="G2133" s="9" t="s">
        <v>9424</v>
      </c>
      <c r="O2133" s="10">
        <f>IFERROR(__xludf.DUMMYFUNCTION("VALUE(REGEXEXTRACT(A2133, ""\d+""))"),2498.0)</f>
        <v>2498</v>
      </c>
    </row>
    <row r="2134">
      <c r="A2134" s="9" t="s">
        <v>9425</v>
      </c>
      <c r="B2134" s="9" t="s">
        <v>9426</v>
      </c>
      <c r="D2134" s="9" t="s">
        <v>9427</v>
      </c>
      <c r="G2134" s="9" t="s">
        <v>9428</v>
      </c>
      <c r="J2134" s="9" t="s">
        <v>9429</v>
      </c>
      <c r="O2134" s="10">
        <f>IFERROR(__xludf.DUMMYFUNCTION("VALUE(REGEXEXTRACT(A2134, ""\d+""))"),2500.0)</f>
        <v>2500</v>
      </c>
    </row>
    <row r="2135">
      <c r="A2135" s="9" t="s">
        <v>9430</v>
      </c>
      <c r="B2135" s="9" t="s">
        <v>9431</v>
      </c>
      <c r="G2135" s="9" t="s">
        <v>9432</v>
      </c>
      <c r="O2135" s="10">
        <f>IFERROR(__xludf.DUMMYFUNCTION("VALUE(REGEXEXTRACT(A2135, ""\d+""))"),2501.0)</f>
        <v>2501</v>
      </c>
    </row>
    <row r="2136">
      <c r="A2136" s="9" t="s">
        <v>9433</v>
      </c>
      <c r="B2136" s="9" t="s">
        <v>9434</v>
      </c>
      <c r="D2136" s="9" t="s">
        <v>9435</v>
      </c>
      <c r="G2136" s="9" t="s">
        <v>9436</v>
      </c>
      <c r="J2136" s="9" t="s">
        <v>9437</v>
      </c>
      <c r="O2136" s="10">
        <f>IFERROR(__xludf.DUMMYFUNCTION("VALUE(REGEXEXTRACT(A2136, ""\d+""))"),2502.0)</f>
        <v>2502</v>
      </c>
    </row>
    <row r="2137">
      <c r="A2137" s="9" t="s">
        <v>9438</v>
      </c>
      <c r="B2137" s="9" t="s">
        <v>9439</v>
      </c>
      <c r="G2137" s="9" t="s">
        <v>9440</v>
      </c>
      <c r="O2137" s="10">
        <f>IFERROR(__xludf.DUMMYFUNCTION("VALUE(REGEXEXTRACT(A2137, ""\d+""))"),2503.0)</f>
        <v>2503</v>
      </c>
    </row>
    <row r="2138">
      <c r="A2138" s="9" t="s">
        <v>9441</v>
      </c>
      <c r="B2138" s="9" t="s">
        <v>9442</v>
      </c>
      <c r="D2138" s="9" t="s">
        <v>9443</v>
      </c>
      <c r="G2138" s="9" t="s">
        <v>9443</v>
      </c>
      <c r="J2138" s="9" t="s">
        <v>9444</v>
      </c>
      <c r="O2138" s="10">
        <f>IFERROR(__xludf.DUMMYFUNCTION("VALUE(REGEXEXTRACT(A2138, ""\d+""))"),2504.0)</f>
        <v>2504</v>
      </c>
    </row>
    <row r="2139">
      <c r="A2139" s="9" t="s">
        <v>9445</v>
      </c>
      <c r="B2139" s="9" t="s">
        <v>9446</v>
      </c>
      <c r="D2139" s="9" t="s">
        <v>9447</v>
      </c>
      <c r="G2139" s="9" t="s">
        <v>9448</v>
      </c>
      <c r="J2139" s="9" t="s">
        <v>9449</v>
      </c>
      <c r="O2139" s="10">
        <f>IFERROR(__xludf.DUMMYFUNCTION("VALUE(REGEXEXTRACT(A2139, ""\d+""))"),2505.0)</f>
        <v>2505</v>
      </c>
    </row>
    <row r="2140">
      <c r="A2140" s="9" t="s">
        <v>9450</v>
      </c>
      <c r="B2140" s="9" t="s">
        <v>9451</v>
      </c>
      <c r="D2140" s="9" t="s">
        <v>9452</v>
      </c>
      <c r="G2140" s="9" t="s">
        <v>9453</v>
      </c>
      <c r="J2140" s="9" t="s">
        <v>9454</v>
      </c>
      <c r="O2140" s="10">
        <f>IFERROR(__xludf.DUMMYFUNCTION("VALUE(REGEXEXTRACT(A2140, ""\d+""))"),2506.0)</f>
        <v>2506</v>
      </c>
    </row>
    <row r="2141">
      <c r="A2141" s="9" t="s">
        <v>9455</v>
      </c>
      <c r="B2141" s="9" t="s">
        <v>9456</v>
      </c>
      <c r="D2141" s="9" t="s">
        <v>9457</v>
      </c>
      <c r="G2141" s="9" t="s">
        <v>9458</v>
      </c>
      <c r="J2141" s="9" t="s">
        <v>9459</v>
      </c>
      <c r="O2141" s="10">
        <f>IFERROR(__xludf.DUMMYFUNCTION("VALUE(REGEXEXTRACT(A2141, ""\d+""))"),2507.0)</f>
        <v>2507</v>
      </c>
    </row>
    <row r="2142">
      <c r="A2142" s="9" t="s">
        <v>9460</v>
      </c>
      <c r="B2142" s="9" t="s">
        <v>9461</v>
      </c>
      <c r="D2142" s="9" t="s">
        <v>9462</v>
      </c>
      <c r="G2142" s="9" t="s">
        <v>9463</v>
      </c>
      <c r="J2142" s="9" t="s">
        <v>9464</v>
      </c>
      <c r="O2142" s="10">
        <f>IFERROR(__xludf.DUMMYFUNCTION("VALUE(REGEXEXTRACT(A2142, ""\d+""))"),2508.0)</f>
        <v>2508</v>
      </c>
    </row>
    <row r="2143">
      <c r="A2143" s="9" t="s">
        <v>9465</v>
      </c>
      <c r="B2143" s="9" t="s">
        <v>9466</v>
      </c>
      <c r="D2143" s="9" t="s">
        <v>9467</v>
      </c>
      <c r="G2143" s="9" t="s">
        <v>9468</v>
      </c>
      <c r="J2143" s="9" t="s">
        <v>9469</v>
      </c>
      <c r="O2143" s="10">
        <f>IFERROR(__xludf.DUMMYFUNCTION("VALUE(REGEXEXTRACT(A2143, ""\d+""))"),2509.0)</f>
        <v>2509</v>
      </c>
    </row>
    <row r="2144">
      <c r="A2144" s="9" t="s">
        <v>9470</v>
      </c>
      <c r="B2144" s="9" t="s">
        <v>9471</v>
      </c>
      <c r="D2144" s="9" t="s">
        <v>9472</v>
      </c>
      <c r="G2144" s="9" t="s">
        <v>9473</v>
      </c>
      <c r="J2144" s="9" t="s">
        <v>9474</v>
      </c>
      <c r="O2144" s="10">
        <f>IFERROR(__xludf.DUMMYFUNCTION("VALUE(REGEXEXTRACT(A2144, ""\d+""))"),2510.0)</f>
        <v>2510</v>
      </c>
    </row>
    <row r="2145">
      <c r="A2145" s="9" t="s">
        <v>9475</v>
      </c>
      <c r="B2145" s="9" t="s">
        <v>9476</v>
      </c>
      <c r="D2145" s="9" t="s">
        <v>9477</v>
      </c>
      <c r="G2145" s="9" t="s">
        <v>9478</v>
      </c>
      <c r="J2145" s="9" t="s">
        <v>9479</v>
      </c>
      <c r="O2145" s="10">
        <f>IFERROR(__xludf.DUMMYFUNCTION("VALUE(REGEXEXTRACT(A2145, ""\d+""))"),2511.0)</f>
        <v>2511</v>
      </c>
    </row>
    <row r="2146">
      <c r="A2146" s="9" t="s">
        <v>9480</v>
      </c>
      <c r="B2146" s="9" t="s">
        <v>9481</v>
      </c>
      <c r="D2146" s="9" t="s">
        <v>9482</v>
      </c>
      <c r="G2146" s="9" t="s">
        <v>9483</v>
      </c>
      <c r="J2146" s="9" t="s">
        <v>9484</v>
      </c>
      <c r="O2146" s="10">
        <f>IFERROR(__xludf.DUMMYFUNCTION("VALUE(REGEXEXTRACT(A2146, ""\d+""))"),2512.0)</f>
        <v>2512</v>
      </c>
    </row>
    <row r="2147">
      <c r="A2147" s="9" t="s">
        <v>9485</v>
      </c>
      <c r="B2147" s="9" t="s">
        <v>9486</v>
      </c>
      <c r="D2147" s="9" t="s">
        <v>9487</v>
      </c>
      <c r="G2147" s="9" t="s">
        <v>9488</v>
      </c>
      <c r="J2147" s="9" t="s">
        <v>9489</v>
      </c>
      <c r="O2147" s="10">
        <f>IFERROR(__xludf.DUMMYFUNCTION("VALUE(REGEXEXTRACT(A2147, ""\d+""))"),2513.0)</f>
        <v>2513</v>
      </c>
    </row>
    <row r="2148">
      <c r="A2148" s="9" t="s">
        <v>9490</v>
      </c>
      <c r="B2148" s="9" t="s">
        <v>9491</v>
      </c>
      <c r="D2148" s="9" t="s">
        <v>9492</v>
      </c>
      <c r="G2148" s="9" t="s">
        <v>9493</v>
      </c>
      <c r="J2148" s="9" t="s">
        <v>9494</v>
      </c>
      <c r="O2148" s="10">
        <f>IFERROR(__xludf.DUMMYFUNCTION("VALUE(REGEXEXTRACT(A2148, ""\d+""))"),2514.0)</f>
        <v>2514</v>
      </c>
    </row>
    <row r="2149">
      <c r="A2149" s="9" t="s">
        <v>9495</v>
      </c>
      <c r="B2149" s="9" t="s">
        <v>9496</v>
      </c>
      <c r="D2149" s="9" t="s">
        <v>9497</v>
      </c>
      <c r="G2149" s="9" t="s">
        <v>9498</v>
      </c>
      <c r="J2149" s="9" t="s">
        <v>9499</v>
      </c>
      <c r="O2149" s="10">
        <f>IFERROR(__xludf.DUMMYFUNCTION("VALUE(REGEXEXTRACT(A2149, ""\d+""))"),2515.0)</f>
        <v>2515</v>
      </c>
    </row>
    <row r="2150">
      <c r="A2150" s="9" t="s">
        <v>9500</v>
      </c>
      <c r="B2150" s="9" t="s">
        <v>9501</v>
      </c>
      <c r="D2150" s="9" t="s">
        <v>9502</v>
      </c>
      <c r="G2150" s="9" t="s">
        <v>9503</v>
      </c>
      <c r="J2150" s="9" t="s">
        <v>9504</v>
      </c>
      <c r="O2150" s="10">
        <f>IFERROR(__xludf.DUMMYFUNCTION("VALUE(REGEXEXTRACT(A2150, ""\d+""))"),2516.0)</f>
        <v>2516</v>
      </c>
    </row>
    <row r="2151">
      <c r="A2151" s="9" t="s">
        <v>9505</v>
      </c>
      <c r="B2151" s="9" t="s">
        <v>9506</v>
      </c>
      <c r="D2151" s="9" t="s">
        <v>9507</v>
      </c>
      <c r="G2151" s="9" t="s">
        <v>9508</v>
      </c>
      <c r="J2151" s="9" t="s">
        <v>9509</v>
      </c>
      <c r="O2151" s="10">
        <f>IFERROR(__xludf.DUMMYFUNCTION("VALUE(REGEXEXTRACT(A2151, ""\d+""))"),2517.0)</f>
        <v>2517</v>
      </c>
    </row>
    <row r="2152">
      <c r="A2152" s="9" t="s">
        <v>9510</v>
      </c>
      <c r="B2152" s="9" t="s">
        <v>9511</v>
      </c>
      <c r="D2152" s="9" t="s">
        <v>9512</v>
      </c>
      <c r="G2152" s="9" t="s">
        <v>9513</v>
      </c>
      <c r="J2152" s="9" t="s">
        <v>9514</v>
      </c>
      <c r="O2152" s="10">
        <f>IFERROR(__xludf.DUMMYFUNCTION("VALUE(REGEXEXTRACT(A2152, ""\d+""))"),2518.0)</f>
        <v>2518</v>
      </c>
    </row>
    <row r="2153">
      <c r="A2153" s="9" t="s">
        <v>9515</v>
      </c>
      <c r="B2153" s="9" t="s">
        <v>9516</v>
      </c>
      <c r="D2153" s="9" t="s">
        <v>9517</v>
      </c>
      <c r="G2153" s="9" t="s">
        <v>9518</v>
      </c>
      <c r="J2153" s="9" t="s">
        <v>9519</v>
      </c>
      <c r="O2153" s="10">
        <f>IFERROR(__xludf.DUMMYFUNCTION("VALUE(REGEXEXTRACT(A2153, ""\d+""))"),2519.0)</f>
        <v>2519</v>
      </c>
    </row>
    <row r="2154">
      <c r="A2154" s="9" t="s">
        <v>9520</v>
      </c>
      <c r="B2154" s="9" t="s">
        <v>9521</v>
      </c>
      <c r="D2154" s="9" t="s">
        <v>9522</v>
      </c>
      <c r="G2154" s="9" t="s">
        <v>9523</v>
      </c>
      <c r="J2154" s="9" t="s">
        <v>9524</v>
      </c>
      <c r="O2154" s="10">
        <f>IFERROR(__xludf.DUMMYFUNCTION("VALUE(REGEXEXTRACT(A2154, ""\d+""))"),2520.0)</f>
        <v>2520</v>
      </c>
    </row>
    <row r="2155">
      <c r="A2155" s="9" t="s">
        <v>9525</v>
      </c>
      <c r="B2155" s="9" t="s">
        <v>9526</v>
      </c>
      <c r="D2155" s="9" t="s">
        <v>9527</v>
      </c>
      <c r="G2155" s="9" t="s">
        <v>9528</v>
      </c>
      <c r="J2155" s="9" t="s">
        <v>9529</v>
      </c>
      <c r="O2155" s="10">
        <f>IFERROR(__xludf.DUMMYFUNCTION("VALUE(REGEXEXTRACT(A2155, ""\d+""))"),2521.0)</f>
        <v>2521</v>
      </c>
    </row>
    <row r="2156">
      <c r="A2156" s="9" t="s">
        <v>9530</v>
      </c>
      <c r="B2156" s="9" t="s">
        <v>9531</v>
      </c>
      <c r="D2156" s="9" t="s">
        <v>9532</v>
      </c>
      <c r="G2156" s="9" t="s">
        <v>9533</v>
      </c>
      <c r="J2156" s="9" t="s">
        <v>9534</v>
      </c>
      <c r="O2156" s="10">
        <f>IFERROR(__xludf.DUMMYFUNCTION("VALUE(REGEXEXTRACT(A2156, ""\d+""))"),2522.0)</f>
        <v>2522</v>
      </c>
    </row>
    <row r="2157">
      <c r="A2157" s="9" t="s">
        <v>9535</v>
      </c>
      <c r="B2157" s="9" t="s">
        <v>9536</v>
      </c>
      <c r="D2157" s="9" t="s">
        <v>9537</v>
      </c>
      <c r="G2157" s="9" t="s">
        <v>9538</v>
      </c>
      <c r="J2157" s="9" t="s">
        <v>9539</v>
      </c>
      <c r="O2157" s="10">
        <f>IFERROR(__xludf.DUMMYFUNCTION("VALUE(REGEXEXTRACT(A2157, ""\d+""))"),2523.0)</f>
        <v>2523</v>
      </c>
    </row>
    <row r="2158">
      <c r="A2158" s="9" t="s">
        <v>9540</v>
      </c>
      <c r="B2158" s="9" t="s">
        <v>9541</v>
      </c>
      <c r="D2158" s="9" t="s">
        <v>9542</v>
      </c>
      <c r="G2158" s="9" t="s">
        <v>9543</v>
      </c>
      <c r="J2158" s="9" t="s">
        <v>9544</v>
      </c>
      <c r="O2158" s="10">
        <f>IFERROR(__xludf.DUMMYFUNCTION("VALUE(REGEXEXTRACT(A2158, ""\d+""))"),2524.0)</f>
        <v>2524</v>
      </c>
    </row>
    <row r="2159">
      <c r="A2159" s="9" t="s">
        <v>9545</v>
      </c>
      <c r="B2159" s="9" t="s">
        <v>9546</v>
      </c>
      <c r="D2159" s="9" t="s">
        <v>9547</v>
      </c>
      <c r="G2159" s="9" t="s">
        <v>9548</v>
      </c>
      <c r="J2159" s="9" t="s">
        <v>9549</v>
      </c>
      <c r="O2159" s="10">
        <f>IFERROR(__xludf.DUMMYFUNCTION("VALUE(REGEXEXTRACT(A2159, ""\d+""))"),2525.0)</f>
        <v>2525</v>
      </c>
    </row>
    <row r="2160">
      <c r="A2160" s="9" t="s">
        <v>9550</v>
      </c>
      <c r="B2160" s="9" t="s">
        <v>9551</v>
      </c>
      <c r="D2160" s="9" t="s">
        <v>9552</v>
      </c>
      <c r="G2160" s="9" t="s">
        <v>9553</v>
      </c>
      <c r="J2160" s="9" t="s">
        <v>9554</v>
      </c>
      <c r="O2160" s="10">
        <f>IFERROR(__xludf.DUMMYFUNCTION("VALUE(REGEXEXTRACT(A2160, ""\d+""))"),2526.0)</f>
        <v>2526</v>
      </c>
    </row>
    <row r="2161">
      <c r="A2161" s="9" t="s">
        <v>9555</v>
      </c>
      <c r="B2161" s="9" t="s">
        <v>9556</v>
      </c>
      <c r="D2161" s="9" t="s">
        <v>9557</v>
      </c>
      <c r="G2161" s="9" t="s">
        <v>9558</v>
      </c>
      <c r="J2161" s="9" t="s">
        <v>9559</v>
      </c>
      <c r="O2161" s="10">
        <f>IFERROR(__xludf.DUMMYFUNCTION("VALUE(REGEXEXTRACT(A2161, ""\d+""))"),2527.0)</f>
        <v>2527</v>
      </c>
    </row>
    <row r="2162">
      <c r="A2162" s="9" t="s">
        <v>9560</v>
      </c>
      <c r="B2162" s="9" t="s">
        <v>9561</v>
      </c>
      <c r="D2162" s="9" t="s">
        <v>9562</v>
      </c>
      <c r="G2162" s="9" t="s">
        <v>9563</v>
      </c>
      <c r="J2162" s="9" t="s">
        <v>9564</v>
      </c>
      <c r="O2162" s="10">
        <f>IFERROR(__xludf.DUMMYFUNCTION("VALUE(REGEXEXTRACT(A2162, ""\d+""))"),2528.0)</f>
        <v>2528</v>
      </c>
    </row>
    <row r="2163">
      <c r="A2163" s="9" t="s">
        <v>9565</v>
      </c>
      <c r="B2163" s="9" t="s">
        <v>9566</v>
      </c>
      <c r="D2163" s="9" t="s">
        <v>9567</v>
      </c>
      <c r="G2163" s="9" t="s">
        <v>9568</v>
      </c>
      <c r="J2163" s="9" t="s">
        <v>9569</v>
      </c>
      <c r="O2163" s="10">
        <f>IFERROR(__xludf.DUMMYFUNCTION("VALUE(REGEXEXTRACT(A2163, ""\d+""))"),2529.0)</f>
        <v>2529</v>
      </c>
    </row>
    <row r="2164">
      <c r="A2164" s="9" t="s">
        <v>9570</v>
      </c>
      <c r="B2164" s="9" t="s">
        <v>9571</v>
      </c>
      <c r="G2164" s="9" t="s">
        <v>9572</v>
      </c>
      <c r="O2164" s="10">
        <f>IFERROR(__xludf.DUMMYFUNCTION("VALUE(REGEXEXTRACT(A2164, ""\d+""))"),2530.0)</f>
        <v>2530</v>
      </c>
    </row>
    <row r="2165">
      <c r="A2165" s="9" t="s">
        <v>9573</v>
      </c>
      <c r="B2165" s="9" t="s">
        <v>9574</v>
      </c>
      <c r="D2165" s="9" t="s">
        <v>9575</v>
      </c>
      <c r="G2165" s="9" t="s">
        <v>9576</v>
      </c>
      <c r="J2165" s="9" t="s">
        <v>9577</v>
      </c>
      <c r="O2165" s="10">
        <f>IFERROR(__xludf.DUMMYFUNCTION("VALUE(REGEXEXTRACT(A2165, ""\d+""))"),2531.0)</f>
        <v>2531</v>
      </c>
    </row>
    <row r="2166">
      <c r="A2166" s="9" t="s">
        <v>9578</v>
      </c>
      <c r="B2166" s="9" t="s">
        <v>9579</v>
      </c>
      <c r="D2166" s="9" t="s">
        <v>9580</v>
      </c>
      <c r="G2166" s="9" t="s">
        <v>9581</v>
      </c>
      <c r="J2166" s="9" t="s">
        <v>9582</v>
      </c>
      <c r="O2166" s="10">
        <f>IFERROR(__xludf.DUMMYFUNCTION("VALUE(REGEXEXTRACT(A2166, ""\d+""))"),2532.0)</f>
        <v>2532</v>
      </c>
    </row>
    <row r="2167">
      <c r="A2167" s="9" t="s">
        <v>9583</v>
      </c>
      <c r="B2167" s="9" t="s">
        <v>9584</v>
      </c>
      <c r="D2167" s="9" t="s">
        <v>9585</v>
      </c>
      <c r="G2167" s="9" t="s">
        <v>9586</v>
      </c>
      <c r="J2167" s="9" t="s">
        <v>9587</v>
      </c>
      <c r="O2167" s="10">
        <f>IFERROR(__xludf.DUMMYFUNCTION("VALUE(REGEXEXTRACT(A2167, ""\d+""))"),2533.0)</f>
        <v>2533</v>
      </c>
    </row>
    <row r="2168">
      <c r="A2168" s="9" t="s">
        <v>9588</v>
      </c>
      <c r="B2168" s="9" t="s">
        <v>9589</v>
      </c>
      <c r="D2168" s="9" t="s">
        <v>9590</v>
      </c>
      <c r="G2168" s="9" t="s">
        <v>9591</v>
      </c>
      <c r="J2168" s="9" t="s">
        <v>9592</v>
      </c>
      <c r="O2168" s="10">
        <f>IFERROR(__xludf.DUMMYFUNCTION("VALUE(REGEXEXTRACT(A2168, ""\d+""))"),2535.0)</f>
        <v>2535</v>
      </c>
    </row>
    <row r="2169">
      <c r="A2169" s="9" t="s">
        <v>9593</v>
      </c>
      <c r="B2169" s="9" t="s">
        <v>9594</v>
      </c>
      <c r="D2169" s="9" t="s">
        <v>9595</v>
      </c>
      <c r="G2169" s="9" t="s">
        <v>9596</v>
      </c>
      <c r="J2169" s="9" t="s">
        <v>9597</v>
      </c>
      <c r="O2169" s="10">
        <f>IFERROR(__xludf.DUMMYFUNCTION("VALUE(REGEXEXTRACT(A2169, ""\d+""))"),2536.0)</f>
        <v>2536</v>
      </c>
    </row>
    <row r="2170">
      <c r="A2170" s="9" t="s">
        <v>9598</v>
      </c>
      <c r="B2170" s="9" t="s">
        <v>9599</v>
      </c>
      <c r="D2170" s="9" t="s">
        <v>9600</v>
      </c>
      <c r="G2170" s="9" t="s">
        <v>9601</v>
      </c>
      <c r="J2170" s="9" t="s">
        <v>9602</v>
      </c>
      <c r="O2170" s="10">
        <f>IFERROR(__xludf.DUMMYFUNCTION("VALUE(REGEXEXTRACT(A2170, ""\d+""))"),2537.0)</f>
        <v>2537</v>
      </c>
    </row>
    <row r="2171">
      <c r="A2171" s="9" t="s">
        <v>9603</v>
      </c>
      <c r="B2171" s="9" t="s">
        <v>9604</v>
      </c>
      <c r="G2171" s="9" t="s">
        <v>9605</v>
      </c>
      <c r="O2171" s="10">
        <f>IFERROR(__xludf.DUMMYFUNCTION("VALUE(REGEXEXTRACT(A2171, ""\d+""))"),2538.0)</f>
        <v>2538</v>
      </c>
    </row>
    <row r="2172">
      <c r="A2172" s="9" t="s">
        <v>9606</v>
      </c>
      <c r="B2172" s="9" t="s">
        <v>9607</v>
      </c>
      <c r="G2172" s="9" t="s">
        <v>9608</v>
      </c>
      <c r="O2172" s="10">
        <f>IFERROR(__xludf.DUMMYFUNCTION("VALUE(REGEXEXTRACT(A2172, ""\d+""))"),2539.0)</f>
        <v>2539</v>
      </c>
    </row>
    <row r="2173">
      <c r="A2173" s="9" t="s">
        <v>9609</v>
      </c>
      <c r="B2173" s="9" t="s">
        <v>9610</v>
      </c>
      <c r="D2173" s="9" t="s">
        <v>9611</v>
      </c>
      <c r="G2173" s="9" t="s">
        <v>9611</v>
      </c>
      <c r="J2173" s="9" t="s">
        <v>9612</v>
      </c>
      <c r="O2173" s="10">
        <f>IFERROR(__xludf.DUMMYFUNCTION("VALUE(REGEXEXTRACT(A2173, ""\d+""))"),2540.0)</f>
        <v>2540</v>
      </c>
    </row>
    <row r="2174">
      <c r="A2174" s="9" t="s">
        <v>9613</v>
      </c>
      <c r="B2174" s="9" t="s">
        <v>9614</v>
      </c>
      <c r="G2174" s="9" t="s">
        <v>9615</v>
      </c>
      <c r="O2174" s="10">
        <f>IFERROR(__xludf.DUMMYFUNCTION("VALUE(REGEXEXTRACT(A2174, ""\d+""))"),2541.0)</f>
        <v>2541</v>
      </c>
    </row>
    <row r="2175">
      <c r="A2175" s="9" t="s">
        <v>9616</v>
      </c>
      <c r="B2175" s="9" t="s">
        <v>9617</v>
      </c>
      <c r="G2175" s="9" t="s">
        <v>9618</v>
      </c>
      <c r="O2175" s="10">
        <f>IFERROR(__xludf.DUMMYFUNCTION("VALUE(REGEXEXTRACT(A2175, ""\d+""))"),2542.0)</f>
        <v>2542</v>
      </c>
    </row>
    <row r="2176">
      <c r="A2176" s="9" t="s">
        <v>9619</v>
      </c>
      <c r="B2176" s="9" t="s">
        <v>9620</v>
      </c>
      <c r="D2176" s="9" t="s">
        <v>9621</v>
      </c>
      <c r="G2176" s="9" t="s">
        <v>9622</v>
      </c>
      <c r="J2176" s="9" t="s">
        <v>9623</v>
      </c>
      <c r="O2176" s="10">
        <f>IFERROR(__xludf.DUMMYFUNCTION("VALUE(REGEXEXTRACT(A2176, ""\d+""))"),2543.0)</f>
        <v>2543</v>
      </c>
    </row>
    <row r="2177">
      <c r="A2177" s="9" t="s">
        <v>9624</v>
      </c>
      <c r="B2177" s="9" t="s">
        <v>9625</v>
      </c>
      <c r="G2177" s="9" t="s">
        <v>4578</v>
      </c>
      <c r="O2177" s="10">
        <f>IFERROR(__xludf.DUMMYFUNCTION("VALUE(REGEXEXTRACT(A2177, ""\d+""))"),2544.0)</f>
        <v>2544</v>
      </c>
    </row>
    <row r="2178">
      <c r="A2178" s="9" t="s">
        <v>9626</v>
      </c>
      <c r="B2178" s="9" t="s">
        <v>9627</v>
      </c>
      <c r="D2178" s="9" t="s">
        <v>9628</v>
      </c>
      <c r="G2178" s="9" t="s">
        <v>9629</v>
      </c>
      <c r="J2178" s="9" t="s">
        <v>9630</v>
      </c>
      <c r="O2178" s="10">
        <f>IFERROR(__xludf.DUMMYFUNCTION("VALUE(REGEXEXTRACT(A2178, ""\d+""))"),2545.0)</f>
        <v>2545</v>
      </c>
    </row>
    <row r="2179">
      <c r="A2179" s="9" t="s">
        <v>9631</v>
      </c>
      <c r="B2179" s="9" t="s">
        <v>9632</v>
      </c>
      <c r="D2179" s="9" t="s">
        <v>9633</v>
      </c>
      <c r="G2179" s="9" t="s">
        <v>9634</v>
      </c>
      <c r="J2179" s="9" t="s">
        <v>9635</v>
      </c>
      <c r="O2179" s="10">
        <f>IFERROR(__xludf.DUMMYFUNCTION("VALUE(REGEXEXTRACT(A2179, ""\d+""))"),2546.0)</f>
        <v>2546</v>
      </c>
    </row>
    <row r="2180">
      <c r="A2180" s="9" t="s">
        <v>9636</v>
      </c>
      <c r="B2180" s="9" t="s">
        <v>9637</v>
      </c>
      <c r="D2180" s="9" t="s">
        <v>9638</v>
      </c>
      <c r="G2180" s="9" t="s">
        <v>9639</v>
      </c>
      <c r="J2180" s="9" t="s">
        <v>9640</v>
      </c>
      <c r="O2180" s="10">
        <f>IFERROR(__xludf.DUMMYFUNCTION("VALUE(REGEXEXTRACT(A2180, ""\d+""))"),2547.0)</f>
        <v>2547</v>
      </c>
    </row>
    <row r="2181">
      <c r="A2181" s="9" t="s">
        <v>9641</v>
      </c>
      <c r="B2181" s="9" t="s">
        <v>9642</v>
      </c>
      <c r="D2181" s="9" t="s">
        <v>9643</v>
      </c>
      <c r="G2181" s="9" t="s">
        <v>9644</v>
      </c>
      <c r="J2181" s="9" t="s">
        <v>9645</v>
      </c>
      <c r="O2181" s="10">
        <f>IFERROR(__xludf.DUMMYFUNCTION("VALUE(REGEXEXTRACT(A2181, ""\d+""))"),2548.0)</f>
        <v>2548</v>
      </c>
    </row>
    <row r="2182">
      <c r="A2182" s="9" t="s">
        <v>9646</v>
      </c>
      <c r="B2182" s="9" t="s">
        <v>9647</v>
      </c>
      <c r="D2182" s="9" t="s">
        <v>9648</v>
      </c>
      <c r="G2182" s="9" t="s">
        <v>9649</v>
      </c>
      <c r="J2182" s="9" t="s">
        <v>9650</v>
      </c>
      <c r="O2182" s="10">
        <f>IFERROR(__xludf.DUMMYFUNCTION("VALUE(REGEXEXTRACT(A2182, ""\d+""))"),2549.0)</f>
        <v>2549</v>
      </c>
    </row>
    <row r="2183">
      <c r="A2183" s="9" t="s">
        <v>9651</v>
      </c>
      <c r="B2183" s="9" t="s">
        <v>9652</v>
      </c>
      <c r="D2183" s="9" t="s">
        <v>9653</v>
      </c>
      <c r="G2183" s="9" t="s">
        <v>9654</v>
      </c>
      <c r="J2183" s="9" t="s">
        <v>9655</v>
      </c>
      <c r="O2183" s="10">
        <f>IFERROR(__xludf.DUMMYFUNCTION("VALUE(REGEXEXTRACT(A2183, ""\d+""))"),2550.0)</f>
        <v>2550</v>
      </c>
    </row>
    <row r="2184">
      <c r="A2184" s="9" t="s">
        <v>9656</v>
      </c>
      <c r="B2184" s="9" t="s">
        <v>9657</v>
      </c>
      <c r="D2184" s="9" t="s">
        <v>9658</v>
      </c>
      <c r="G2184" s="9" t="s">
        <v>9659</v>
      </c>
      <c r="J2184" s="9" t="s">
        <v>9660</v>
      </c>
      <c r="O2184" s="10">
        <f>IFERROR(__xludf.DUMMYFUNCTION("VALUE(REGEXEXTRACT(A2184, ""\d+""))"),2551.0)</f>
        <v>2551</v>
      </c>
    </row>
    <row r="2185">
      <c r="A2185" s="9" t="s">
        <v>9661</v>
      </c>
      <c r="B2185" s="9" t="s">
        <v>9662</v>
      </c>
      <c r="G2185" s="9" t="s">
        <v>9663</v>
      </c>
      <c r="O2185" s="10">
        <f>IFERROR(__xludf.DUMMYFUNCTION("VALUE(REGEXEXTRACT(A2185, ""\d+""))"),2552.0)</f>
        <v>2552</v>
      </c>
    </row>
    <row r="2186">
      <c r="A2186" s="9" t="s">
        <v>9664</v>
      </c>
      <c r="B2186" s="9" t="s">
        <v>9665</v>
      </c>
      <c r="G2186" s="9" t="s">
        <v>9666</v>
      </c>
      <c r="O2186" s="10">
        <f>IFERROR(__xludf.DUMMYFUNCTION("VALUE(REGEXEXTRACT(A2186, ""\d+""))"),2553.0)</f>
        <v>2553</v>
      </c>
    </row>
    <row r="2187">
      <c r="A2187" s="9" t="s">
        <v>9667</v>
      </c>
      <c r="B2187" s="9" t="s">
        <v>9668</v>
      </c>
      <c r="D2187" s="9" t="s">
        <v>9669</v>
      </c>
      <c r="G2187" s="9" t="s">
        <v>9670</v>
      </c>
      <c r="J2187" s="9" t="s">
        <v>9671</v>
      </c>
      <c r="O2187" s="10">
        <f>IFERROR(__xludf.DUMMYFUNCTION("VALUE(REGEXEXTRACT(A2187, ""\d+""))"),2554.0)</f>
        <v>2554</v>
      </c>
    </row>
    <row r="2188">
      <c r="A2188" s="9" t="s">
        <v>9672</v>
      </c>
      <c r="B2188" s="9" t="s">
        <v>9673</v>
      </c>
      <c r="D2188" s="9" t="s">
        <v>9674</v>
      </c>
      <c r="G2188" s="9" t="s">
        <v>9675</v>
      </c>
      <c r="J2188" s="9" t="s">
        <v>9676</v>
      </c>
      <c r="O2188" s="10">
        <f>IFERROR(__xludf.DUMMYFUNCTION("VALUE(REGEXEXTRACT(A2188, ""\d+""))"),2555.0)</f>
        <v>2555</v>
      </c>
    </row>
    <row r="2189">
      <c r="A2189" s="9" t="s">
        <v>9677</v>
      </c>
      <c r="B2189" s="9" t="s">
        <v>9678</v>
      </c>
      <c r="D2189" s="9" t="s">
        <v>9679</v>
      </c>
      <c r="G2189" s="9" t="s">
        <v>9680</v>
      </c>
      <c r="J2189" s="9" t="s">
        <v>9681</v>
      </c>
      <c r="O2189" s="10">
        <f>IFERROR(__xludf.DUMMYFUNCTION("VALUE(REGEXEXTRACT(A2189, ""\d+""))"),2556.0)</f>
        <v>2556</v>
      </c>
    </row>
    <row r="2190">
      <c r="A2190" s="9" t="s">
        <v>9682</v>
      </c>
      <c r="B2190" s="9" t="s">
        <v>9683</v>
      </c>
      <c r="D2190" s="9" t="s">
        <v>9684</v>
      </c>
      <c r="G2190" s="9" t="s">
        <v>9685</v>
      </c>
      <c r="J2190" s="9" t="s">
        <v>9686</v>
      </c>
      <c r="O2190" s="10">
        <f>IFERROR(__xludf.DUMMYFUNCTION("VALUE(REGEXEXTRACT(A2190, ""\d+""))"),2557.0)</f>
        <v>2557</v>
      </c>
    </row>
    <row r="2191">
      <c r="A2191" s="9" t="s">
        <v>9687</v>
      </c>
      <c r="B2191" s="9" t="s">
        <v>9688</v>
      </c>
      <c r="D2191" s="9" t="s">
        <v>9689</v>
      </c>
      <c r="G2191" s="9" t="s">
        <v>9690</v>
      </c>
      <c r="J2191" s="9" t="s">
        <v>9691</v>
      </c>
      <c r="O2191" s="10">
        <f>IFERROR(__xludf.DUMMYFUNCTION("VALUE(REGEXEXTRACT(A2191, ""\d+""))"),2558.0)</f>
        <v>2558</v>
      </c>
    </row>
    <row r="2192">
      <c r="A2192" s="9" t="s">
        <v>9692</v>
      </c>
      <c r="B2192" s="9" t="s">
        <v>9693</v>
      </c>
      <c r="D2192" s="9" t="s">
        <v>9694</v>
      </c>
      <c r="G2192" s="9" t="s">
        <v>9695</v>
      </c>
      <c r="J2192" s="9" t="s">
        <v>9696</v>
      </c>
      <c r="O2192" s="10">
        <f>IFERROR(__xludf.DUMMYFUNCTION("VALUE(REGEXEXTRACT(A2192, ""\d+""))"),2559.0)</f>
        <v>2559</v>
      </c>
    </row>
    <row r="2193">
      <c r="A2193" s="9" t="s">
        <v>9697</v>
      </c>
      <c r="B2193" s="9" t="s">
        <v>9698</v>
      </c>
      <c r="D2193" s="9" t="s">
        <v>9699</v>
      </c>
      <c r="G2193" s="9" t="s">
        <v>9700</v>
      </c>
      <c r="J2193" s="9" t="s">
        <v>9701</v>
      </c>
      <c r="O2193" s="10">
        <f>IFERROR(__xludf.DUMMYFUNCTION("VALUE(REGEXEXTRACT(A2193, ""\d+""))"),2560.0)</f>
        <v>2560</v>
      </c>
    </row>
    <row r="2194">
      <c r="A2194" s="9" t="s">
        <v>9702</v>
      </c>
      <c r="B2194" s="9" t="s">
        <v>9703</v>
      </c>
      <c r="D2194" s="9" t="s">
        <v>9704</v>
      </c>
      <c r="G2194" s="9" t="s">
        <v>9705</v>
      </c>
      <c r="J2194" s="9" t="s">
        <v>9706</v>
      </c>
      <c r="O2194" s="10">
        <f>IFERROR(__xludf.DUMMYFUNCTION("VALUE(REGEXEXTRACT(A2194, ""\d+""))"),2561.0)</f>
        <v>2561</v>
      </c>
    </row>
    <row r="2195">
      <c r="A2195" s="9" t="s">
        <v>9707</v>
      </c>
      <c r="B2195" s="9" t="s">
        <v>9708</v>
      </c>
      <c r="D2195" s="9" t="s">
        <v>9709</v>
      </c>
      <c r="G2195" s="9" t="s">
        <v>9710</v>
      </c>
      <c r="J2195" s="9" t="s">
        <v>9711</v>
      </c>
      <c r="O2195" s="10">
        <f>IFERROR(__xludf.DUMMYFUNCTION("VALUE(REGEXEXTRACT(A2195, ""\d+""))"),2562.0)</f>
        <v>2562</v>
      </c>
    </row>
    <row r="2196">
      <c r="A2196" s="9" t="s">
        <v>9712</v>
      </c>
      <c r="B2196" s="9" t="s">
        <v>9713</v>
      </c>
      <c r="G2196" s="9" t="s">
        <v>9714</v>
      </c>
      <c r="O2196" s="10">
        <f>IFERROR(__xludf.DUMMYFUNCTION("VALUE(REGEXEXTRACT(A2196, ""\d+""))"),2563.0)</f>
        <v>2563</v>
      </c>
    </row>
    <row r="2197">
      <c r="A2197" s="9" t="s">
        <v>9715</v>
      </c>
      <c r="B2197" s="9" t="s">
        <v>9716</v>
      </c>
      <c r="G2197" s="9" t="s">
        <v>9717</v>
      </c>
      <c r="O2197" s="10">
        <f>IFERROR(__xludf.DUMMYFUNCTION("VALUE(REGEXEXTRACT(A2197, ""\d+""))"),2564.0)</f>
        <v>2564</v>
      </c>
    </row>
    <row r="2198">
      <c r="A2198" s="9" t="s">
        <v>9718</v>
      </c>
      <c r="B2198" s="9" t="s">
        <v>9719</v>
      </c>
      <c r="G2198" s="9" t="s">
        <v>9720</v>
      </c>
      <c r="O2198" s="10">
        <f>IFERROR(__xludf.DUMMYFUNCTION("VALUE(REGEXEXTRACT(A2198, ""\d+""))"),2565.0)</f>
        <v>2565</v>
      </c>
    </row>
    <row r="2199">
      <c r="A2199" s="9" t="s">
        <v>9721</v>
      </c>
      <c r="B2199" s="9" t="s">
        <v>9722</v>
      </c>
      <c r="D2199" s="9" t="s">
        <v>9723</v>
      </c>
      <c r="G2199" s="9" t="s">
        <v>9724</v>
      </c>
      <c r="J2199" s="9" t="s">
        <v>9725</v>
      </c>
      <c r="O2199" s="10">
        <f>IFERROR(__xludf.DUMMYFUNCTION("VALUE(REGEXEXTRACT(A2199, ""\d+""))"),2566.0)</f>
        <v>2566</v>
      </c>
    </row>
    <row r="2200">
      <c r="A2200" s="9" t="s">
        <v>9726</v>
      </c>
      <c r="B2200" s="9" t="s">
        <v>9727</v>
      </c>
      <c r="D2200" s="9" t="s">
        <v>9728</v>
      </c>
      <c r="G2200" s="9" t="s">
        <v>9728</v>
      </c>
      <c r="J2200" s="9" t="s">
        <v>9729</v>
      </c>
      <c r="O2200" s="10">
        <f>IFERROR(__xludf.DUMMYFUNCTION("VALUE(REGEXEXTRACT(A2200, ""\d+""))"),2567.0)</f>
        <v>2567</v>
      </c>
    </row>
    <row r="2201">
      <c r="A2201" s="9" t="s">
        <v>9730</v>
      </c>
      <c r="B2201" s="9" t="s">
        <v>9731</v>
      </c>
      <c r="D2201" s="9" t="s">
        <v>9732</v>
      </c>
      <c r="G2201" s="9" t="s">
        <v>9732</v>
      </c>
      <c r="J2201" s="9" t="s">
        <v>9733</v>
      </c>
      <c r="O2201" s="10">
        <f>IFERROR(__xludf.DUMMYFUNCTION("VALUE(REGEXEXTRACT(A2201, ""\d+""))"),2568.0)</f>
        <v>2568</v>
      </c>
    </row>
    <row r="2202">
      <c r="A2202" s="9" t="s">
        <v>9734</v>
      </c>
      <c r="B2202" s="9" t="s">
        <v>9735</v>
      </c>
      <c r="D2202" s="9" t="s">
        <v>9736</v>
      </c>
      <c r="G2202" s="9" t="s">
        <v>9736</v>
      </c>
      <c r="J2202" s="9" t="s">
        <v>9737</v>
      </c>
      <c r="O2202" s="10">
        <f>IFERROR(__xludf.DUMMYFUNCTION("VALUE(REGEXEXTRACT(A2202, ""\d+""))"),2569.0)</f>
        <v>2569</v>
      </c>
    </row>
    <row r="2203">
      <c r="A2203" s="9" t="s">
        <v>9738</v>
      </c>
      <c r="B2203" s="9" t="s">
        <v>9739</v>
      </c>
      <c r="D2203" s="9" t="s">
        <v>9740</v>
      </c>
      <c r="G2203" s="9" t="s">
        <v>9740</v>
      </c>
      <c r="J2203" s="9" t="s">
        <v>9741</v>
      </c>
      <c r="O2203" s="10">
        <f>IFERROR(__xludf.DUMMYFUNCTION("VALUE(REGEXEXTRACT(A2203, ""\d+""))"),2570.0)</f>
        <v>2570</v>
      </c>
    </row>
    <row r="2204">
      <c r="A2204" s="9" t="s">
        <v>9742</v>
      </c>
      <c r="B2204" s="9" t="s">
        <v>9743</v>
      </c>
      <c r="D2204" s="9" t="s">
        <v>9744</v>
      </c>
      <c r="G2204" s="9" t="s">
        <v>9744</v>
      </c>
      <c r="J2204" s="9" t="s">
        <v>9745</v>
      </c>
      <c r="O2204" s="10">
        <f>IFERROR(__xludf.DUMMYFUNCTION("VALUE(REGEXEXTRACT(A2204, ""\d+""))"),2571.0)</f>
        <v>2571</v>
      </c>
    </row>
    <row r="2205">
      <c r="A2205" s="9" t="s">
        <v>9746</v>
      </c>
      <c r="B2205" s="9" t="s">
        <v>9747</v>
      </c>
      <c r="D2205" s="9" t="s">
        <v>9748</v>
      </c>
      <c r="G2205" s="9" t="s">
        <v>9749</v>
      </c>
      <c r="J2205" s="9" t="s">
        <v>9750</v>
      </c>
      <c r="O2205" s="10">
        <f>IFERROR(__xludf.DUMMYFUNCTION("VALUE(REGEXEXTRACT(A2205, ""\d+""))"),2572.0)</f>
        <v>2572</v>
      </c>
    </row>
    <row r="2206">
      <c r="A2206" s="9" t="s">
        <v>9751</v>
      </c>
      <c r="B2206" s="9" t="s">
        <v>9752</v>
      </c>
      <c r="D2206" s="9" t="s">
        <v>9753</v>
      </c>
      <c r="G2206" s="9" t="s">
        <v>9754</v>
      </c>
      <c r="J2206" s="9" t="s">
        <v>9755</v>
      </c>
      <c r="O2206" s="10">
        <f>IFERROR(__xludf.DUMMYFUNCTION("VALUE(REGEXEXTRACT(A2206, ""\d+""))"),2573.0)</f>
        <v>2573</v>
      </c>
    </row>
    <row r="2207">
      <c r="A2207" s="9" t="s">
        <v>9756</v>
      </c>
      <c r="B2207" s="9" t="s">
        <v>9757</v>
      </c>
      <c r="D2207" s="9" t="s">
        <v>9758</v>
      </c>
      <c r="G2207" s="9" t="s">
        <v>9758</v>
      </c>
      <c r="J2207" s="9" t="s">
        <v>9759</v>
      </c>
      <c r="O2207" s="10">
        <f>IFERROR(__xludf.DUMMYFUNCTION("VALUE(REGEXEXTRACT(A2207, ""\d+""))"),2574.0)</f>
        <v>2574</v>
      </c>
    </row>
    <row r="2208">
      <c r="A2208" s="9" t="s">
        <v>9760</v>
      </c>
      <c r="B2208" s="9" t="s">
        <v>9761</v>
      </c>
      <c r="G2208" s="9" t="s">
        <v>9762</v>
      </c>
      <c r="O2208" s="10">
        <f>IFERROR(__xludf.DUMMYFUNCTION("VALUE(REGEXEXTRACT(A2208, ""\d+""))"),2575.0)</f>
        <v>2575</v>
      </c>
    </row>
    <row r="2209">
      <c r="A2209" s="9" t="s">
        <v>9763</v>
      </c>
      <c r="B2209" s="9" t="s">
        <v>9764</v>
      </c>
      <c r="D2209" s="9" t="s">
        <v>9765</v>
      </c>
      <c r="G2209" s="9" t="s">
        <v>9766</v>
      </c>
      <c r="J2209" s="9" t="s">
        <v>9767</v>
      </c>
      <c r="O2209" s="10">
        <f>IFERROR(__xludf.DUMMYFUNCTION("VALUE(REGEXEXTRACT(A2209, ""\d+""))"),2576.0)</f>
        <v>2576</v>
      </c>
    </row>
    <row r="2210">
      <c r="A2210" s="9" t="s">
        <v>9768</v>
      </c>
      <c r="B2210" s="9" t="s">
        <v>9769</v>
      </c>
      <c r="D2210" s="9" t="s">
        <v>9770</v>
      </c>
      <c r="G2210" s="9" t="s">
        <v>9771</v>
      </c>
      <c r="J2210" s="9" t="s">
        <v>9772</v>
      </c>
      <c r="O2210" s="10">
        <f>IFERROR(__xludf.DUMMYFUNCTION("VALUE(REGEXEXTRACT(A2210, ""\d+""))"),2577.0)</f>
        <v>2577</v>
      </c>
    </row>
    <row r="2211">
      <c r="A2211" s="9" t="s">
        <v>9773</v>
      </c>
      <c r="B2211" s="9" t="s">
        <v>9774</v>
      </c>
      <c r="D2211" s="9" t="s">
        <v>9775</v>
      </c>
      <c r="G2211" s="9" t="s">
        <v>9776</v>
      </c>
      <c r="J2211" s="9" t="s">
        <v>9777</v>
      </c>
      <c r="O2211" s="10">
        <f>IFERROR(__xludf.DUMMYFUNCTION("VALUE(REGEXEXTRACT(A2211, ""\d+""))"),2578.0)</f>
        <v>2578</v>
      </c>
    </row>
    <row r="2212">
      <c r="A2212" s="9" t="s">
        <v>9778</v>
      </c>
      <c r="B2212" s="9" t="s">
        <v>9779</v>
      </c>
      <c r="D2212" s="9" t="s">
        <v>9780</v>
      </c>
      <c r="G2212" s="9" t="s">
        <v>9781</v>
      </c>
      <c r="J2212" s="9" t="s">
        <v>9782</v>
      </c>
      <c r="O2212" s="10">
        <f>IFERROR(__xludf.DUMMYFUNCTION("VALUE(REGEXEXTRACT(A2212, ""\d+""))"),2579.0)</f>
        <v>2579</v>
      </c>
    </row>
    <row r="2213">
      <c r="A2213" s="9" t="s">
        <v>9783</v>
      </c>
      <c r="B2213" s="9" t="s">
        <v>9784</v>
      </c>
      <c r="D2213" s="9" t="s">
        <v>9785</v>
      </c>
      <c r="G2213" s="9" t="s">
        <v>9786</v>
      </c>
      <c r="J2213" s="9" t="s">
        <v>9787</v>
      </c>
      <c r="O2213" s="10">
        <f>IFERROR(__xludf.DUMMYFUNCTION("VALUE(REGEXEXTRACT(A2213, ""\d+""))"),2580.0)</f>
        <v>2580</v>
      </c>
    </row>
    <row r="2214">
      <c r="A2214" s="9" t="s">
        <v>9788</v>
      </c>
      <c r="B2214" s="9" t="s">
        <v>9789</v>
      </c>
      <c r="D2214" s="9" t="s">
        <v>9790</v>
      </c>
      <c r="G2214" s="9" t="s">
        <v>9791</v>
      </c>
      <c r="J2214" s="9" t="s">
        <v>9792</v>
      </c>
      <c r="O2214" s="10">
        <f>IFERROR(__xludf.DUMMYFUNCTION("VALUE(REGEXEXTRACT(A2214, ""\d+""))"),2581.0)</f>
        <v>2581</v>
      </c>
    </row>
    <row r="2215">
      <c r="A2215" s="9" t="s">
        <v>9793</v>
      </c>
      <c r="B2215" s="9" t="s">
        <v>9794</v>
      </c>
      <c r="D2215" s="9" t="s">
        <v>9795</v>
      </c>
      <c r="G2215" s="9" t="s">
        <v>9796</v>
      </c>
      <c r="J2215" s="9" t="s">
        <v>9794</v>
      </c>
      <c r="O2215" s="10">
        <f>IFERROR(__xludf.DUMMYFUNCTION("VALUE(REGEXEXTRACT(A2215, ""\d+""))"),2582.0)</f>
        <v>2582</v>
      </c>
    </row>
    <row r="2216">
      <c r="A2216" s="9" t="s">
        <v>9797</v>
      </c>
      <c r="B2216" s="9" t="s">
        <v>9798</v>
      </c>
      <c r="D2216" s="9" t="s">
        <v>9799</v>
      </c>
      <c r="G2216" s="9" t="s">
        <v>9800</v>
      </c>
      <c r="J2216" s="9" t="s">
        <v>9801</v>
      </c>
      <c r="O2216" s="10">
        <f>IFERROR(__xludf.DUMMYFUNCTION("VALUE(REGEXEXTRACT(A2216, ""\d+""))"),2583.0)</f>
        <v>2583</v>
      </c>
    </row>
    <row r="2217">
      <c r="A2217" s="9" t="s">
        <v>9802</v>
      </c>
      <c r="B2217" s="9" t="s">
        <v>9803</v>
      </c>
      <c r="D2217" s="9" t="s">
        <v>9804</v>
      </c>
      <c r="G2217" s="9" t="s">
        <v>9805</v>
      </c>
      <c r="J2217" s="9" t="s">
        <v>9806</v>
      </c>
      <c r="O2217" s="10">
        <f>IFERROR(__xludf.DUMMYFUNCTION("VALUE(REGEXEXTRACT(A2217, ""\d+""))"),2584.0)</f>
        <v>2584</v>
      </c>
    </row>
    <row r="2218">
      <c r="A2218" s="9" t="s">
        <v>9807</v>
      </c>
      <c r="B2218" s="9" t="s">
        <v>9808</v>
      </c>
      <c r="D2218" s="9" t="s">
        <v>9809</v>
      </c>
      <c r="G2218" s="9" t="s">
        <v>9810</v>
      </c>
      <c r="J2218" s="9" t="s">
        <v>9811</v>
      </c>
      <c r="O2218" s="10">
        <f>IFERROR(__xludf.DUMMYFUNCTION("VALUE(REGEXEXTRACT(A2218, ""\d+""))"),2585.0)</f>
        <v>2585</v>
      </c>
    </row>
    <row r="2219">
      <c r="A2219" s="9" t="s">
        <v>9812</v>
      </c>
      <c r="B2219" s="9" t="s">
        <v>9813</v>
      </c>
      <c r="D2219" s="9" t="s">
        <v>9814</v>
      </c>
      <c r="G2219" s="9" t="s">
        <v>9815</v>
      </c>
      <c r="J2219" s="9" t="s">
        <v>9816</v>
      </c>
      <c r="O2219" s="10">
        <f>IFERROR(__xludf.DUMMYFUNCTION("VALUE(REGEXEXTRACT(A2219, ""\d+""))"),2586.0)</f>
        <v>2586</v>
      </c>
    </row>
    <row r="2220">
      <c r="A2220" s="9" t="s">
        <v>9817</v>
      </c>
      <c r="B2220" s="9" t="s">
        <v>9818</v>
      </c>
      <c r="D2220" s="9" t="s">
        <v>9819</v>
      </c>
      <c r="G2220" s="9" t="s">
        <v>9820</v>
      </c>
      <c r="J2220" s="9" t="s">
        <v>9806</v>
      </c>
      <c r="O2220" s="10">
        <f>IFERROR(__xludf.DUMMYFUNCTION("VALUE(REGEXEXTRACT(A2220, ""\d+""))"),2587.0)</f>
        <v>2587</v>
      </c>
    </row>
    <row r="2221">
      <c r="A2221" s="9" t="s">
        <v>9821</v>
      </c>
      <c r="B2221" s="9" t="s">
        <v>9822</v>
      </c>
      <c r="D2221" s="9" t="s">
        <v>9823</v>
      </c>
      <c r="G2221" s="9" t="s">
        <v>9824</v>
      </c>
      <c r="J2221" s="9" t="s">
        <v>9825</v>
      </c>
      <c r="O2221" s="10">
        <f>IFERROR(__xludf.DUMMYFUNCTION("VALUE(REGEXEXTRACT(A2221, ""\d+""))"),2588.0)</f>
        <v>2588</v>
      </c>
    </row>
    <row r="2222">
      <c r="A2222" s="9" t="s">
        <v>9826</v>
      </c>
      <c r="B2222" s="9" t="s">
        <v>9827</v>
      </c>
      <c r="D2222" s="9" t="s">
        <v>9828</v>
      </c>
      <c r="G2222" s="9" t="s">
        <v>9829</v>
      </c>
      <c r="J2222" s="9" t="s">
        <v>9830</v>
      </c>
      <c r="O2222" s="10">
        <f>IFERROR(__xludf.DUMMYFUNCTION("VALUE(REGEXEXTRACT(A2222, ""\d+""))"),2589.0)</f>
        <v>2589</v>
      </c>
    </row>
    <row r="2223">
      <c r="A2223" s="9" t="s">
        <v>9831</v>
      </c>
      <c r="B2223" s="9" t="s">
        <v>9832</v>
      </c>
      <c r="D2223" s="9" t="s">
        <v>9833</v>
      </c>
      <c r="G2223" s="9" t="s">
        <v>9834</v>
      </c>
      <c r="J2223" s="9" t="s">
        <v>9835</v>
      </c>
      <c r="O2223" s="10">
        <f>IFERROR(__xludf.DUMMYFUNCTION("VALUE(REGEXEXTRACT(A2223, ""\d+""))"),2590.0)</f>
        <v>2590</v>
      </c>
    </row>
    <row r="2224">
      <c r="A2224" s="9" t="s">
        <v>9836</v>
      </c>
      <c r="B2224" s="9" t="s">
        <v>9837</v>
      </c>
      <c r="D2224" s="9" t="s">
        <v>9838</v>
      </c>
      <c r="G2224" s="9" t="s">
        <v>9839</v>
      </c>
      <c r="J2224" s="9" t="s">
        <v>9840</v>
      </c>
      <c r="O2224" s="10">
        <f>IFERROR(__xludf.DUMMYFUNCTION("VALUE(REGEXEXTRACT(A2224, ""\d+""))"),2591.0)</f>
        <v>2591</v>
      </c>
    </row>
    <row r="2225">
      <c r="A2225" s="9" t="s">
        <v>9841</v>
      </c>
      <c r="B2225" s="9" t="s">
        <v>9842</v>
      </c>
      <c r="D2225" s="9" t="s">
        <v>9843</v>
      </c>
      <c r="G2225" s="9" t="s">
        <v>9844</v>
      </c>
      <c r="J2225" s="9" t="s">
        <v>9845</v>
      </c>
      <c r="O2225" s="10">
        <f>IFERROR(__xludf.DUMMYFUNCTION("VALUE(REGEXEXTRACT(A2225, ""\d+""))"),2592.0)</f>
        <v>2592</v>
      </c>
    </row>
    <row r="2226">
      <c r="A2226" s="9" t="s">
        <v>9846</v>
      </c>
      <c r="B2226" s="9" t="s">
        <v>9847</v>
      </c>
      <c r="D2226" s="9" t="s">
        <v>9848</v>
      </c>
      <c r="G2226" s="9" t="s">
        <v>9849</v>
      </c>
      <c r="J2226" s="9" t="s">
        <v>9850</v>
      </c>
      <c r="O2226" s="10">
        <f>IFERROR(__xludf.DUMMYFUNCTION("VALUE(REGEXEXTRACT(A2226, ""\d+""))"),2594.0)</f>
        <v>2594</v>
      </c>
    </row>
    <row r="2227">
      <c r="A2227" s="9" t="s">
        <v>9851</v>
      </c>
      <c r="B2227" s="9" t="s">
        <v>9852</v>
      </c>
      <c r="D2227" s="9" t="s">
        <v>9853</v>
      </c>
      <c r="G2227" s="9" t="s">
        <v>9854</v>
      </c>
      <c r="J2227" s="9" t="s">
        <v>9855</v>
      </c>
      <c r="O2227" s="10">
        <f>IFERROR(__xludf.DUMMYFUNCTION("VALUE(REGEXEXTRACT(A2227, ""\d+""))"),2595.0)</f>
        <v>2595</v>
      </c>
    </row>
    <row r="2228">
      <c r="A2228" s="9" t="s">
        <v>9856</v>
      </c>
      <c r="B2228" s="9" t="s">
        <v>9857</v>
      </c>
      <c r="D2228" s="9" t="s">
        <v>9858</v>
      </c>
      <c r="G2228" s="9" t="s">
        <v>9859</v>
      </c>
      <c r="J2228" s="9" t="s">
        <v>9860</v>
      </c>
      <c r="O2228" s="10">
        <f>IFERROR(__xludf.DUMMYFUNCTION("VALUE(REGEXEXTRACT(A2228, ""\d+""))"),2596.0)</f>
        <v>2596</v>
      </c>
    </row>
    <row r="2229">
      <c r="A2229" s="9" t="s">
        <v>9861</v>
      </c>
      <c r="B2229" s="9" t="s">
        <v>9862</v>
      </c>
      <c r="D2229" s="9" t="s">
        <v>9863</v>
      </c>
      <c r="G2229" s="9" t="s">
        <v>9864</v>
      </c>
      <c r="J2229" s="9" t="s">
        <v>9865</v>
      </c>
      <c r="O2229" s="10">
        <f>IFERROR(__xludf.DUMMYFUNCTION("VALUE(REGEXEXTRACT(A2229, ""\d+""))"),2597.0)</f>
        <v>2597</v>
      </c>
    </row>
    <row r="2230">
      <c r="A2230" s="9" t="s">
        <v>9866</v>
      </c>
      <c r="B2230" s="9" t="s">
        <v>9867</v>
      </c>
      <c r="D2230" s="9" t="s">
        <v>9868</v>
      </c>
      <c r="G2230" s="9" t="s">
        <v>9869</v>
      </c>
      <c r="J2230" s="9" t="s">
        <v>9870</v>
      </c>
      <c r="O2230" s="10">
        <f>IFERROR(__xludf.DUMMYFUNCTION("VALUE(REGEXEXTRACT(A2230, ""\d+""))"),2598.0)</f>
        <v>2598</v>
      </c>
    </row>
    <row r="2231">
      <c r="A2231" s="9" t="s">
        <v>9871</v>
      </c>
      <c r="B2231" s="9" t="s">
        <v>9872</v>
      </c>
      <c r="D2231" s="9" t="s">
        <v>9873</v>
      </c>
      <c r="G2231" s="9" t="s">
        <v>9874</v>
      </c>
      <c r="J2231" s="9" t="s">
        <v>9875</v>
      </c>
      <c r="O2231" s="10">
        <f>IFERROR(__xludf.DUMMYFUNCTION("VALUE(REGEXEXTRACT(A2231, ""\d+""))"),2599.0)</f>
        <v>2599</v>
      </c>
    </row>
    <row r="2232">
      <c r="A2232" s="9" t="s">
        <v>9876</v>
      </c>
      <c r="B2232" s="9" t="s">
        <v>9877</v>
      </c>
      <c r="D2232" s="9" t="s">
        <v>9878</v>
      </c>
      <c r="G2232" s="9" t="s">
        <v>9879</v>
      </c>
      <c r="J2232" s="9" t="s">
        <v>9880</v>
      </c>
      <c r="O2232" s="10">
        <f>IFERROR(__xludf.DUMMYFUNCTION("VALUE(REGEXEXTRACT(A2232, ""\d+""))"),2600.0)</f>
        <v>2600</v>
      </c>
    </row>
    <row r="2233">
      <c r="A2233" s="9" t="s">
        <v>9881</v>
      </c>
      <c r="B2233" s="9" t="s">
        <v>9882</v>
      </c>
      <c r="D2233" s="9" t="s">
        <v>9883</v>
      </c>
      <c r="G2233" s="9" t="s">
        <v>9883</v>
      </c>
      <c r="J2233" s="9" t="s">
        <v>9884</v>
      </c>
      <c r="O2233" s="10">
        <f>IFERROR(__xludf.DUMMYFUNCTION("VALUE(REGEXEXTRACT(A2233, ""\d+""))"),2601.0)</f>
        <v>2601</v>
      </c>
    </row>
    <row r="2234">
      <c r="A2234" s="9" t="s">
        <v>9885</v>
      </c>
      <c r="B2234" s="9" t="s">
        <v>9886</v>
      </c>
      <c r="D2234" s="9" t="s">
        <v>9887</v>
      </c>
      <c r="G2234" s="9" t="s">
        <v>9888</v>
      </c>
      <c r="J2234" s="9" t="s">
        <v>9889</v>
      </c>
      <c r="O2234" s="10">
        <f>IFERROR(__xludf.DUMMYFUNCTION("VALUE(REGEXEXTRACT(A2234, ""\d+""))"),2602.0)</f>
        <v>2602</v>
      </c>
    </row>
    <row r="2235">
      <c r="A2235" s="9" t="s">
        <v>9890</v>
      </c>
      <c r="B2235" s="9" t="s">
        <v>9891</v>
      </c>
      <c r="D2235" s="9" t="s">
        <v>9892</v>
      </c>
      <c r="G2235" s="9" t="s">
        <v>9893</v>
      </c>
      <c r="J2235" s="9" t="s">
        <v>9894</v>
      </c>
      <c r="O2235" s="10">
        <f>IFERROR(__xludf.DUMMYFUNCTION("VALUE(REGEXEXTRACT(A2235, ""\d+""))"),2603.0)</f>
        <v>2603</v>
      </c>
    </row>
    <row r="2236">
      <c r="A2236" s="9" t="s">
        <v>9895</v>
      </c>
      <c r="B2236" s="9" t="s">
        <v>9896</v>
      </c>
      <c r="D2236" s="9" t="s">
        <v>9897</v>
      </c>
      <c r="G2236" s="9" t="s">
        <v>9898</v>
      </c>
      <c r="J2236" s="9" t="s">
        <v>9899</v>
      </c>
      <c r="O2236" s="10">
        <f>IFERROR(__xludf.DUMMYFUNCTION("VALUE(REGEXEXTRACT(A2236, ""\d+""))"),2604.0)</f>
        <v>2604</v>
      </c>
    </row>
    <row r="2237">
      <c r="A2237" s="9" t="s">
        <v>9900</v>
      </c>
      <c r="B2237" s="9" t="s">
        <v>9901</v>
      </c>
      <c r="D2237" s="9" t="s">
        <v>9902</v>
      </c>
      <c r="G2237" s="9" t="s">
        <v>9903</v>
      </c>
      <c r="J2237" s="9" t="s">
        <v>9904</v>
      </c>
      <c r="O2237" s="10">
        <f>IFERROR(__xludf.DUMMYFUNCTION("VALUE(REGEXEXTRACT(A2237, ""\d+""))"),2605.0)</f>
        <v>2605</v>
      </c>
    </row>
    <row r="2238">
      <c r="A2238" s="9" t="s">
        <v>9905</v>
      </c>
      <c r="B2238" s="9" t="s">
        <v>9906</v>
      </c>
      <c r="D2238" s="9" t="s">
        <v>9907</v>
      </c>
      <c r="G2238" s="9" t="s">
        <v>9908</v>
      </c>
      <c r="J2238" s="9" t="s">
        <v>9909</v>
      </c>
      <c r="O2238" s="10">
        <f>IFERROR(__xludf.DUMMYFUNCTION("VALUE(REGEXEXTRACT(A2238, ""\d+""))"),2606.0)</f>
        <v>2606</v>
      </c>
    </row>
    <row r="2239">
      <c r="A2239" s="9" t="s">
        <v>9910</v>
      </c>
      <c r="B2239" s="9" t="s">
        <v>9911</v>
      </c>
      <c r="D2239" s="9" t="s">
        <v>9912</v>
      </c>
      <c r="G2239" s="9" t="s">
        <v>9913</v>
      </c>
      <c r="J2239" s="9" t="s">
        <v>9914</v>
      </c>
      <c r="O2239" s="10">
        <f>IFERROR(__xludf.DUMMYFUNCTION("VALUE(REGEXEXTRACT(A2239, ""\d+""))"),2607.0)</f>
        <v>2607</v>
      </c>
    </row>
    <row r="2240">
      <c r="A2240" s="9" t="s">
        <v>9915</v>
      </c>
      <c r="B2240" s="9" t="s">
        <v>9916</v>
      </c>
      <c r="D2240" s="9" t="s">
        <v>9917</v>
      </c>
      <c r="G2240" s="9" t="s">
        <v>9918</v>
      </c>
      <c r="J2240" s="9" t="s">
        <v>9919</v>
      </c>
      <c r="O2240" s="10">
        <f>IFERROR(__xludf.DUMMYFUNCTION("VALUE(REGEXEXTRACT(A2240, ""\d+""))"),2608.0)</f>
        <v>2608</v>
      </c>
    </row>
    <row r="2241">
      <c r="A2241" s="9" t="s">
        <v>9920</v>
      </c>
      <c r="B2241" s="9" t="s">
        <v>9921</v>
      </c>
      <c r="D2241" s="9" t="s">
        <v>9922</v>
      </c>
      <c r="G2241" s="9" t="s">
        <v>9923</v>
      </c>
      <c r="J2241" s="9" t="s">
        <v>9924</v>
      </c>
      <c r="O2241" s="10">
        <f>IFERROR(__xludf.DUMMYFUNCTION("VALUE(REGEXEXTRACT(A2241, ""\d+""))"),2609.0)</f>
        <v>2609</v>
      </c>
    </row>
    <row r="2242">
      <c r="A2242" s="9" t="s">
        <v>9925</v>
      </c>
      <c r="B2242" s="9" t="s">
        <v>9926</v>
      </c>
      <c r="D2242" s="9" t="s">
        <v>9927</v>
      </c>
      <c r="G2242" s="9" t="s">
        <v>9928</v>
      </c>
      <c r="J2242" s="9" t="s">
        <v>9929</v>
      </c>
      <c r="O2242" s="10">
        <f>IFERROR(__xludf.DUMMYFUNCTION("VALUE(REGEXEXTRACT(A2242, ""\d+""))"),2610.0)</f>
        <v>2610</v>
      </c>
    </row>
    <row r="2243">
      <c r="A2243" s="9" t="s">
        <v>9930</v>
      </c>
      <c r="B2243" s="9" t="s">
        <v>9931</v>
      </c>
      <c r="D2243" s="9" t="s">
        <v>9932</v>
      </c>
      <c r="G2243" s="9" t="s">
        <v>9933</v>
      </c>
      <c r="J2243" s="9" t="s">
        <v>9934</v>
      </c>
      <c r="O2243" s="10">
        <f>IFERROR(__xludf.DUMMYFUNCTION("VALUE(REGEXEXTRACT(A2243, ""\d+""))"),2611.0)</f>
        <v>2611</v>
      </c>
    </row>
    <row r="2244">
      <c r="A2244" s="9" t="s">
        <v>9935</v>
      </c>
      <c r="B2244" s="9" t="s">
        <v>9936</v>
      </c>
      <c r="D2244" s="9" t="s">
        <v>9937</v>
      </c>
      <c r="G2244" s="9" t="s">
        <v>9938</v>
      </c>
      <c r="J2244" s="9" t="s">
        <v>9939</v>
      </c>
      <c r="O2244" s="10">
        <f>IFERROR(__xludf.DUMMYFUNCTION("VALUE(REGEXEXTRACT(A2244, ""\d+""))"),2612.0)</f>
        <v>2612</v>
      </c>
    </row>
    <row r="2245">
      <c r="A2245" s="9" t="s">
        <v>9940</v>
      </c>
      <c r="B2245" s="9" t="s">
        <v>9941</v>
      </c>
      <c r="D2245" s="9" t="s">
        <v>9942</v>
      </c>
      <c r="G2245" s="9" t="s">
        <v>9943</v>
      </c>
      <c r="J2245" s="9" t="s">
        <v>9944</v>
      </c>
      <c r="O2245" s="10">
        <f>IFERROR(__xludf.DUMMYFUNCTION("VALUE(REGEXEXTRACT(A2245, ""\d+""))"),2613.0)</f>
        <v>2613</v>
      </c>
    </row>
    <row r="2246">
      <c r="A2246" s="9" t="s">
        <v>9945</v>
      </c>
      <c r="B2246" s="9" t="s">
        <v>9946</v>
      </c>
      <c r="D2246" s="9" t="s">
        <v>9947</v>
      </c>
      <c r="G2246" s="9" t="s">
        <v>9948</v>
      </c>
      <c r="J2246" s="9" t="s">
        <v>9949</v>
      </c>
      <c r="O2246" s="10">
        <f>IFERROR(__xludf.DUMMYFUNCTION("VALUE(REGEXEXTRACT(A2246, ""\d+""))"),2614.0)</f>
        <v>2614</v>
      </c>
    </row>
    <row r="2247">
      <c r="A2247" s="9" t="s">
        <v>9950</v>
      </c>
      <c r="B2247" s="9" t="s">
        <v>9951</v>
      </c>
      <c r="D2247" s="9" t="s">
        <v>9952</v>
      </c>
      <c r="G2247" s="9" t="s">
        <v>9953</v>
      </c>
      <c r="J2247" s="9" t="s">
        <v>9954</v>
      </c>
      <c r="O2247" s="10">
        <f>IFERROR(__xludf.DUMMYFUNCTION("VALUE(REGEXEXTRACT(A2247, ""\d+""))"),2615.0)</f>
        <v>2615</v>
      </c>
    </row>
    <row r="2248">
      <c r="A2248" s="9" t="s">
        <v>9955</v>
      </c>
      <c r="B2248" s="9" t="s">
        <v>9956</v>
      </c>
      <c r="D2248" s="9" t="s">
        <v>9957</v>
      </c>
      <c r="G2248" s="9" t="s">
        <v>9958</v>
      </c>
      <c r="J2248" s="9" t="s">
        <v>9959</v>
      </c>
      <c r="O2248" s="10">
        <f>IFERROR(__xludf.DUMMYFUNCTION("VALUE(REGEXEXTRACT(A2248, ""\d+""))"),2616.0)</f>
        <v>2616</v>
      </c>
    </row>
    <row r="2249">
      <c r="A2249" s="9" t="s">
        <v>9960</v>
      </c>
      <c r="B2249" s="9" t="s">
        <v>9961</v>
      </c>
      <c r="D2249" s="9" t="s">
        <v>9962</v>
      </c>
      <c r="G2249" s="9" t="s">
        <v>9963</v>
      </c>
      <c r="J2249" s="9" t="s">
        <v>9964</v>
      </c>
      <c r="O2249" s="10">
        <f>IFERROR(__xludf.DUMMYFUNCTION("VALUE(REGEXEXTRACT(A2249, ""\d+""))"),2617.0)</f>
        <v>2617</v>
      </c>
    </row>
    <row r="2250">
      <c r="A2250" s="9" t="s">
        <v>9965</v>
      </c>
      <c r="B2250" s="9" t="s">
        <v>9966</v>
      </c>
      <c r="D2250" s="9" t="s">
        <v>9967</v>
      </c>
      <c r="G2250" s="9" t="s">
        <v>9968</v>
      </c>
      <c r="J2250" s="9" t="s">
        <v>9969</v>
      </c>
      <c r="O2250" s="10">
        <f>IFERROR(__xludf.DUMMYFUNCTION("VALUE(REGEXEXTRACT(A2250, ""\d+""))"),2619.0)</f>
        <v>2619</v>
      </c>
    </row>
    <row r="2251">
      <c r="A2251" s="9" t="s">
        <v>9970</v>
      </c>
      <c r="B2251" s="9" t="s">
        <v>9971</v>
      </c>
      <c r="D2251" s="9" t="s">
        <v>9972</v>
      </c>
      <c r="G2251" s="9" t="s">
        <v>9973</v>
      </c>
      <c r="J2251" s="9" t="s">
        <v>9974</v>
      </c>
      <c r="O2251" s="10">
        <f>IFERROR(__xludf.DUMMYFUNCTION("VALUE(REGEXEXTRACT(A2251, ""\d+""))"),2620.0)</f>
        <v>2620</v>
      </c>
    </row>
    <row r="2252">
      <c r="A2252" s="9" t="s">
        <v>9975</v>
      </c>
      <c r="B2252" s="9" t="s">
        <v>9976</v>
      </c>
      <c r="D2252" s="9" t="s">
        <v>9977</v>
      </c>
      <c r="G2252" s="9" t="s">
        <v>9978</v>
      </c>
      <c r="J2252" s="9" t="s">
        <v>9979</v>
      </c>
      <c r="O2252" s="10">
        <f>IFERROR(__xludf.DUMMYFUNCTION("VALUE(REGEXEXTRACT(A2252, ""\d+""))"),2621.0)</f>
        <v>2621</v>
      </c>
    </row>
    <row r="2253">
      <c r="A2253" s="9" t="s">
        <v>9980</v>
      </c>
      <c r="B2253" s="9" t="s">
        <v>9981</v>
      </c>
      <c r="D2253" s="9" t="s">
        <v>9982</v>
      </c>
      <c r="G2253" s="9" t="s">
        <v>9983</v>
      </c>
      <c r="J2253" s="9" t="s">
        <v>9984</v>
      </c>
      <c r="O2253" s="10">
        <f>IFERROR(__xludf.DUMMYFUNCTION("VALUE(REGEXEXTRACT(A2253, ""\d+""))"),2622.0)</f>
        <v>2622</v>
      </c>
    </row>
    <row r="2254">
      <c r="A2254" s="9" t="s">
        <v>9985</v>
      </c>
      <c r="B2254" s="9" t="s">
        <v>9986</v>
      </c>
      <c r="D2254" s="9" t="s">
        <v>9987</v>
      </c>
      <c r="G2254" s="9" t="s">
        <v>9988</v>
      </c>
      <c r="J2254" s="9" t="s">
        <v>9989</v>
      </c>
      <c r="O2254" s="10">
        <f>IFERROR(__xludf.DUMMYFUNCTION("VALUE(REGEXEXTRACT(A2254, ""\d+""))"),2623.0)</f>
        <v>2623</v>
      </c>
    </row>
    <row r="2255">
      <c r="A2255" s="9" t="s">
        <v>9990</v>
      </c>
      <c r="B2255" s="9" t="s">
        <v>9991</v>
      </c>
      <c r="D2255" s="9" t="s">
        <v>9992</v>
      </c>
      <c r="G2255" s="9" t="s">
        <v>9993</v>
      </c>
      <c r="J2255" s="9" t="s">
        <v>9994</v>
      </c>
      <c r="O2255" s="10">
        <f>IFERROR(__xludf.DUMMYFUNCTION("VALUE(REGEXEXTRACT(A2255, ""\d+""))"),2624.0)</f>
        <v>2624</v>
      </c>
    </row>
    <row r="2256">
      <c r="A2256" s="9" t="s">
        <v>9995</v>
      </c>
      <c r="B2256" s="9" t="s">
        <v>9996</v>
      </c>
      <c r="D2256" s="9" t="s">
        <v>9997</v>
      </c>
      <c r="G2256" s="9" t="s">
        <v>9998</v>
      </c>
      <c r="J2256" s="9" t="s">
        <v>9999</v>
      </c>
      <c r="O2256" s="10">
        <f>IFERROR(__xludf.DUMMYFUNCTION("VALUE(REGEXEXTRACT(A2256, ""\d+""))"),2625.0)</f>
        <v>2625</v>
      </c>
    </row>
    <row r="2257">
      <c r="A2257" s="9" t="s">
        <v>10000</v>
      </c>
      <c r="B2257" s="9" t="s">
        <v>10001</v>
      </c>
      <c r="D2257" s="9" t="s">
        <v>10002</v>
      </c>
      <c r="G2257" s="9" t="s">
        <v>10003</v>
      </c>
      <c r="J2257" s="9" t="s">
        <v>10004</v>
      </c>
      <c r="O2257" s="10">
        <f>IFERROR(__xludf.DUMMYFUNCTION("VALUE(REGEXEXTRACT(A2257, ""\d+""))"),2626.0)</f>
        <v>2626</v>
      </c>
    </row>
    <row r="2258">
      <c r="A2258" s="9" t="s">
        <v>10005</v>
      </c>
      <c r="B2258" s="9" t="s">
        <v>10006</v>
      </c>
      <c r="D2258" s="9" t="s">
        <v>10007</v>
      </c>
      <c r="G2258" s="9" t="s">
        <v>10008</v>
      </c>
      <c r="J2258" s="9" t="s">
        <v>10009</v>
      </c>
      <c r="O2258" s="10">
        <f>IFERROR(__xludf.DUMMYFUNCTION("VALUE(REGEXEXTRACT(A2258, ""\d+""))"),2627.0)</f>
        <v>2627</v>
      </c>
    </row>
    <row r="2259">
      <c r="A2259" s="9" t="s">
        <v>10010</v>
      </c>
      <c r="B2259" s="9" t="s">
        <v>10011</v>
      </c>
      <c r="D2259" s="9" t="s">
        <v>10012</v>
      </c>
      <c r="G2259" s="9" t="s">
        <v>10013</v>
      </c>
      <c r="J2259" s="9" t="s">
        <v>10014</v>
      </c>
      <c r="O2259" s="10">
        <f>IFERROR(__xludf.DUMMYFUNCTION("VALUE(REGEXEXTRACT(A2259, ""\d+""))"),2629.0)</f>
        <v>2629</v>
      </c>
    </row>
    <row r="2260">
      <c r="A2260" s="9" t="s">
        <v>10015</v>
      </c>
      <c r="B2260" s="9" t="s">
        <v>10016</v>
      </c>
      <c r="D2260" s="9" t="s">
        <v>10017</v>
      </c>
      <c r="G2260" s="9" t="s">
        <v>10018</v>
      </c>
      <c r="J2260" s="9" t="s">
        <v>10019</v>
      </c>
      <c r="O2260" s="10">
        <f>IFERROR(__xludf.DUMMYFUNCTION("VALUE(REGEXEXTRACT(A2260, ""\d+""))"),2631.0)</f>
        <v>2631</v>
      </c>
    </row>
    <row r="2261">
      <c r="A2261" s="9" t="s">
        <v>10020</v>
      </c>
      <c r="B2261" s="9" t="s">
        <v>10021</v>
      </c>
      <c r="G2261" s="9" t="s">
        <v>10022</v>
      </c>
      <c r="O2261" s="10">
        <f>IFERROR(__xludf.DUMMYFUNCTION("VALUE(REGEXEXTRACT(A2261, ""\d+""))"),2634.0)</f>
        <v>2634</v>
      </c>
    </row>
    <row r="2262">
      <c r="A2262" s="9" t="s">
        <v>10023</v>
      </c>
      <c r="B2262" s="9" t="s">
        <v>10024</v>
      </c>
      <c r="G2262" s="9" t="s">
        <v>10025</v>
      </c>
      <c r="O2262" s="10">
        <f>IFERROR(__xludf.DUMMYFUNCTION("VALUE(REGEXEXTRACT(A2262, ""\d+""))"),2635.0)</f>
        <v>2635</v>
      </c>
    </row>
    <row r="2263">
      <c r="A2263" s="9" t="s">
        <v>10026</v>
      </c>
      <c r="B2263" s="9" t="s">
        <v>10027</v>
      </c>
      <c r="D2263" s="9" t="s">
        <v>10028</v>
      </c>
      <c r="G2263" s="9" t="s">
        <v>10029</v>
      </c>
      <c r="J2263" s="9" t="s">
        <v>10030</v>
      </c>
      <c r="O2263" s="10">
        <f>IFERROR(__xludf.DUMMYFUNCTION("VALUE(REGEXEXTRACT(A2263, ""\d+""))"),2636.0)</f>
        <v>2636</v>
      </c>
    </row>
    <row r="2264">
      <c r="A2264" s="9" t="s">
        <v>10031</v>
      </c>
      <c r="B2264" s="9" t="s">
        <v>10032</v>
      </c>
      <c r="D2264" s="9" t="s">
        <v>10033</v>
      </c>
      <c r="G2264" s="9" t="s">
        <v>10034</v>
      </c>
      <c r="J2264" s="9" t="s">
        <v>10035</v>
      </c>
      <c r="O2264" s="10">
        <f>IFERROR(__xludf.DUMMYFUNCTION("VALUE(REGEXEXTRACT(A2264, ""\d+""))"),2638.0)</f>
        <v>2638</v>
      </c>
    </row>
    <row r="2265">
      <c r="A2265" s="9" t="s">
        <v>10036</v>
      </c>
      <c r="B2265" s="9" t="s">
        <v>10037</v>
      </c>
      <c r="D2265" s="9" t="s">
        <v>10038</v>
      </c>
      <c r="G2265" s="9" t="s">
        <v>10039</v>
      </c>
      <c r="J2265" s="9" t="s">
        <v>10040</v>
      </c>
      <c r="O2265" s="10">
        <f>IFERROR(__xludf.DUMMYFUNCTION("VALUE(REGEXEXTRACT(A2265, ""\d+""))"),2639.0)</f>
        <v>2639</v>
      </c>
    </row>
    <row r="2266">
      <c r="A2266" s="9" t="s">
        <v>10041</v>
      </c>
      <c r="B2266" s="9" t="s">
        <v>10042</v>
      </c>
      <c r="D2266" s="9" t="s">
        <v>10043</v>
      </c>
      <c r="G2266" s="9" t="s">
        <v>10044</v>
      </c>
      <c r="J2266" s="9" t="s">
        <v>10045</v>
      </c>
      <c r="O2266" s="10">
        <f>IFERROR(__xludf.DUMMYFUNCTION("VALUE(REGEXEXTRACT(A2266, ""\d+""))"),2640.0)</f>
        <v>2640</v>
      </c>
    </row>
    <row r="2267">
      <c r="A2267" s="9" t="s">
        <v>10046</v>
      </c>
      <c r="B2267" s="9" t="s">
        <v>10047</v>
      </c>
      <c r="D2267" s="9" t="s">
        <v>10048</v>
      </c>
      <c r="G2267" s="9" t="s">
        <v>10049</v>
      </c>
      <c r="J2267" s="9" t="s">
        <v>10050</v>
      </c>
      <c r="O2267" s="10">
        <f>IFERROR(__xludf.DUMMYFUNCTION("VALUE(REGEXEXTRACT(A2267, ""\d+""))"),2641.0)</f>
        <v>2641</v>
      </c>
    </row>
    <row r="2268">
      <c r="A2268" s="9" t="s">
        <v>10051</v>
      </c>
      <c r="B2268" s="9" t="s">
        <v>10052</v>
      </c>
      <c r="D2268" s="9" t="s">
        <v>10053</v>
      </c>
      <c r="G2268" s="9" t="s">
        <v>10054</v>
      </c>
      <c r="J2268" s="9" t="s">
        <v>10055</v>
      </c>
      <c r="O2268" s="10">
        <f>IFERROR(__xludf.DUMMYFUNCTION("VALUE(REGEXEXTRACT(A2268, ""\d+""))"),2642.0)</f>
        <v>2642</v>
      </c>
    </row>
    <row r="2269">
      <c r="A2269" s="9" t="s">
        <v>10056</v>
      </c>
      <c r="B2269" s="9" t="s">
        <v>10057</v>
      </c>
      <c r="D2269" s="9" t="s">
        <v>10058</v>
      </c>
      <c r="G2269" s="9" t="s">
        <v>10059</v>
      </c>
      <c r="J2269" s="9" t="s">
        <v>10060</v>
      </c>
      <c r="O2269" s="10">
        <f>IFERROR(__xludf.DUMMYFUNCTION("VALUE(REGEXEXTRACT(A2269, ""\d+""))"),2643.0)</f>
        <v>2643</v>
      </c>
    </row>
    <row r="2270">
      <c r="A2270" s="9" t="s">
        <v>10061</v>
      </c>
      <c r="B2270" s="9" t="s">
        <v>10062</v>
      </c>
      <c r="D2270" s="9" t="s">
        <v>10063</v>
      </c>
      <c r="G2270" s="9" t="s">
        <v>10064</v>
      </c>
      <c r="J2270" s="9" t="s">
        <v>10065</v>
      </c>
      <c r="O2270" s="10">
        <f>IFERROR(__xludf.DUMMYFUNCTION("VALUE(REGEXEXTRACT(A2270, ""\d+""))"),2644.0)</f>
        <v>2644</v>
      </c>
    </row>
    <row r="2271">
      <c r="A2271" s="9" t="s">
        <v>10066</v>
      </c>
      <c r="B2271" s="9" t="s">
        <v>10067</v>
      </c>
      <c r="D2271" s="9" t="s">
        <v>10068</v>
      </c>
      <c r="G2271" s="9" t="s">
        <v>10069</v>
      </c>
      <c r="J2271" s="9" t="s">
        <v>10070</v>
      </c>
      <c r="O2271" s="10">
        <f>IFERROR(__xludf.DUMMYFUNCTION("VALUE(REGEXEXTRACT(A2271, ""\d+""))"),2645.0)</f>
        <v>2645</v>
      </c>
    </row>
    <row r="2272">
      <c r="A2272" s="9" t="s">
        <v>10071</v>
      </c>
      <c r="B2272" s="9" t="s">
        <v>10072</v>
      </c>
      <c r="D2272" s="9" t="s">
        <v>10073</v>
      </c>
      <c r="G2272" s="9" t="s">
        <v>10074</v>
      </c>
      <c r="J2272" s="9" t="s">
        <v>10075</v>
      </c>
      <c r="O2272" s="10">
        <f>IFERROR(__xludf.DUMMYFUNCTION("VALUE(REGEXEXTRACT(A2272, ""\d+""))"),2646.0)</f>
        <v>2646</v>
      </c>
    </row>
    <row r="2273">
      <c r="A2273" s="9" t="s">
        <v>10076</v>
      </c>
      <c r="B2273" s="9" t="s">
        <v>10077</v>
      </c>
      <c r="D2273" s="9" t="s">
        <v>10078</v>
      </c>
      <c r="G2273" s="9" t="s">
        <v>10079</v>
      </c>
      <c r="J2273" s="9" t="s">
        <v>10080</v>
      </c>
      <c r="O2273" s="10">
        <f>IFERROR(__xludf.DUMMYFUNCTION("VALUE(REGEXEXTRACT(A2273, ""\d+""))"),2647.0)</f>
        <v>2647</v>
      </c>
    </row>
    <row r="2274">
      <c r="A2274" s="9" t="s">
        <v>10081</v>
      </c>
      <c r="B2274" s="9" t="s">
        <v>10082</v>
      </c>
      <c r="D2274" s="9" t="s">
        <v>10083</v>
      </c>
      <c r="G2274" s="9" t="s">
        <v>10084</v>
      </c>
      <c r="J2274" s="9" t="s">
        <v>10085</v>
      </c>
      <c r="O2274" s="10">
        <f>IFERROR(__xludf.DUMMYFUNCTION("VALUE(REGEXEXTRACT(A2274, ""\d+""))"),2648.0)</f>
        <v>2648</v>
      </c>
    </row>
    <row r="2275">
      <c r="A2275" s="9" t="s">
        <v>10086</v>
      </c>
      <c r="B2275" s="9" t="s">
        <v>10087</v>
      </c>
      <c r="D2275" s="9" t="s">
        <v>10088</v>
      </c>
      <c r="G2275" s="9" t="s">
        <v>10089</v>
      </c>
      <c r="J2275" s="9" t="s">
        <v>10090</v>
      </c>
      <c r="O2275" s="10">
        <f>IFERROR(__xludf.DUMMYFUNCTION("VALUE(REGEXEXTRACT(A2275, ""\d+""))"),2650.0)</f>
        <v>2650</v>
      </c>
    </row>
    <row r="2276">
      <c r="A2276" s="9" t="s">
        <v>10091</v>
      </c>
      <c r="B2276" s="9" t="s">
        <v>10092</v>
      </c>
      <c r="D2276" s="9" t="s">
        <v>10093</v>
      </c>
      <c r="G2276" s="9" t="s">
        <v>10094</v>
      </c>
      <c r="J2276" s="9" t="s">
        <v>10095</v>
      </c>
      <c r="O2276" s="10">
        <f>IFERROR(__xludf.DUMMYFUNCTION("VALUE(REGEXEXTRACT(A2276, ""\d+""))"),2651.0)</f>
        <v>2651</v>
      </c>
    </row>
    <row r="2277">
      <c r="A2277" s="9" t="s">
        <v>10096</v>
      </c>
      <c r="B2277" s="9" t="s">
        <v>10097</v>
      </c>
      <c r="D2277" s="9" t="s">
        <v>10098</v>
      </c>
      <c r="G2277" s="9" t="s">
        <v>10099</v>
      </c>
      <c r="J2277" s="9" t="s">
        <v>10100</v>
      </c>
      <c r="O2277" s="10">
        <f>IFERROR(__xludf.DUMMYFUNCTION("VALUE(REGEXEXTRACT(A2277, ""\d+""))"),2652.0)</f>
        <v>2652</v>
      </c>
    </row>
    <row r="2278">
      <c r="A2278" s="9" t="s">
        <v>10101</v>
      </c>
      <c r="B2278" s="9" t="s">
        <v>10102</v>
      </c>
      <c r="D2278" s="9" t="s">
        <v>10103</v>
      </c>
      <c r="G2278" s="9" t="s">
        <v>10104</v>
      </c>
      <c r="J2278" s="9" t="s">
        <v>10105</v>
      </c>
      <c r="O2278" s="10">
        <f>IFERROR(__xludf.DUMMYFUNCTION("VALUE(REGEXEXTRACT(A2278, ""\d+""))"),2653.0)</f>
        <v>2653</v>
      </c>
    </row>
    <row r="2279">
      <c r="A2279" s="9" t="s">
        <v>10106</v>
      </c>
      <c r="B2279" s="9" t="s">
        <v>10107</v>
      </c>
      <c r="D2279" s="9" t="s">
        <v>10108</v>
      </c>
      <c r="G2279" s="9" t="s">
        <v>10109</v>
      </c>
      <c r="J2279" s="9" t="s">
        <v>10110</v>
      </c>
      <c r="O2279" s="10">
        <f>IFERROR(__xludf.DUMMYFUNCTION("VALUE(REGEXEXTRACT(A2279, ""\d+""))"),2654.0)</f>
        <v>2654</v>
      </c>
    </row>
    <row r="2280">
      <c r="A2280" s="9" t="s">
        <v>10111</v>
      </c>
      <c r="B2280" s="9" t="s">
        <v>10112</v>
      </c>
      <c r="D2280" s="9" t="s">
        <v>10113</v>
      </c>
      <c r="G2280" s="9" t="s">
        <v>10114</v>
      </c>
      <c r="J2280" s="9" t="s">
        <v>10115</v>
      </c>
      <c r="O2280" s="10">
        <f>IFERROR(__xludf.DUMMYFUNCTION("VALUE(REGEXEXTRACT(A2280, ""\d+""))"),2655.0)</f>
        <v>2655</v>
      </c>
    </row>
    <row r="2281">
      <c r="A2281" s="9" t="s">
        <v>10116</v>
      </c>
      <c r="B2281" s="9" t="s">
        <v>10117</v>
      </c>
      <c r="D2281" s="9" t="s">
        <v>10118</v>
      </c>
      <c r="G2281" s="9" t="s">
        <v>10119</v>
      </c>
      <c r="J2281" s="9" t="s">
        <v>10120</v>
      </c>
      <c r="O2281" s="10">
        <f>IFERROR(__xludf.DUMMYFUNCTION("VALUE(REGEXEXTRACT(A2281, ""\d+""))"),2656.0)</f>
        <v>2656</v>
      </c>
    </row>
    <row r="2282">
      <c r="A2282" s="9" t="s">
        <v>10121</v>
      </c>
      <c r="B2282" s="9" t="s">
        <v>10122</v>
      </c>
      <c r="D2282" s="9" t="s">
        <v>10123</v>
      </c>
      <c r="G2282" s="9" t="s">
        <v>10124</v>
      </c>
      <c r="J2282" s="9" t="s">
        <v>10125</v>
      </c>
      <c r="O2282" s="10">
        <f>IFERROR(__xludf.DUMMYFUNCTION("VALUE(REGEXEXTRACT(A2282, ""\d+""))"),2659.0)</f>
        <v>2659</v>
      </c>
    </row>
    <row r="2283">
      <c r="A2283" s="9" t="s">
        <v>10126</v>
      </c>
      <c r="B2283" s="9" t="s">
        <v>10127</v>
      </c>
      <c r="D2283" s="9" t="s">
        <v>10128</v>
      </c>
      <c r="G2283" s="9" t="s">
        <v>10129</v>
      </c>
      <c r="J2283" s="9" t="s">
        <v>10130</v>
      </c>
      <c r="O2283" s="10">
        <f>IFERROR(__xludf.DUMMYFUNCTION("VALUE(REGEXEXTRACT(A2283, ""\d+""))"),2660.0)</f>
        <v>2660</v>
      </c>
    </row>
    <row r="2284">
      <c r="A2284" s="9" t="s">
        <v>10131</v>
      </c>
      <c r="B2284" s="9" t="s">
        <v>10132</v>
      </c>
      <c r="D2284" s="9" t="s">
        <v>10133</v>
      </c>
      <c r="G2284" s="9" t="s">
        <v>10134</v>
      </c>
      <c r="J2284" s="9" t="s">
        <v>10135</v>
      </c>
      <c r="O2284" s="10">
        <f>IFERROR(__xludf.DUMMYFUNCTION("VALUE(REGEXEXTRACT(A2284, ""\d+""))"),2661.0)</f>
        <v>2661</v>
      </c>
    </row>
    <row r="2285">
      <c r="A2285" s="9" t="s">
        <v>10136</v>
      </c>
      <c r="B2285" s="9" t="s">
        <v>10137</v>
      </c>
      <c r="D2285" s="9" t="s">
        <v>10138</v>
      </c>
      <c r="G2285" s="9" t="s">
        <v>10139</v>
      </c>
      <c r="J2285" s="9" t="s">
        <v>10140</v>
      </c>
      <c r="O2285" s="10">
        <f>IFERROR(__xludf.DUMMYFUNCTION("VALUE(REGEXEXTRACT(A2285, ""\d+""))"),2662.0)</f>
        <v>2662</v>
      </c>
    </row>
    <row r="2286">
      <c r="A2286" s="9" t="s">
        <v>10141</v>
      </c>
      <c r="B2286" s="9" t="s">
        <v>10142</v>
      </c>
      <c r="D2286" s="9" t="s">
        <v>10143</v>
      </c>
      <c r="G2286" s="9" t="s">
        <v>10144</v>
      </c>
      <c r="J2286" s="9" t="s">
        <v>10145</v>
      </c>
      <c r="O2286" s="10">
        <f>IFERROR(__xludf.DUMMYFUNCTION("VALUE(REGEXEXTRACT(A2286, ""\d+""))"),2663.0)</f>
        <v>2663</v>
      </c>
    </row>
    <row r="2287">
      <c r="A2287" s="9" t="s">
        <v>10146</v>
      </c>
      <c r="B2287" s="9" t="s">
        <v>10147</v>
      </c>
      <c r="D2287" s="9" t="s">
        <v>10148</v>
      </c>
      <c r="G2287" s="9" t="s">
        <v>10149</v>
      </c>
      <c r="J2287" s="9" t="s">
        <v>10150</v>
      </c>
      <c r="O2287" s="10">
        <f>IFERROR(__xludf.DUMMYFUNCTION("VALUE(REGEXEXTRACT(A2287, ""\d+""))"),2664.0)</f>
        <v>2664</v>
      </c>
    </row>
    <row r="2288">
      <c r="A2288" s="9" t="s">
        <v>10151</v>
      </c>
      <c r="B2288" s="9" t="s">
        <v>10152</v>
      </c>
      <c r="D2288" s="9" t="s">
        <v>10153</v>
      </c>
      <c r="G2288" s="9" t="s">
        <v>10154</v>
      </c>
      <c r="J2288" s="9" t="s">
        <v>10155</v>
      </c>
      <c r="O2288" s="10">
        <f>IFERROR(__xludf.DUMMYFUNCTION("VALUE(REGEXEXTRACT(A2288, ""\d+""))"),2665.0)</f>
        <v>2665</v>
      </c>
    </row>
    <row r="2289">
      <c r="A2289" s="9" t="s">
        <v>10156</v>
      </c>
      <c r="B2289" s="9" t="s">
        <v>10157</v>
      </c>
      <c r="D2289" s="9" t="s">
        <v>10158</v>
      </c>
      <c r="G2289" s="9" t="s">
        <v>10159</v>
      </c>
      <c r="J2289" s="9" t="s">
        <v>10160</v>
      </c>
      <c r="O2289" s="10">
        <f>IFERROR(__xludf.DUMMYFUNCTION("VALUE(REGEXEXTRACT(A2289, ""\d+""))"),2669.0)</f>
        <v>2669</v>
      </c>
    </row>
    <row r="2290">
      <c r="A2290" s="9" t="s">
        <v>10161</v>
      </c>
      <c r="B2290" s="9" t="s">
        <v>10162</v>
      </c>
      <c r="D2290" s="9" t="s">
        <v>10163</v>
      </c>
      <c r="G2290" s="9" t="s">
        <v>10164</v>
      </c>
      <c r="J2290" s="9" t="s">
        <v>10165</v>
      </c>
      <c r="O2290" s="10">
        <f>IFERROR(__xludf.DUMMYFUNCTION("VALUE(REGEXEXTRACT(A2290, ""\d+""))"),2670.0)</f>
        <v>2670</v>
      </c>
    </row>
    <row r="2291">
      <c r="A2291" s="9" t="s">
        <v>10166</v>
      </c>
      <c r="B2291" s="9" t="s">
        <v>10167</v>
      </c>
      <c r="D2291" s="9" t="s">
        <v>10168</v>
      </c>
      <c r="G2291" s="9" t="s">
        <v>10169</v>
      </c>
      <c r="J2291" s="9" t="s">
        <v>10170</v>
      </c>
      <c r="O2291" s="10">
        <f>IFERROR(__xludf.DUMMYFUNCTION("VALUE(REGEXEXTRACT(A2291, ""\d+""))"),2671.0)</f>
        <v>2671</v>
      </c>
    </row>
    <row r="2292">
      <c r="A2292" s="9" t="s">
        <v>10171</v>
      </c>
      <c r="B2292" s="9" t="s">
        <v>10172</v>
      </c>
      <c r="D2292" s="9" t="s">
        <v>10173</v>
      </c>
      <c r="G2292" s="9" t="s">
        <v>10173</v>
      </c>
      <c r="J2292" s="9" t="s">
        <v>10174</v>
      </c>
      <c r="O2292" s="10">
        <f>IFERROR(__xludf.DUMMYFUNCTION("VALUE(REGEXEXTRACT(A2292, ""\d+""))"),2672.0)</f>
        <v>2672</v>
      </c>
    </row>
    <row r="2293">
      <c r="A2293" s="9" t="s">
        <v>10175</v>
      </c>
      <c r="B2293" s="9" t="s">
        <v>10176</v>
      </c>
      <c r="D2293" s="9" t="s">
        <v>10177</v>
      </c>
      <c r="G2293" s="9" t="s">
        <v>10177</v>
      </c>
      <c r="J2293" s="9" t="s">
        <v>10178</v>
      </c>
      <c r="O2293" s="10">
        <f>IFERROR(__xludf.DUMMYFUNCTION("VALUE(REGEXEXTRACT(A2293, ""\d+""))"),2673.0)</f>
        <v>2673</v>
      </c>
    </row>
    <row r="2294">
      <c r="A2294" s="9" t="s">
        <v>10179</v>
      </c>
      <c r="B2294" s="9" t="s">
        <v>10180</v>
      </c>
      <c r="D2294" s="9" t="s">
        <v>10181</v>
      </c>
      <c r="G2294" s="9" t="s">
        <v>10181</v>
      </c>
      <c r="J2294" s="9" t="s">
        <v>10182</v>
      </c>
      <c r="O2294" s="10">
        <f>IFERROR(__xludf.DUMMYFUNCTION("VALUE(REGEXEXTRACT(A2294, ""\d+""))"),2674.0)</f>
        <v>2674</v>
      </c>
    </row>
    <row r="2295">
      <c r="A2295" s="9" t="s">
        <v>10183</v>
      </c>
      <c r="B2295" s="9" t="s">
        <v>10184</v>
      </c>
      <c r="D2295" s="9" t="s">
        <v>10185</v>
      </c>
      <c r="G2295" s="9" t="s">
        <v>10185</v>
      </c>
      <c r="J2295" s="9" t="s">
        <v>10186</v>
      </c>
      <c r="O2295" s="10">
        <f>IFERROR(__xludf.DUMMYFUNCTION("VALUE(REGEXEXTRACT(A2295, ""\d+""))"),2675.0)</f>
        <v>2675</v>
      </c>
    </row>
    <row r="2296">
      <c r="A2296" s="9" t="s">
        <v>10187</v>
      </c>
      <c r="B2296" s="9" t="s">
        <v>10188</v>
      </c>
      <c r="D2296" s="9" t="s">
        <v>10189</v>
      </c>
      <c r="G2296" s="9" t="s">
        <v>10189</v>
      </c>
      <c r="J2296" s="9" t="s">
        <v>10190</v>
      </c>
      <c r="O2296" s="10">
        <f>IFERROR(__xludf.DUMMYFUNCTION("VALUE(REGEXEXTRACT(A2296, ""\d+""))"),2676.0)</f>
        <v>2676</v>
      </c>
    </row>
    <row r="2297">
      <c r="A2297" s="9" t="s">
        <v>10191</v>
      </c>
      <c r="B2297" s="9" t="s">
        <v>10192</v>
      </c>
      <c r="D2297" s="9" t="s">
        <v>10193</v>
      </c>
      <c r="G2297" s="9" t="s">
        <v>10193</v>
      </c>
      <c r="J2297" s="9" t="s">
        <v>10194</v>
      </c>
      <c r="O2297" s="10">
        <f>IFERROR(__xludf.DUMMYFUNCTION("VALUE(REGEXEXTRACT(A2297, ""\d+""))"),2677.0)</f>
        <v>2677</v>
      </c>
    </row>
    <row r="2298">
      <c r="A2298" s="9" t="s">
        <v>10195</v>
      </c>
      <c r="B2298" s="9" t="s">
        <v>10196</v>
      </c>
      <c r="G2298" s="9" t="s">
        <v>10197</v>
      </c>
      <c r="O2298" s="10">
        <f>IFERROR(__xludf.DUMMYFUNCTION("VALUE(REGEXEXTRACT(A2298, ""\d+""))"),2680.0)</f>
        <v>2680</v>
      </c>
    </row>
    <row r="2299">
      <c r="A2299" s="9" t="s">
        <v>10198</v>
      </c>
      <c r="B2299" s="9" t="s">
        <v>10199</v>
      </c>
      <c r="G2299" s="9" t="s">
        <v>10200</v>
      </c>
      <c r="O2299" s="10">
        <f>IFERROR(__xludf.DUMMYFUNCTION("VALUE(REGEXEXTRACT(A2299, ""\d+""))"),2681.0)</f>
        <v>2681</v>
      </c>
    </row>
    <row r="2300">
      <c r="A2300" s="9" t="s">
        <v>10201</v>
      </c>
      <c r="B2300" s="9" t="s">
        <v>10202</v>
      </c>
      <c r="D2300" s="9" t="s">
        <v>10203</v>
      </c>
      <c r="G2300" s="9" t="s">
        <v>10204</v>
      </c>
      <c r="J2300" s="9" t="s">
        <v>10205</v>
      </c>
      <c r="O2300" s="10">
        <f>IFERROR(__xludf.DUMMYFUNCTION("VALUE(REGEXEXTRACT(A2300, ""\d+""))"),2682.0)</f>
        <v>2682</v>
      </c>
    </row>
    <row r="2301">
      <c r="A2301" s="9" t="s">
        <v>10206</v>
      </c>
      <c r="B2301" s="9" t="s">
        <v>10207</v>
      </c>
      <c r="D2301" s="9" t="s">
        <v>10208</v>
      </c>
      <c r="G2301" s="9" t="s">
        <v>10209</v>
      </c>
      <c r="J2301" s="9" t="s">
        <v>10210</v>
      </c>
      <c r="O2301" s="10">
        <f>IFERROR(__xludf.DUMMYFUNCTION("VALUE(REGEXEXTRACT(A2301, ""\d+""))"),2684.0)</f>
        <v>2684</v>
      </c>
    </row>
    <row r="2302">
      <c r="A2302" s="9" t="s">
        <v>10211</v>
      </c>
      <c r="B2302" s="9" t="s">
        <v>10212</v>
      </c>
      <c r="D2302" s="9" t="s">
        <v>10213</v>
      </c>
      <c r="G2302" s="9" t="s">
        <v>10214</v>
      </c>
      <c r="J2302" s="9" t="s">
        <v>10215</v>
      </c>
      <c r="O2302" s="10">
        <f>IFERROR(__xludf.DUMMYFUNCTION("VALUE(REGEXEXTRACT(A2302, ""\d+""))"),2685.0)</f>
        <v>2685</v>
      </c>
    </row>
    <row r="2303">
      <c r="A2303" s="9" t="s">
        <v>10216</v>
      </c>
      <c r="B2303" s="9" t="s">
        <v>10217</v>
      </c>
      <c r="G2303" s="9" t="s">
        <v>10218</v>
      </c>
      <c r="O2303" s="10">
        <f>IFERROR(__xludf.DUMMYFUNCTION("VALUE(REGEXEXTRACT(A2303, ""\d+""))"),2686.0)</f>
        <v>2686</v>
      </c>
    </row>
    <row r="2304">
      <c r="A2304" s="9" t="s">
        <v>10219</v>
      </c>
      <c r="B2304" s="9" t="s">
        <v>10220</v>
      </c>
      <c r="D2304" s="9" t="s">
        <v>10221</v>
      </c>
      <c r="G2304" s="9" t="s">
        <v>10222</v>
      </c>
      <c r="J2304" s="9" t="s">
        <v>10223</v>
      </c>
      <c r="O2304" s="10">
        <f>IFERROR(__xludf.DUMMYFUNCTION("VALUE(REGEXEXTRACT(A2304, ""\d+""))"),2687.0)</f>
        <v>2687</v>
      </c>
    </row>
    <row r="2305">
      <c r="A2305" s="9" t="s">
        <v>10224</v>
      </c>
      <c r="B2305" s="9" t="s">
        <v>10225</v>
      </c>
      <c r="D2305" s="9" t="s">
        <v>10226</v>
      </c>
      <c r="G2305" s="9" t="s">
        <v>10227</v>
      </c>
      <c r="J2305" s="9" t="s">
        <v>10228</v>
      </c>
      <c r="O2305" s="10">
        <f>IFERROR(__xludf.DUMMYFUNCTION("VALUE(REGEXEXTRACT(A2305, ""\d+""))"),2688.0)</f>
        <v>2688</v>
      </c>
    </row>
    <row r="2306">
      <c r="A2306" s="9" t="s">
        <v>10229</v>
      </c>
      <c r="B2306" s="9" t="s">
        <v>10230</v>
      </c>
      <c r="D2306" s="9" t="s">
        <v>10231</v>
      </c>
      <c r="G2306" s="9" t="s">
        <v>10232</v>
      </c>
      <c r="J2306" s="9" t="s">
        <v>10233</v>
      </c>
      <c r="O2306" s="10">
        <f>IFERROR(__xludf.DUMMYFUNCTION("VALUE(REGEXEXTRACT(A2306, ""\d+""))"),2689.0)</f>
        <v>2689</v>
      </c>
    </row>
    <row r="2307">
      <c r="A2307" s="9" t="s">
        <v>10234</v>
      </c>
      <c r="B2307" s="9" t="s">
        <v>10235</v>
      </c>
      <c r="D2307" s="9" t="s">
        <v>10236</v>
      </c>
      <c r="G2307" s="9" t="s">
        <v>10237</v>
      </c>
      <c r="J2307" s="9" t="s">
        <v>10235</v>
      </c>
      <c r="O2307" s="10">
        <f>IFERROR(__xludf.DUMMYFUNCTION("VALUE(REGEXEXTRACT(A2307, ""\d+""))"),2690.0)</f>
        <v>2690</v>
      </c>
    </row>
    <row r="2308">
      <c r="A2308" s="9" t="s">
        <v>10238</v>
      </c>
      <c r="B2308" s="9" t="s">
        <v>10239</v>
      </c>
      <c r="D2308" s="9" t="s">
        <v>10240</v>
      </c>
      <c r="G2308" s="9" t="s">
        <v>10241</v>
      </c>
      <c r="J2308" s="9" t="s">
        <v>10242</v>
      </c>
      <c r="O2308" s="10">
        <f>IFERROR(__xludf.DUMMYFUNCTION("VALUE(REGEXEXTRACT(A2308, ""\d+""))"),2691.0)</f>
        <v>2691</v>
      </c>
    </row>
    <row r="2309">
      <c r="A2309" s="9" t="s">
        <v>10243</v>
      </c>
      <c r="B2309" s="9" t="s">
        <v>10244</v>
      </c>
      <c r="D2309" s="9" t="s">
        <v>10245</v>
      </c>
      <c r="G2309" s="9" t="s">
        <v>10246</v>
      </c>
      <c r="J2309" s="9" t="s">
        <v>10247</v>
      </c>
      <c r="O2309" s="10">
        <f>IFERROR(__xludf.DUMMYFUNCTION("VALUE(REGEXEXTRACT(A2309, ""\d+""))"),2692.0)</f>
        <v>2692</v>
      </c>
    </row>
    <row r="2310">
      <c r="A2310" s="9" t="s">
        <v>10248</v>
      </c>
      <c r="B2310" s="9" t="s">
        <v>10249</v>
      </c>
      <c r="D2310" s="9" t="s">
        <v>10250</v>
      </c>
      <c r="G2310" s="9" t="s">
        <v>10251</v>
      </c>
      <c r="J2310" s="9" t="s">
        <v>10252</v>
      </c>
      <c r="O2310" s="10">
        <f>IFERROR(__xludf.DUMMYFUNCTION("VALUE(REGEXEXTRACT(A2310, ""\d+""))"),2693.0)</f>
        <v>2693</v>
      </c>
    </row>
    <row r="2311">
      <c r="A2311" s="9" t="s">
        <v>10253</v>
      </c>
      <c r="B2311" s="9" t="s">
        <v>10254</v>
      </c>
      <c r="D2311" s="9" t="s">
        <v>10255</v>
      </c>
      <c r="G2311" s="9" t="s">
        <v>10255</v>
      </c>
      <c r="J2311" s="9" t="s">
        <v>10256</v>
      </c>
      <c r="O2311" s="10">
        <f>IFERROR(__xludf.DUMMYFUNCTION("VALUE(REGEXEXTRACT(A2311, ""\d+""))"),2694.0)</f>
        <v>2694</v>
      </c>
    </row>
    <row r="2312">
      <c r="A2312" s="9" t="s">
        <v>10257</v>
      </c>
      <c r="B2312" s="9" t="s">
        <v>10258</v>
      </c>
      <c r="D2312" s="9" t="s">
        <v>10259</v>
      </c>
      <c r="G2312" s="9" t="s">
        <v>10260</v>
      </c>
      <c r="J2312" s="9" t="s">
        <v>10261</v>
      </c>
      <c r="O2312" s="10">
        <f>IFERROR(__xludf.DUMMYFUNCTION("VALUE(REGEXEXTRACT(A2312, ""\d+""))"),2695.0)</f>
        <v>2695</v>
      </c>
    </row>
    <row r="2313">
      <c r="A2313" s="9" t="s">
        <v>10262</v>
      </c>
      <c r="B2313" s="9" t="s">
        <v>10263</v>
      </c>
      <c r="D2313" s="9" t="s">
        <v>10264</v>
      </c>
      <c r="G2313" s="9" t="s">
        <v>10265</v>
      </c>
      <c r="J2313" s="9" t="s">
        <v>10266</v>
      </c>
      <c r="O2313" s="10">
        <f>IFERROR(__xludf.DUMMYFUNCTION("VALUE(REGEXEXTRACT(A2313, ""\d+""))"),2696.0)</f>
        <v>2696</v>
      </c>
    </row>
    <row r="2314">
      <c r="A2314" s="9" t="s">
        <v>10267</v>
      </c>
      <c r="B2314" s="9" t="s">
        <v>10268</v>
      </c>
      <c r="D2314" s="9" t="s">
        <v>10269</v>
      </c>
      <c r="G2314" s="9" t="s">
        <v>10270</v>
      </c>
      <c r="J2314" s="9" t="s">
        <v>10271</v>
      </c>
      <c r="O2314" s="10">
        <f>IFERROR(__xludf.DUMMYFUNCTION("VALUE(REGEXEXTRACT(A2314, ""\d+""))"),2697.0)</f>
        <v>2697</v>
      </c>
    </row>
    <row r="2315">
      <c r="A2315" s="9" t="s">
        <v>10272</v>
      </c>
      <c r="B2315" s="9" t="s">
        <v>10273</v>
      </c>
      <c r="D2315" s="9" t="s">
        <v>10274</v>
      </c>
      <c r="G2315" s="9" t="s">
        <v>10275</v>
      </c>
      <c r="J2315" s="9" t="s">
        <v>10273</v>
      </c>
      <c r="O2315" s="10">
        <f>IFERROR(__xludf.DUMMYFUNCTION("VALUE(REGEXEXTRACT(A2315, ""\d+""))"),2698.0)</f>
        <v>2698</v>
      </c>
    </row>
    <row r="2316">
      <c r="A2316" s="9" t="s">
        <v>10276</v>
      </c>
      <c r="B2316" s="9" t="s">
        <v>10277</v>
      </c>
      <c r="D2316" s="9" t="s">
        <v>10278</v>
      </c>
      <c r="G2316" s="9" t="s">
        <v>10279</v>
      </c>
      <c r="J2316" s="9" t="s">
        <v>10280</v>
      </c>
      <c r="O2316" s="10">
        <f>IFERROR(__xludf.DUMMYFUNCTION("VALUE(REGEXEXTRACT(A2316, ""\d+""))"),2699.0)</f>
        <v>2699</v>
      </c>
    </row>
    <row r="2317">
      <c r="A2317" s="9" t="s">
        <v>10281</v>
      </c>
      <c r="B2317" s="9" t="s">
        <v>10282</v>
      </c>
      <c r="G2317" s="9" t="s">
        <v>10283</v>
      </c>
      <c r="O2317" s="10">
        <f>IFERROR(__xludf.DUMMYFUNCTION("VALUE(REGEXEXTRACT(A2317, ""\d+""))"),2700.0)</f>
        <v>2700</v>
      </c>
    </row>
    <row r="2318">
      <c r="A2318" s="9" t="s">
        <v>10284</v>
      </c>
      <c r="B2318" s="9" t="s">
        <v>10285</v>
      </c>
      <c r="D2318" s="9" t="s">
        <v>10286</v>
      </c>
      <c r="G2318" s="9" t="s">
        <v>10287</v>
      </c>
      <c r="J2318" s="9" t="s">
        <v>10288</v>
      </c>
      <c r="O2318" s="10">
        <f>IFERROR(__xludf.DUMMYFUNCTION("VALUE(REGEXEXTRACT(A2318, ""\d+""))"),2701.0)</f>
        <v>2701</v>
      </c>
    </row>
    <row r="2319">
      <c r="A2319" s="9" t="s">
        <v>10289</v>
      </c>
      <c r="B2319" s="9" t="s">
        <v>10290</v>
      </c>
      <c r="D2319" s="9" t="s">
        <v>10291</v>
      </c>
      <c r="G2319" s="9" t="s">
        <v>10292</v>
      </c>
      <c r="J2319" s="9" t="s">
        <v>10293</v>
      </c>
      <c r="O2319" s="10">
        <f>IFERROR(__xludf.DUMMYFUNCTION("VALUE(REGEXEXTRACT(A2319, ""\d+""))"),2703.0)</f>
        <v>2703</v>
      </c>
    </row>
    <row r="2320">
      <c r="A2320" s="9" t="s">
        <v>10294</v>
      </c>
      <c r="B2320" s="9" t="s">
        <v>10295</v>
      </c>
      <c r="G2320" s="9" t="s">
        <v>10296</v>
      </c>
      <c r="O2320" s="10">
        <f>IFERROR(__xludf.DUMMYFUNCTION("VALUE(REGEXEXTRACT(A2320, ""\d+""))"),2704.0)</f>
        <v>2704</v>
      </c>
    </row>
    <row r="2321">
      <c r="A2321" s="9" t="s">
        <v>10297</v>
      </c>
      <c r="B2321" s="9" t="s">
        <v>10298</v>
      </c>
      <c r="G2321" s="9" t="s">
        <v>10299</v>
      </c>
      <c r="O2321" s="10">
        <f>IFERROR(__xludf.DUMMYFUNCTION("VALUE(REGEXEXTRACT(A2321, ""\d+""))"),2705.0)</f>
        <v>2705</v>
      </c>
    </row>
    <row r="2322">
      <c r="A2322" s="9" t="s">
        <v>10300</v>
      </c>
      <c r="B2322" s="9" t="s">
        <v>10301</v>
      </c>
      <c r="G2322" s="9" t="s">
        <v>10302</v>
      </c>
      <c r="O2322" s="10">
        <f>IFERROR(__xludf.DUMMYFUNCTION("VALUE(REGEXEXTRACT(A2322, ""\d+""))"),2706.0)</f>
        <v>2706</v>
      </c>
    </row>
    <row r="2323">
      <c r="A2323" s="9" t="s">
        <v>10303</v>
      </c>
      <c r="B2323" s="9" t="s">
        <v>10304</v>
      </c>
      <c r="D2323" s="9" t="s">
        <v>10305</v>
      </c>
      <c r="G2323" s="9" t="s">
        <v>10305</v>
      </c>
      <c r="J2323" s="9" t="s">
        <v>10306</v>
      </c>
      <c r="O2323" s="10">
        <f>IFERROR(__xludf.DUMMYFUNCTION("VALUE(REGEXEXTRACT(A2323, ""\d+""))"),2707.0)</f>
        <v>2707</v>
      </c>
    </row>
    <row r="2324">
      <c r="A2324" s="9" t="s">
        <v>10307</v>
      </c>
      <c r="B2324" s="9" t="s">
        <v>10308</v>
      </c>
      <c r="D2324" s="9" t="s">
        <v>10309</v>
      </c>
      <c r="G2324" s="9" t="s">
        <v>10309</v>
      </c>
      <c r="J2324" s="9" t="s">
        <v>10310</v>
      </c>
      <c r="O2324" s="10">
        <f>IFERROR(__xludf.DUMMYFUNCTION("VALUE(REGEXEXTRACT(A2324, ""\d+""))"),2708.0)</f>
        <v>2708</v>
      </c>
    </row>
    <row r="2325">
      <c r="A2325" s="9" t="s">
        <v>10311</v>
      </c>
      <c r="B2325" s="9" t="s">
        <v>10312</v>
      </c>
      <c r="D2325" s="9" t="s">
        <v>10313</v>
      </c>
      <c r="G2325" s="9" t="s">
        <v>10313</v>
      </c>
      <c r="J2325" s="9" t="s">
        <v>10314</v>
      </c>
      <c r="O2325" s="10">
        <f>IFERROR(__xludf.DUMMYFUNCTION("VALUE(REGEXEXTRACT(A2325, ""\d+""))"),2709.0)</f>
        <v>2709</v>
      </c>
    </row>
    <row r="2326">
      <c r="A2326" s="9" t="s">
        <v>10315</v>
      </c>
      <c r="B2326" s="9" t="s">
        <v>10316</v>
      </c>
      <c r="O2326" s="10">
        <f>IFERROR(__xludf.DUMMYFUNCTION("VALUE(REGEXEXTRACT(A2326, ""\d+""))"),2710.0)</f>
        <v>2710</v>
      </c>
    </row>
    <row r="2327">
      <c r="A2327" s="9" t="s">
        <v>10317</v>
      </c>
      <c r="B2327" s="9" t="s">
        <v>10318</v>
      </c>
      <c r="D2327" s="9" t="s">
        <v>10319</v>
      </c>
      <c r="G2327" s="9" t="s">
        <v>10320</v>
      </c>
      <c r="J2327" s="9" t="s">
        <v>10321</v>
      </c>
      <c r="O2327" s="10">
        <f>IFERROR(__xludf.DUMMYFUNCTION("VALUE(REGEXEXTRACT(A2327, ""\d+""))"),2711.0)</f>
        <v>2711</v>
      </c>
    </row>
    <row r="2328">
      <c r="A2328" s="9" t="s">
        <v>10322</v>
      </c>
      <c r="B2328" s="9" t="s">
        <v>10323</v>
      </c>
      <c r="D2328" s="9" t="s">
        <v>10324</v>
      </c>
      <c r="G2328" s="9" t="s">
        <v>10325</v>
      </c>
      <c r="J2328" s="9" t="s">
        <v>10326</v>
      </c>
      <c r="O2328" s="10">
        <f>IFERROR(__xludf.DUMMYFUNCTION("VALUE(REGEXEXTRACT(A2328, ""\d+""))"),2712.0)</f>
        <v>2712</v>
      </c>
    </row>
    <row r="2329">
      <c r="A2329" s="9" t="s">
        <v>10327</v>
      </c>
      <c r="B2329" s="9" t="s">
        <v>10328</v>
      </c>
      <c r="D2329" s="9" t="s">
        <v>10329</v>
      </c>
      <c r="G2329" s="9" t="s">
        <v>10330</v>
      </c>
      <c r="J2329" s="9" t="s">
        <v>10331</v>
      </c>
      <c r="O2329" s="10">
        <f>IFERROR(__xludf.DUMMYFUNCTION("VALUE(REGEXEXTRACT(A2329, ""\d+""))"),2713.0)</f>
        <v>2713</v>
      </c>
    </row>
    <row r="2330">
      <c r="A2330" s="9" t="s">
        <v>10332</v>
      </c>
      <c r="B2330" s="9" t="s">
        <v>10333</v>
      </c>
      <c r="D2330" s="9" t="s">
        <v>10334</v>
      </c>
      <c r="G2330" s="9" t="s">
        <v>10335</v>
      </c>
      <c r="J2330" s="9" t="s">
        <v>10336</v>
      </c>
      <c r="O2330" s="10">
        <f>IFERROR(__xludf.DUMMYFUNCTION("VALUE(REGEXEXTRACT(A2330, ""\d+""))"),2714.0)</f>
        <v>2714</v>
      </c>
    </row>
    <row r="2331">
      <c r="A2331" s="9" t="s">
        <v>10337</v>
      </c>
      <c r="B2331" s="9" t="s">
        <v>10338</v>
      </c>
      <c r="G2331" s="9" t="s">
        <v>10339</v>
      </c>
      <c r="O2331" s="10">
        <f>IFERROR(__xludf.DUMMYFUNCTION("VALUE(REGEXEXTRACT(A2331, ""\d+""))"),2715.0)</f>
        <v>2715</v>
      </c>
    </row>
    <row r="2332">
      <c r="A2332" s="9" t="s">
        <v>10340</v>
      </c>
      <c r="B2332" s="9" t="s">
        <v>10341</v>
      </c>
      <c r="G2332" s="9" t="s">
        <v>10342</v>
      </c>
      <c r="O2332" s="10">
        <f>IFERROR(__xludf.DUMMYFUNCTION("VALUE(REGEXEXTRACT(A2332, ""\d+""))"),2716.0)</f>
        <v>2716</v>
      </c>
    </row>
    <row r="2333">
      <c r="A2333" s="9" t="s">
        <v>10343</v>
      </c>
      <c r="B2333" s="9" t="s">
        <v>10344</v>
      </c>
      <c r="D2333" s="9" t="s">
        <v>10345</v>
      </c>
      <c r="G2333" s="9" t="s">
        <v>10346</v>
      </c>
      <c r="J2333" s="9" t="s">
        <v>10347</v>
      </c>
      <c r="O2333" s="10">
        <f>IFERROR(__xludf.DUMMYFUNCTION("VALUE(REGEXEXTRACT(A2333, ""\d+""))"),2717.0)</f>
        <v>2717</v>
      </c>
    </row>
    <row r="2334">
      <c r="A2334" s="9" t="s">
        <v>10348</v>
      </c>
      <c r="B2334" s="9" t="s">
        <v>10349</v>
      </c>
      <c r="D2334" s="9" t="s">
        <v>10350</v>
      </c>
      <c r="G2334" s="9" t="s">
        <v>10351</v>
      </c>
      <c r="J2334" s="9" t="s">
        <v>10352</v>
      </c>
      <c r="O2334" s="10">
        <f>IFERROR(__xludf.DUMMYFUNCTION("VALUE(REGEXEXTRACT(A2334, ""\d+""))"),2718.0)</f>
        <v>2718</v>
      </c>
    </row>
    <row r="2335">
      <c r="A2335" s="9" t="s">
        <v>10353</v>
      </c>
      <c r="B2335" s="9" t="s">
        <v>10354</v>
      </c>
      <c r="D2335" s="9" t="s">
        <v>10355</v>
      </c>
      <c r="G2335" s="9" t="s">
        <v>10356</v>
      </c>
      <c r="J2335" s="9" t="s">
        <v>10357</v>
      </c>
      <c r="O2335" s="10">
        <f>IFERROR(__xludf.DUMMYFUNCTION("VALUE(REGEXEXTRACT(A2335, ""\d+""))"),2719.0)</f>
        <v>2719</v>
      </c>
    </row>
    <row r="2336">
      <c r="A2336" s="9" t="s">
        <v>10358</v>
      </c>
      <c r="B2336" s="9" t="s">
        <v>10359</v>
      </c>
      <c r="D2336" s="9" t="s">
        <v>10360</v>
      </c>
      <c r="G2336" s="9" t="s">
        <v>10360</v>
      </c>
      <c r="J2336" s="9" t="s">
        <v>10361</v>
      </c>
      <c r="O2336" s="10">
        <f>IFERROR(__xludf.DUMMYFUNCTION("VALUE(REGEXEXTRACT(A2336, ""\d+""))"),2720.0)</f>
        <v>2720</v>
      </c>
    </row>
    <row r="2337">
      <c r="A2337" s="9" t="s">
        <v>10362</v>
      </c>
      <c r="B2337" s="9" t="s">
        <v>10363</v>
      </c>
      <c r="D2337" s="9" t="s">
        <v>10364</v>
      </c>
      <c r="G2337" s="9" t="s">
        <v>10365</v>
      </c>
      <c r="J2337" s="9" t="s">
        <v>10366</v>
      </c>
      <c r="O2337" s="10">
        <f>IFERROR(__xludf.DUMMYFUNCTION("VALUE(REGEXEXTRACT(A2337, ""\d+""))"),2721.0)</f>
        <v>2721</v>
      </c>
    </row>
    <row r="2338">
      <c r="A2338" s="9" t="s">
        <v>10367</v>
      </c>
      <c r="B2338" s="9" t="s">
        <v>10368</v>
      </c>
      <c r="D2338" s="9" t="s">
        <v>10369</v>
      </c>
      <c r="G2338" s="9" t="s">
        <v>10370</v>
      </c>
      <c r="J2338" s="9" t="s">
        <v>10371</v>
      </c>
      <c r="O2338" s="10">
        <f>IFERROR(__xludf.DUMMYFUNCTION("VALUE(REGEXEXTRACT(A2338, ""\d+""))"),2722.0)</f>
        <v>2722</v>
      </c>
    </row>
    <row r="2339">
      <c r="A2339" s="9" t="s">
        <v>10372</v>
      </c>
      <c r="B2339" s="9" t="s">
        <v>10373</v>
      </c>
      <c r="D2339" s="9" t="s">
        <v>10374</v>
      </c>
      <c r="G2339" s="9" t="s">
        <v>10375</v>
      </c>
      <c r="J2339" s="9" t="s">
        <v>10376</v>
      </c>
      <c r="O2339" s="10">
        <f>IFERROR(__xludf.DUMMYFUNCTION("VALUE(REGEXEXTRACT(A2339, ""\d+""))"),2723.0)</f>
        <v>2723</v>
      </c>
    </row>
    <row r="2340">
      <c r="A2340" s="9" t="s">
        <v>10377</v>
      </c>
      <c r="B2340" s="9" t="s">
        <v>10378</v>
      </c>
      <c r="D2340" s="9" t="s">
        <v>10379</v>
      </c>
      <c r="G2340" s="9" t="s">
        <v>10380</v>
      </c>
      <c r="J2340" s="9" t="s">
        <v>10381</v>
      </c>
      <c r="O2340" s="10">
        <f>IFERROR(__xludf.DUMMYFUNCTION("VALUE(REGEXEXTRACT(A2340, ""\d+""))"),2724.0)</f>
        <v>2724</v>
      </c>
    </row>
    <row r="2341">
      <c r="A2341" s="9" t="s">
        <v>10382</v>
      </c>
      <c r="B2341" s="9" t="s">
        <v>10383</v>
      </c>
      <c r="D2341" s="9" t="s">
        <v>10384</v>
      </c>
      <c r="G2341" s="9" t="s">
        <v>10384</v>
      </c>
      <c r="J2341" s="9" t="s">
        <v>10385</v>
      </c>
      <c r="O2341" s="10">
        <f>IFERROR(__xludf.DUMMYFUNCTION("VALUE(REGEXEXTRACT(A2341, ""\d+""))"),2725.0)</f>
        <v>2725</v>
      </c>
    </row>
    <row r="2342">
      <c r="A2342" s="9" t="s">
        <v>10386</v>
      </c>
      <c r="B2342" s="9" t="s">
        <v>10387</v>
      </c>
      <c r="D2342" s="9" t="s">
        <v>10388</v>
      </c>
      <c r="G2342" s="9" t="s">
        <v>10389</v>
      </c>
      <c r="J2342" s="9" t="s">
        <v>10390</v>
      </c>
      <c r="O2342" s="10">
        <f>IFERROR(__xludf.DUMMYFUNCTION("VALUE(REGEXEXTRACT(A2342, ""\d+""))"),2726.0)</f>
        <v>2726</v>
      </c>
    </row>
    <row r="2343">
      <c r="A2343" s="9" t="s">
        <v>10391</v>
      </c>
      <c r="B2343" s="9" t="s">
        <v>10392</v>
      </c>
      <c r="D2343" s="9" t="s">
        <v>10393</v>
      </c>
      <c r="G2343" s="9" t="s">
        <v>10394</v>
      </c>
      <c r="J2343" s="9" t="s">
        <v>10395</v>
      </c>
      <c r="O2343" s="10">
        <f>IFERROR(__xludf.DUMMYFUNCTION("VALUE(REGEXEXTRACT(A2343, ""\d+""))"),2727.0)</f>
        <v>2727</v>
      </c>
    </row>
    <row r="2344">
      <c r="A2344" s="9" t="s">
        <v>10396</v>
      </c>
      <c r="B2344" s="9" t="s">
        <v>10397</v>
      </c>
      <c r="D2344" s="9" t="s">
        <v>10398</v>
      </c>
      <c r="G2344" s="9" t="s">
        <v>10399</v>
      </c>
      <c r="J2344" s="9" t="s">
        <v>10400</v>
      </c>
      <c r="O2344" s="10">
        <f>IFERROR(__xludf.DUMMYFUNCTION("VALUE(REGEXEXTRACT(A2344, ""\d+""))"),2728.0)</f>
        <v>2728</v>
      </c>
    </row>
    <row r="2345">
      <c r="A2345" s="9" t="s">
        <v>10401</v>
      </c>
      <c r="B2345" s="9" t="s">
        <v>10402</v>
      </c>
      <c r="D2345" s="9" t="s">
        <v>10403</v>
      </c>
      <c r="G2345" s="9" t="s">
        <v>10404</v>
      </c>
      <c r="J2345" s="9" t="s">
        <v>10402</v>
      </c>
      <c r="O2345" s="10">
        <f>IFERROR(__xludf.DUMMYFUNCTION("VALUE(REGEXEXTRACT(A2345, ""\d+""))"),2729.0)</f>
        <v>2729</v>
      </c>
    </row>
    <row r="2346">
      <c r="A2346" s="9" t="s">
        <v>10405</v>
      </c>
      <c r="B2346" s="9" t="s">
        <v>10406</v>
      </c>
      <c r="D2346" s="9" t="s">
        <v>10407</v>
      </c>
      <c r="G2346" s="9" t="s">
        <v>10408</v>
      </c>
      <c r="J2346" s="9" t="s">
        <v>10409</v>
      </c>
      <c r="O2346" s="10">
        <f>IFERROR(__xludf.DUMMYFUNCTION("VALUE(REGEXEXTRACT(A2346, ""\d+""))"),2730.0)</f>
        <v>2730</v>
      </c>
    </row>
    <row r="2347">
      <c r="A2347" s="9" t="s">
        <v>10410</v>
      </c>
      <c r="B2347" s="9" t="s">
        <v>10411</v>
      </c>
      <c r="G2347" s="9" t="s">
        <v>10412</v>
      </c>
      <c r="O2347" s="10">
        <f>IFERROR(__xludf.DUMMYFUNCTION("VALUE(REGEXEXTRACT(A2347, ""\d+""))"),2731.0)</f>
        <v>2731</v>
      </c>
    </row>
    <row r="2348">
      <c r="A2348" s="9" t="s">
        <v>10413</v>
      </c>
      <c r="B2348" s="9" t="s">
        <v>10414</v>
      </c>
      <c r="D2348" s="9" t="s">
        <v>10415</v>
      </c>
      <c r="G2348" s="9" t="s">
        <v>10416</v>
      </c>
      <c r="J2348" s="9" t="s">
        <v>10417</v>
      </c>
      <c r="O2348" s="10">
        <f>IFERROR(__xludf.DUMMYFUNCTION("VALUE(REGEXEXTRACT(A2348, ""\d+""))"),2732.0)</f>
        <v>2732</v>
      </c>
    </row>
    <row r="2349">
      <c r="A2349" s="9" t="s">
        <v>10418</v>
      </c>
      <c r="B2349" s="9" t="s">
        <v>10419</v>
      </c>
      <c r="D2349" s="9" t="s">
        <v>10420</v>
      </c>
      <c r="G2349" s="9" t="s">
        <v>10420</v>
      </c>
      <c r="J2349" s="9" t="s">
        <v>10421</v>
      </c>
      <c r="O2349" s="10">
        <f>IFERROR(__xludf.DUMMYFUNCTION("VALUE(REGEXEXTRACT(A2349, ""\d+""))"),2733.0)</f>
        <v>2733</v>
      </c>
    </row>
    <row r="2350">
      <c r="A2350" s="9" t="s">
        <v>10422</v>
      </c>
      <c r="B2350" s="9" t="s">
        <v>10423</v>
      </c>
      <c r="D2350" s="9" t="s">
        <v>10424</v>
      </c>
      <c r="G2350" s="9" t="s">
        <v>10424</v>
      </c>
      <c r="J2350" s="9" t="s">
        <v>10425</v>
      </c>
      <c r="O2350" s="10">
        <f>IFERROR(__xludf.DUMMYFUNCTION("VALUE(REGEXEXTRACT(A2350, ""\d+""))"),2734.0)</f>
        <v>2734</v>
      </c>
    </row>
    <row r="2351">
      <c r="A2351" s="9" t="s">
        <v>10426</v>
      </c>
      <c r="B2351" s="9" t="s">
        <v>10427</v>
      </c>
      <c r="D2351" s="9" t="s">
        <v>10428</v>
      </c>
      <c r="G2351" s="9" t="s">
        <v>10428</v>
      </c>
      <c r="J2351" s="9" t="s">
        <v>10429</v>
      </c>
      <c r="O2351" s="10">
        <f>IFERROR(__xludf.DUMMYFUNCTION("VALUE(REGEXEXTRACT(A2351, ""\d+""))"),2735.0)</f>
        <v>2735</v>
      </c>
    </row>
    <row r="2352">
      <c r="A2352" s="9" t="s">
        <v>10430</v>
      </c>
      <c r="B2352" s="9" t="s">
        <v>10431</v>
      </c>
      <c r="D2352" s="9" t="s">
        <v>10432</v>
      </c>
      <c r="G2352" s="9" t="s">
        <v>10432</v>
      </c>
      <c r="J2352" s="9" t="s">
        <v>10433</v>
      </c>
      <c r="O2352" s="10">
        <f>IFERROR(__xludf.DUMMYFUNCTION("VALUE(REGEXEXTRACT(A2352, ""\d+""))"),2736.0)</f>
        <v>2736</v>
      </c>
    </row>
    <row r="2353">
      <c r="A2353" s="9" t="s">
        <v>10434</v>
      </c>
      <c r="B2353" s="9" t="s">
        <v>10435</v>
      </c>
      <c r="D2353" s="9" t="s">
        <v>10436</v>
      </c>
      <c r="G2353" s="9" t="s">
        <v>10436</v>
      </c>
      <c r="J2353" s="9" t="s">
        <v>10437</v>
      </c>
      <c r="O2353" s="10">
        <f>IFERROR(__xludf.DUMMYFUNCTION("VALUE(REGEXEXTRACT(A2353, ""\d+""))"),2737.0)</f>
        <v>2737</v>
      </c>
    </row>
    <row r="2354">
      <c r="A2354" s="9" t="s">
        <v>10438</v>
      </c>
      <c r="B2354" s="9" t="s">
        <v>10439</v>
      </c>
      <c r="D2354" s="9" t="s">
        <v>10440</v>
      </c>
      <c r="G2354" s="9" t="s">
        <v>10440</v>
      </c>
      <c r="J2354" s="9" t="s">
        <v>10441</v>
      </c>
      <c r="O2354" s="10">
        <f>IFERROR(__xludf.DUMMYFUNCTION("VALUE(REGEXEXTRACT(A2354, ""\d+""))"),2738.0)</f>
        <v>2738</v>
      </c>
    </row>
    <row r="2355">
      <c r="A2355" s="9" t="s">
        <v>10442</v>
      </c>
      <c r="B2355" s="9" t="s">
        <v>10443</v>
      </c>
      <c r="D2355" s="9" t="s">
        <v>10444</v>
      </c>
      <c r="G2355" s="9" t="s">
        <v>10444</v>
      </c>
      <c r="J2355" s="9" t="s">
        <v>10445</v>
      </c>
      <c r="O2355" s="10">
        <f>IFERROR(__xludf.DUMMYFUNCTION("VALUE(REGEXEXTRACT(A2355, ""\d+""))"),2739.0)</f>
        <v>2739</v>
      </c>
    </row>
    <row r="2356">
      <c r="A2356" s="9" t="s">
        <v>10446</v>
      </c>
      <c r="B2356" s="9" t="s">
        <v>10447</v>
      </c>
      <c r="D2356" s="9" t="s">
        <v>10448</v>
      </c>
      <c r="G2356" s="9" t="s">
        <v>10449</v>
      </c>
      <c r="J2356" s="9" t="s">
        <v>10450</v>
      </c>
      <c r="O2356" s="10">
        <f>IFERROR(__xludf.DUMMYFUNCTION("VALUE(REGEXEXTRACT(A2356, ""\d+""))"),2740.0)</f>
        <v>2740</v>
      </c>
    </row>
    <row r="2357">
      <c r="A2357" s="9" t="s">
        <v>10451</v>
      </c>
      <c r="B2357" s="9" t="s">
        <v>10452</v>
      </c>
      <c r="D2357" s="9" t="s">
        <v>10453</v>
      </c>
      <c r="G2357" s="9" t="s">
        <v>10454</v>
      </c>
      <c r="J2357" s="9" t="s">
        <v>10455</v>
      </c>
      <c r="O2357" s="10">
        <f>IFERROR(__xludf.DUMMYFUNCTION("VALUE(REGEXEXTRACT(A2357, ""\d+""))"),2741.0)</f>
        <v>2741</v>
      </c>
    </row>
    <row r="2358">
      <c r="A2358" s="9" t="s">
        <v>10456</v>
      </c>
      <c r="B2358" s="9" t="s">
        <v>10457</v>
      </c>
      <c r="D2358" s="9" t="s">
        <v>10458</v>
      </c>
      <c r="G2358" s="9" t="s">
        <v>10459</v>
      </c>
      <c r="J2358" s="9" t="s">
        <v>10460</v>
      </c>
      <c r="O2358" s="10">
        <f>IFERROR(__xludf.DUMMYFUNCTION("VALUE(REGEXEXTRACT(A2358, ""\d+""))"),2742.0)</f>
        <v>2742</v>
      </c>
    </row>
    <row r="2359">
      <c r="A2359" s="9" t="s">
        <v>10461</v>
      </c>
      <c r="B2359" s="9" t="s">
        <v>10462</v>
      </c>
      <c r="D2359" s="9" t="s">
        <v>10463</v>
      </c>
      <c r="G2359" s="9" t="s">
        <v>10464</v>
      </c>
      <c r="J2359" s="9" t="s">
        <v>10465</v>
      </c>
      <c r="O2359" s="10">
        <f>IFERROR(__xludf.DUMMYFUNCTION("VALUE(REGEXEXTRACT(A2359, ""\d+""))"),2743.0)</f>
        <v>2743</v>
      </c>
    </row>
    <row r="2360">
      <c r="A2360" s="9" t="s">
        <v>10466</v>
      </c>
      <c r="B2360" s="9" t="s">
        <v>10467</v>
      </c>
      <c r="D2360" s="9" t="s">
        <v>10468</v>
      </c>
      <c r="G2360" s="9" t="s">
        <v>10469</v>
      </c>
      <c r="J2360" s="9" t="s">
        <v>10470</v>
      </c>
      <c r="O2360" s="10">
        <f>IFERROR(__xludf.DUMMYFUNCTION("VALUE(REGEXEXTRACT(A2360, ""\d+""))"),2744.0)</f>
        <v>2744</v>
      </c>
    </row>
    <row r="2361">
      <c r="A2361" s="9" t="s">
        <v>10471</v>
      </c>
      <c r="B2361" s="9" t="s">
        <v>10472</v>
      </c>
      <c r="D2361" s="9" t="s">
        <v>10473</v>
      </c>
      <c r="G2361" s="9" t="s">
        <v>10474</v>
      </c>
      <c r="J2361" s="9" t="s">
        <v>10475</v>
      </c>
      <c r="O2361" s="10">
        <f>IFERROR(__xludf.DUMMYFUNCTION("VALUE(REGEXEXTRACT(A2361, ""\d+""))"),2745.0)</f>
        <v>2745</v>
      </c>
    </row>
    <row r="2362">
      <c r="A2362" s="9" t="s">
        <v>10476</v>
      </c>
      <c r="B2362" s="9" t="s">
        <v>10477</v>
      </c>
      <c r="D2362" s="9" t="s">
        <v>10478</v>
      </c>
      <c r="G2362" s="9" t="s">
        <v>10479</v>
      </c>
      <c r="J2362" s="9" t="s">
        <v>10480</v>
      </c>
      <c r="O2362" s="10">
        <f>IFERROR(__xludf.DUMMYFUNCTION("VALUE(REGEXEXTRACT(A2362, ""\d+""))"),2747.0)</f>
        <v>2747</v>
      </c>
    </row>
    <row r="2363">
      <c r="A2363" s="9" t="s">
        <v>10481</v>
      </c>
      <c r="B2363" s="9" t="s">
        <v>10482</v>
      </c>
      <c r="D2363" s="9" t="s">
        <v>10483</v>
      </c>
      <c r="G2363" s="9" t="s">
        <v>10484</v>
      </c>
      <c r="J2363" s="9" t="s">
        <v>10482</v>
      </c>
      <c r="O2363" s="10">
        <f>IFERROR(__xludf.DUMMYFUNCTION("VALUE(REGEXEXTRACT(A2363, ""\d+""))"),2748.0)</f>
        <v>2748</v>
      </c>
    </row>
    <row r="2364">
      <c r="A2364" s="9" t="s">
        <v>10485</v>
      </c>
      <c r="B2364" s="9" t="s">
        <v>10486</v>
      </c>
      <c r="D2364" s="9" t="s">
        <v>10487</v>
      </c>
      <c r="G2364" s="9" t="s">
        <v>10488</v>
      </c>
      <c r="J2364" s="9" t="s">
        <v>10486</v>
      </c>
      <c r="O2364" s="10">
        <f>IFERROR(__xludf.DUMMYFUNCTION("VALUE(REGEXEXTRACT(A2364, ""\d+""))"),2749.0)</f>
        <v>2749</v>
      </c>
    </row>
    <row r="2365">
      <c r="A2365" s="9" t="s">
        <v>10489</v>
      </c>
      <c r="B2365" s="9" t="s">
        <v>10490</v>
      </c>
      <c r="G2365" s="9" t="s">
        <v>10491</v>
      </c>
      <c r="O2365" s="10">
        <f>IFERROR(__xludf.DUMMYFUNCTION("VALUE(REGEXEXTRACT(A2365, ""\d+""))"),2750.0)</f>
        <v>2750</v>
      </c>
    </row>
    <row r="2366">
      <c r="A2366" s="9" t="s">
        <v>10492</v>
      </c>
      <c r="B2366" s="9" t="s">
        <v>10493</v>
      </c>
      <c r="D2366" s="9" t="s">
        <v>10494</v>
      </c>
      <c r="G2366" s="9" t="s">
        <v>10494</v>
      </c>
      <c r="J2366" s="9" t="s">
        <v>10495</v>
      </c>
      <c r="O2366" s="10">
        <f>IFERROR(__xludf.DUMMYFUNCTION("VALUE(REGEXEXTRACT(A2366, ""\d+""))"),2752.0)</f>
        <v>2752</v>
      </c>
    </row>
    <row r="2367">
      <c r="A2367" s="9" t="s">
        <v>10496</v>
      </c>
      <c r="B2367" s="9" t="s">
        <v>10497</v>
      </c>
      <c r="D2367" s="9" t="s">
        <v>10498</v>
      </c>
      <c r="G2367" s="9" t="s">
        <v>10498</v>
      </c>
      <c r="J2367" s="9" t="s">
        <v>10499</v>
      </c>
      <c r="O2367" s="10">
        <f>IFERROR(__xludf.DUMMYFUNCTION("VALUE(REGEXEXTRACT(A2367, ""\d+""))"),2753.0)</f>
        <v>2753</v>
      </c>
    </row>
    <row r="2368">
      <c r="A2368" s="9" t="s">
        <v>10500</v>
      </c>
      <c r="B2368" s="9" t="s">
        <v>10501</v>
      </c>
      <c r="G2368" s="9" t="s">
        <v>10502</v>
      </c>
      <c r="O2368" s="10">
        <f>IFERROR(__xludf.DUMMYFUNCTION("VALUE(REGEXEXTRACT(A2368, ""\d+""))"),2754.0)</f>
        <v>2754</v>
      </c>
    </row>
    <row r="2369">
      <c r="A2369" s="9" t="s">
        <v>10503</v>
      </c>
      <c r="B2369" s="9" t="s">
        <v>10504</v>
      </c>
      <c r="D2369" s="9" t="s">
        <v>10505</v>
      </c>
      <c r="G2369" s="9" t="s">
        <v>10506</v>
      </c>
      <c r="J2369" s="9" t="s">
        <v>10504</v>
      </c>
      <c r="O2369" s="10">
        <f>IFERROR(__xludf.DUMMYFUNCTION("VALUE(REGEXEXTRACT(A2369, ""\d+""))"),2755.0)</f>
        <v>2755</v>
      </c>
    </row>
    <row r="2370">
      <c r="A2370" s="9" t="s">
        <v>10507</v>
      </c>
      <c r="B2370" s="9" t="s">
        <v>10508</v>
      </c>
      <c r="D2370" s="9" t="s">
        <v>10509</v>
      </c>
      <c r="G2370" s="9" t="s">
        <v>10510</v>
      </c>
      <c r="J2370" s="9" t="s">
        <v>10511</v>
      </c>
      <c r="O2370" s="10">
        <f>IFERROR(__xludf.DUMMYFUNCTION("VALUE(REGEXEXTRACT(A2370, ""\d+""))"),2756.0)</f>
        <v>2756</v>
      </c>
    </row>
    <row r="2371">
      <c r="A2371" s="9" t="s">
        <v>10512</v>
      </c>
      <c r="B2371" s="9" t="s">
        <v>10513</v>
      </c>
      <c r="G2371" s="9" t="s">
        <v>10514</v>
      </c>
      <c r="O2371" s="10">
        <f>IFERROR(__xludf.DUMMYFUNCTION("VALUE(REGEXEXTRACT(A2371, ""\d+""))"),2757.0)</f>
        <v>2757</v>
      </c>
    </row>
    <row r="2372">
      <c r="A2372" s="9" t="s">
        <v>10515</v>
      </c>
      <c r="B2372" s="9" t="s">
        <v>10516</v>
      </c>
      <c r="G2372" s="9" t="s">
        <v>10517</v>
      </c>
      <c r="O2372" s="10">
        <f>IFERROR(__xludf.DUMMYFUNCTION("VALUE(REGEXEXTRACT(A2372, ""\d+""))"),2758.0)</f>
        <v>2758</v>
      </c>
    </row>
    <row r="2373">
      <c r="A2373" s="9" t="s">
        <v>10518</v>
      </c>
      <c r="B2373" s="9" t="s">
        <v>10519</v>
      </c>
      <c r="G2373" s="9" t="s">
        <v>10520</v>
      </c>
      <c r="O2373" s="10">
        <f>IFERROR(__xludf.DUMMYFUNCTION("VALUE(REGEXEXTRACT(A2373, ""\d+""))"),2759.0)</f>
        <v>2759</v>
      </c>
    </row>
    <row r="2374">
      <c r="A2374" s="9" t="s">
        <v>10521</v>
      </c>
      <c r="B2374" s="9" t="s">
        <v>10522</v>
      </c>
      <c r="G2374" s="9" t="s">
        <v>10523</v>
      </c>
      <c r="O2374" s="10">
        <f>IFERROR(__xludf.DUMMYFUNCTION("VALUE(REGEXEXTRACT(A2374, ""\d+""))"),2760.0)</f>
        <v>2760</v>
      </c>
    </row>
    <row r="2375">
      <c r="A2375" s="9" t="s">
        <v>10524</v>
      </c>
      <c r="B2375" s="9" t="s">
        <v>10525</v>
      </c>
      <c r="D2375" s="9" t="s">
        <v>10526</v>
      </c>
      <c r="G2375" s="9" t="s">
        <v>10527</v>
      </c>
      <c r="J2375" s="9" t="s">
        <v>10528</v>
      </c>
      <c r="O2375" s="10">
        <f>IFERROR(__xludf.DUMMYFUNCTION("VALUE(REGEXEXTRACT(A2375, ""\d+""))"),2762.0)</f>
        <v>2762</v>
      </c>
    </row>
    <row r="2376">
      <c r="A2376" s="9" t="s">
        <v>10529</v>
      </c>
      <c r="B2376" s="9" t="s">
        <v>10530</v>
      </c>
      <c r="D2376" s="9" t="s">
        <v>10531</v>
      </c>
      <c r="G2376" s="9" t="s">
        <v>10531</v>
      </c>
      <c r="J2376" s="9" t="s">
        <v>10532</v>
      </c>
      <c r="O2376" s="10">
        <f>IFERROR(__xludf.DUMMYFUNCTION("VALUE(REGEXEXTRACT(A2376, ""\d+""))"),2765.0)</f>
        <v>2765</v>
      </c>
    </row>
    <row r="2377">
      <c r="A2377" s="9" t="s">
        <v>10533</v>
      </c>
      <c r="B2377" s="9" t="s">
        <v>10534</v>
      </c>
      <c r="D2377" s="9" t="s">
        <v>10535</v>
      </c>
      <c r="G2377" s="9" t="s">
        <v>10535</v>
      </c>
      <c r="J2377" s="9" t="s">
        <v>10536</v>
      </c>
      <c r="O2377" s="10">
        <f>IFERROR(__xludf.DUMMYFUNCTION("VALUE(REGEXEXTRACT(A2377, ""\d+""))"),2766.0)</f>
        <v>2766</v>
      </c>
    </row>
    <row r="2378">
      <c r="A2378" s="9" t="s">
        <v>10537</v>
      </c>
      <c r="B2378" s="9" t="s">
        <v>10538</v>
      </c>
      <c r="D2378" s="9" t="s">
        <v>10539</v>
      </c>
      <c r="G2378" s="9" t="s">
        <v>10540</v>
      </c>
      <c r="J2378" s="9" t="s">
        <v>10541</v>
      </c>
      <c r="O2378" s="10">
        <f>IFERROR(__xludf.DUMMYFUNCTION("VALUE(REGEXEXTRACT(A2378, ""\d+""))"),2767.0)</f>
        <v>2767</v>
      </c>
    </row>
    <row r="2379">
      <c r="A2379" s="9" t="s">
        <v>10542</v>
      </c>
      <c r="B2379" s="9" t="s">
        <v>10543</v>
      </c>
      <c r="D2379" s="9" t="s">
        <v>10544</v>
      </c>
      <c r="G2379" s="9" t="s">
        <v>10545</v>
      </c>
      <c r="J2379" s="9" t="s">
        <v>10546</v>
      </c>
      <c r="O2379" s="10">
        <f>IFERROR(__xludf.DUMMYFUNCTION("VALUE(REGEXEXTRACT(A2379, ""\d+""))"),2768.0)</f>
        <v>2768</v>
      </c>
    </row>
    <row r="2380">
      <c r="A2380" s="9" t="s">
        <v>10547</v>
      </c>
      <c r="B2380" s="9" t="s">
        <v>10548</v>
      </c>
      <c r="G2380" s="9" t="s">
        <v>10549</v>
      </c>
      <c r="O2380" s="10">
        <f>IFERROR(__xludf.DUMMYFUNCTION("VALUE(REGEXEXTRACT(A2380, ""\d+""))"),2770.0)</f>
        <v>2770</v>
      </c>
    </row>
    <row r="2381">
      <c r="A2381" s="9" t="s">
        <v>10550</v>
      </c>
      <c r="B2381" s="9" t="s">
        <v>10551</v>
      </c>
      <c r="D2381" s="9" t="s">
        <v>10552</v>
      </c>
      <c r="G2381" s="9" t="s">
        <v>10553</v>
      </c>
      <c r="J2381" s="9" t="s">
        <v>10554</v>
      </c>
      <c r="O2381" s="10">
        <f>IFERROR(__xludf.DUMMYFUNCTION("VALUE(REGEXEXTRACT(A2381, ""\d+""))"),2771.0)</f>
        <v>2771</v>
      </c>
    </row>
    <row r="2382">
      <c r="A2382" s="9" t="s">
        <v>10555</v>
      </c>
      <c r="B2382" s="9" t="s">
        <v>10556</v>
      </c>
      <c r="D2382" s="9" t="s">
        <v>10557</v>
      </c>
      <c r="G2382" s="9" t="s">
        <v>10558</v>
      </c>
      <c r="J2382" s="9" t="s">
        <v>10559</v>
      </c>
      <c r="O2382" s="10">
        <f>IFERROR(__xludf.DUMMYFUNCTION("VALUE(REGEXEXTRACT(A2382, ""\d+""))"),2772.0)</f>
        <v>2772</v>
      </c>
    </row>
    <row r="2383">
      <c r="A2383" s="9" t="s">
        <v>10560</v>
      </c>
      <c r="B2383" s="9" t="s">
        <v>10561</v>
      </c>
      <c r="D2383" s="9" t="s">
        <v>10562</v>
      </c>
      <c r="G2383" s="9" t="s">
        <v>10563</v>
      </c>
      <c r="J2383" s="9" t="s">
        <v>10564</v>
      </c>
      <c r="O2383" s="10">
        <f>IFERROR(__xludf.DUMMYFUNCTION("VALUE(REGEXEXTRACT(A2383, ""\d+""))"),2773.0)</f>
        <v>2773</v>
      </c>
    </row>
    <row r="2384">
      <c r="A2384" s="9" t="s">
        <v>10565</v>
      </c>
      <c r="B2384" s="9" t="s">
        <v>10566</v>
      </c>
      <c r="D2384" s="9" t="s">
        <v>10567</v>
      </c>
      <c r="G2384" s="9" t="s">
        <v>10567</v>
      </c>
      <c r="J2384" s="9" t="s">
        <v>10568</v>
      </c>
      <c r="O2384" s="10">
        <f>IFERROR(__xludf.DUMMYFUNCTION("VALUE(REGEXEXTRACT(A2384, ""\d+""))"),2774.0)</f>
        <v>2774</v>
      </c>
    </row>
    <row r="2385">
      <c r="A2385" s="9" t="s">
        <v>10569</v>
      </c>
      <c r="B2385" s="9" t="s">
        <v>10570</v>
      </c>
      <c r="G2385" s="9" t="s">
        <v>10571</v>
      </c>
      <c r="O2385" s="10">
        <f>IFERROR(__xludf.DUMMYFUNCTION("VALUE(REGEXEXTRACT(A2385, ""\d+""))"),2775.0)</f>
        <v>2775</v>
      </c>
    </row>
    <row r="2386">
      <c r="A2386" s="9" t="s">
        <v>10572</v>
      </c>
      <c r="B2386" s="9" t="s">
        <v>10573</v>
      </c>
      <c r="D2386" s="9" t="s">
        <v>10574</v>
      </c>
      <c r="G2386" s="9" t="s">
        <v>10574</v>
      </c>
      <c r="J2386" s="9" t="s">
        <v>10575</v>
      </c>
      <c r="O2386" s="10">
        <f>IFERROR(__xludf.DUMMYFUNCTION("VALUE(REGEXEXTRACT(A2386, ""\d+""))"),2776.0)</f>
        <v>2776</v>
      </c>
    </row>
    <row r="2387">
      <c r="A2387" s="9" t="s">
        <v>10576</v>
      </c>
      <c r="B2387" s="9" t="s">
        <v>10577</v>
      </c>
      <c r="D2387" s="9" t="s">
        <v>10578</v>
      </c>
      <c r="G2387" s="9" t="s">
        <v>10579</v>
      </c>
      <c r="J2387" s="9" t="s">
        <v>10580</v>
      </c>
      <c r="O2387" s="10">
        <f>IFERROR(__xludf.DUMMYFUNCTION("VALUE(REGEXEXTRACT(A2387, ""\d+""))"),2777.0)</f>
        <v>2777</v>
      </c>
    </row>
    <row r="2388">
      <c r="A2388" s="9" t="s">
        <v>10581</v>
      </c>
      <c r="B2388" s="9" t="s">
        <v>10582</v>
      </c>
      <c r="D2388" s="9" t="s">
        <v>10583</v>
      </c>
      <c r="G2388" s="9" t="s">
        <v>10584</v>
      </c>
      <c r="J2388" s="9" t="s">
        <v>10585</v>
      </c>
      <c r="O2388" s="10">
        <f>IFERROR(__xludf.DUMMYFUNCTION("VALUE(REGEXEXTRACT(A2388, ""\d+""))"),2778.0)</f>
        <v>2778</v>
      </c>
    </row>
    <row r="2389">
      <c r="A2389" s="9" t="s">
        <v>10586</v>
      </c>
      <c r="B2389" s="9" t="s">
        <v>10587</v>
      </c>
      <c r="D2389" s="9" t="s">
        <v>10588</v>
      </c>
      <c r="G2389" s="9" t="s">
        <v>10589</v>
      </c>
      <c r="J2389" s="9" t="s">
        <v>10590</v>
      </c>
      <c r="O2389" s="10">
        <f>IFERROR(__xludf.DUMMYFUNCTION("VALUE(REGEXEXTRACT(A2389, ""\d+""))"),2779.0)</f>
        <v>2779</v>
      </c>
    </row>
    <row r="2390">
      <c r="A2390" s="9" t="s">
        <v>10591</v>
      </c>
      <c r="B2390" s="9" t="s">
        <v>10592</v>
      </c>
      <c r="G2390" s="9" t="s">
        <v>10593</v>
      </c>
      <c r="O2390" s="10">
        <f>IFERROR(__xludf.DUMMYFUNCTION("VALUE(REGEXEXTRACT(A2390, ""\d+""))"),2780.0)</f>
        <v>2780</v>
      </c>
    </row>
    <row r="2391">
      <c r="A2391" s="9" t="s">
        <v>10594</v>
      </c>
      <c r="B2391" s="9" t="s">
        <v>10595</v>
      </c>
      <c r="D2391" s="9" t="s">
        <v>10596</v>
      </c>
      <c r="G2391" s="9" t="s">
        <v>10596</v>
      </c>
      <c r="J2391" s="9" t="s">
        <v>10597</v>
      </c>
      <c r="O2391" s="10">
        <f>IFERROR(__xludf.DUMMYFUNCTION("VALUE(REGEXEXTRACT(A2391, ""\d+""))"),2781.0)</f>
        <v>2781</v>
      </c>
    </row>
    <row r="2392">
      <c r="A2392" s="9" t="s">
        <v>10598</v>
      </c>
      <c r="B2392" s="9" t="s">
        <v>10599</v>
      </c>
      <c r="D2392" s="9" t="s">
        <v>10600</v>
      </c>
      <c r="G2392" s="9" t="s">
        <v>10600</v>
      </c>
      <c r="J2392" s="9" t="s">
        <v>10601</v>
      </c>
      <c r="O2392" s="10">
        <f>IFERROR(__xludf.DUMMYFUNCTION("VALUE(REGEXEXTRACT(A2392, ""\d+""))"),2782.0)</f>
        <v>2782</v>
      </c>
    </row>
    <row r="2393">
      <c r="A2393" s="9" t="s">
        <v>10602</v>
      </c>
      <c r="B2393" s="9" t="s">
        <v>10603</v>
      </c>
      <c r="D2393" s="9" t="s">
        <v>10604</v>
      </c>
      <c r="G2393" s="9" t="s">
        <v>10605</v>
      </c>
      <c r="J2393" s="9" t="s">
        <v>10606</v>
      </c>
      <c r="O2393" s="10">
        <f>IFERROR(__xludf.DUMMYFUNCTION("VALUE(REGEXEXTRACT(A2393, ""\d+""))"),2783.0)</f>
        <v>2783</v>
      </c>
    </row>
    <row r="2394">
      <c r="A2394" s="9" t="s">
        <v>10607</v>
      </c>
      <c r="B2394" s="9" t="s">
        <v>10608</v>
      </c>
      <c r="D2394" s="9" t="s">
        <v>10609</v>
      </c>
      <c r="G2394" s="9" t="s">
        <v>10610</v>
      </c>
      <c r="J2394" s="9" t="s">
        <v>10611</v>
      </c>
      <c r="O2394" s="10">
        <f>IFERROR(__xludf.DUMMYFUNCTION("VALUE(REGEXEXTRACT(A2394, ""\d+""))"),2784.0)</f>
        <v>2784</v>
      </c>
    </row>
    <row r="2395">
      <c r="A2395" s="9" t="s">
        <v>10612</v>
      </c>
      <c r="B2395" s="9" t="s">
        <v>10613</v>
      </c>
      <c r="D2395" s="9" t="s">
        <v>10614</v>
      </c>
      <c r="G2395" s="9" t="s">
        <v>10615</v>
      </c>
      <c r="J2395" s="9" t="s">
        <v>10616</v>
      </c>
      <c r="O2395" s="10">
        <f>IFERROR(__xludf.DUMMYFUNCTION("VALUE(REGEXEXTRACT(A2395, ""\d+""))"),2785.0)</f>
        <v>2785</v>
      </c>
    </row>
    <row r="2396">
      <c r="A2396" s="9" t="s">
        <v>10617</v>
      </c>
      <c r="B2396" s="9" t="s">
        <v>10618</v>
      </c>
      <c r="G2396" s="9" t="s">
        <v>10619</v>
      </c>
      <c r="O2396" s="10">
        <f>IFERROR(__xludf.DUMMYFUNCTION("VALUE(REGEXEXTRACT(A2396, ""\d+""))"),2786.0)</f>
        <v>2786</v>
      </c>
    </row>
    <row r="2397">
      <c r="A2397" s="9" t="s">
        <v>10620</v>
      </c>
      <c r="B2397" s="9" t="s">
        <v>10621</v>
      </c>
      <c r="D2397" s="9" t="s">
        <v>10622</v>
      </c>
      <c r="G2397" s="9" t="s">
        <v>10622</v>
      </c>
      <c r="J2397" s="9" t="s">
        <v>10623</v>
      </c>
      <c r="O2397" s="10">
        <f>IFERROR(__xludf.DUMMYFUNCTION("VALUE(REGEXEXTRACT(A2397, ""\d+""))"),2789.0)</f>
        <v>2789</v>
      </c>
    </row>
    <row r="2398">
      <c r="A2398" s="9" t="s">
        <v>10624</v>
      </c>
      <c r="B2398" s="9" t="s">
        <v>10625</v>
      </c>
      <c r="D2398" s="9" t="s">
        <v>10626</v>
      </c>
      <c r="G2398" s="9" t="s">
        <v>10627</v>
      </c>
      <c r="J2398" s="9" t="s">
        <v>10628</v>
      </c>
      <c r="O2398" s="10">
        <f>IFERROR(__xludf.DUMMYFUNCTION("VALUE(REGEXEXTRACT(A2398, ""\d+""))"),2790.0)</f>
        <v>2790</v>
      </c>
    </row>
    <row r="2399">
      <c r="A2399" s="9" t="s">
        <v>10629</v>
      </c>
      <c r="B2399" s="9" t="s">
        <v>10630</v>
      </c>
      <c r="D2399" s="9" t="s">
        <v>10631</v>
      </c>
      <c r="G2399" s="9" t="s">
        <v>10632</v>
      </c>
      <c r="J2399" s="9" t="s">
        <v>10633</v>
      </c>
      <c r="O2399" s="10">
        <f>IFERROR(__xludf.DUMMYFUNCTION("VALUE(REGEXEXTRACT(A2399, ""\d+""))"),2791.0)</f>
        <v>2791</v>
      </c>
    </row>
    <row r="2400">
      <c r="A2400" s="9" t="s">
        <v>10634</v>
      </c>
      <c r="B2400" s="9" t="s">
        <v>10635</v>
      </c>
      <c r="D2400" s="9" t="s">
        <v>10636</v>
      </c>
      <c r="G2400" s="9" t="s">
        <v>10636</v>
      </c>
      <c r="J2400" s="9" t="s">
        <v>10637</v>
      </c>
      <c r="O2400" s="10">
        <f>IFERROR(__xludf.DUMMYFUNCTION("VALUE(REGEXEXTRACT(A2400, ""\d+""))"),2792.0)</f>
        <v>2792</v>
      </c>
    </row>
    <row r="2401">
      <c r="A2401" s="9" t="s">
        <v>10638</v>
      </c>
      <c r="B2401" s="9" t="s">
        <v>10639</v>
      </c>
      <c r="D2401" s="9" t="s">
        <v>10640</v>
      </c>
      <c r="G2401" s="9" t="s">
        <v>10641</v>
      </c>
      <c r="J2401" s="9" t="s">
        <v>10642</v>
      </c>
      <c r="O2401" s="10">
        <f>IFERROR(__xludf.DUMMYFUNCTION("VALUE(REGEXEXTRACT(A2401, ""\d+""))"),2793.0)</f>
        <v>2793</v>
      </c>
    </row>
    <row r="2402">
      <c r="A2402" s="9" t="s">
        <v>10643</v>
      </c>
      <c r="B2402" s="9" t="s">
        <v>10644</v>
      </c>
      <c r="D2402" s="9" t="s">
        <v>10645</v>
      </c>
      <c r="G2402" s="9" t="s">
        <v>10645</v>
      </c>
      <c r="J2402" s="9" t="s">
        <v>10637</v>
      </c>
      <c r="O2402" s="10">
        <f>IFERROR(__xludf.DUMMYFUNCTION("VALUE(REGEXEXTRACT(A2402, ""\d+""))"),2794.0)</f>
        <v>2794</v>
      </c>
    </row>
    <row r="2403">
      <c r="A2403" s="9" t="s">
        <v>10646</v>
      </c>
      <c r="B2403" s="9" t="s">
        <v>10647</v>
      </c>
      <c r="D2403" s="9" t="s">
        <v>10648</v>
      </c>
      <c r="G2403" s="9" t="s">
        <v>10648</v>
      </c>
      <c r="J2403" s="9" t="s">
        <v>10649</v>
      </c>
      <c r="O2403" s="10">
        <f>IFERROR(__xludf.DUMMYFUNCTION("VALUE(REGEXEXTRACT(A2403, ""\d+""))"),2795.0)</f>
        <v>2795</v>
      </c>
    </row>
    <row r="2404">
      <c r="A2404" s="9" t="s">
        <v>10650</v>
      </c>
      <c r="B2404" s="9" t="s">
        <v>10651</v>
      </c>
      <c r="D2404" s="9" t="s">
        <v>10652</v>
      </c>
      <c r="G2404" s="9" t="s">
        <v>10652</v>
      </c>
      <c r="J2404" s="9" t="s">
        <v>10653</v>
      </c>
      <c r="O2404" s="10">
        <f>IFERROR(__xludf.DUMMYFUNCTION("VALUE(REGEXEXTRACT(A2404, ""\d+""))"),2796.0)</f>
        <v>2796</v>
      </c>
    </row>
    <row r="2405">
      <c r="A2405" s="9" t="s">
        <v>10654</v>
      </c>
      <c r="B2405" s="9" t="s">
        <v>10655</v>
      </c>
      <c r="D2405" s="9" t="s">
        <v>10656</v>
      </c>
      <c r="G2405" s="9" t="s">
        <v>10656</v>
      </c>
      <c r="J2405" s="9" t="s">
        <v>10657</v>
      </c>
      <c r="O2405" s="10">
        <f>IFERROR(__xludf.DUMMYFUNCTION("VALUE(REGEXEXTRACT(A2405, ""\d+""))"),2797.0)</f>
        <v>2797</v>
      </c>
    </row>
    <row r="2406">
      <c r="A2406" s="9" t="s">
        <v>10658</v>
      </c>
      <c r="B2406" s="9" t="s">
        <v>10659</v>
      </c>
      <c r="D2406" s="9" t="s">
        <v>10660</v>
      </c>
      <c r="G2406" s="9" t="s">
        <v>10661</v>
      </c>
      <c r="J2406" s="9" t="s">
        <v>10662</v>
      </c>
      <c r="O2406" s="10">
        <f>IFERROR(__xludf.DUMMYFUNCTION("VALUE(REGEXEXTRACT(A2406, ""\d+""))"),2798.0)</f>
        <v>2798</v>
      </c>
    </row>
    <row r="2407">
      <c r="A2407" s="9" t="s">
        <v>10663</v>
      </c>
      <c r="B2407" s="9" t="s">
        <v>10664</v>
      </c>
      <c r="G2407" s="9" t="s">
        <v>10665</v>
      </c>
      <c r="O2407" s="10">
        <f>IFERROR(__xludf.DUMMYFUNCTION("VALUE(REGEXEXTRACT(A2407, ""\d+""))"),2799.0)</f>
        <v>2799</v>
      </c>
    </row>
    <row r="2408">
      <c r="A2408" s="9" t="s">
        <v>10666</v>
      </c>
      <c r="B2408" s="9" t="s">
        <v>10667</v>
      </c>
      <c r="D2408" s="9" t="s">
        <v>10668</v>
      </c>
      <c r="G2408" s="9" t="s">
        <v>10668</v>
      </c>
      <c r="J2408" s="9" t="s">
        <v>10669</v>
      </c>
      <c r="O2408" s="10">
        <f>IFERROR(__xludf.DUMMYFUNCTION("VALUE(REGEXEXTRACT(A2408, ""\d+""))"),2800.0)</f>
        <v>2800</v>
      </c>
    </row>
    <row r="2409">
      <c r="A2409" s="9" t="s">
        <v>10670</v>
      </c>
      <c r="B2409" s="9" t="s">
        <v>10671</v>
      </c>
      <c r="D2409" s="9" t="s">
        <v>10672</v>
      </c>
      <c r="G2409" s="9" t="s">
        <v>10672</v>
      </c>
      <c r="J2409" s="9" t="s">
        <v>10673</v>
      </c>
      <c r="O2409" s="10">
        <f>IFERROR(__xludf.DUMMYFUNCTION("VALUE(REGEXEXTRACT(A2409, ""\d+""))"),2801.0)</f>
        <v>2801</v>
      </c>
    </row>
    <row r="2410">
      <c r="A2410" s="9" t="s">
        <v>10674</v>
      </c>
      <c r="B2410" s="9" t="s">
        <v>10675</v>
      </c>
      <c r="D2410" s="9" t="s">
        <v>10676</v>
      </c>
      <c r="G2410" s="9" t="s">
        <v>10676</v>
      </c>
      <c r="J2410" s="9" t="s">
        <v>10677</v>
      </c>
      <c r="O2410" s="10">
        <f>IFERROR(__xludf.DUMMYFUNCTION("VALUE(REGEXEXTRACT(A2410, ""\d+""))"),2802.0)</f>
        <v>2802</v>
      </c>
    </row>
    <row r="2411">
      <c r="A2411" s="9" t="s">
        <v>10678</v>
      </c>
      <c r="B2411" s="9" t="s">
        <v>10679</v>
      </c>
      <c r="D2411" s="9" t="s">
        <v>10680</v>
      </c>
      <c r="G2411" s="9" t="s">
        <v>10680</v>
      </c>
      <c r="J2411" s="9" t="s">
        <v>10681</v>
      </c>
      <c r="O2411" s="10">
        <f>IFERROR(__xludf.DUMMYFUNCTION("VALUE(REGEXEXTRACT(A2411, ""\d+""))"),2803.0)</f>
        <v>2803</v>
      </c>
    </row>
    <row r="2412">
      <c r="A2412" s="9" t="s">
        <v>10682</v>
      </c>
      <c r="B2412" s="9" t="s">
        <v>10683</v>
      </c>
      <c r="D2412" s="9" t="s">
        <v>10684</v>
      </c>
      <c r="G2412" s="9" t="s">
        <v>10684</v>
      </c>
      <c r="J2412" s="9" t="s">
        <v>10685</v>
      </c>
      <c r="O2412" s="10">
        <f>IFERROR(__xludf.DUMMYFUNCTION("VALUE(REGEXEXTRACT(A2412, ""\d+""))"),2804.0)</f>
        <v>2804</v>
      </c>
    </row>
    <row r="2413">
      <c r="A2413" s="9" t="s">
        <v>10686</v>
      </c>
      <c r="B2413" s="9" t="s">
        <v>10687</v>
      </c>
      <c r="D2413" s="9" t="s">
        <v>10688</v>
      </c>
      <c r="G2413" s="9" t="s">
        <v>10688</v>
      </c>
      <c r="J2413" s="9" t="s">
        <v>10689</v>
      </c>
      <c r="O2413" s="10">
        <f>IFERROR(__xludf.DUMMYFUNCTION("VALUE(REGEXEXTRACT(A2413, ""\d+""))"),2805.0)</f>
        <v>2805</v>
      </c>
    </row>
    <row r="2414">
      <c r="A2414" s="9" t="s">
        <v>10690</v>
      </c>
      <c r="B2414" s="9" t="s">
        <v>10691</v>
      </c>
      <c r="D2414" s="9" t="s">
        <v>10692</v>
      </c>
      <c r="G2414" s="9" t="s">
        <v>10692</v>
      </c>
      <c r="J2414" s="9" t="s">
        <v>10693</v>
      </c>
      <c r="O2414" s="10">
        <f>IFERROR(__xludf.DUMMYFUNCTION("VALUE(REGEXEXTRACT(A2414, ""\d+""))"),2806.0)</f>
        <v>2806</v>
      </c>
    </row>
    <row r="2415">
      <c r="A2415" s="9" t="s">
        <v>10694</v>
      </c>
      <c r="B2415" s="9" t="s">
        <v>10695</v>
      </c>
      <c r="G2415" s="9" t="s">
        <v>10696</v>
      </c>
      <c r="O2415" s="10">
        <f>IFERROR(__xludf.DUMMYFUNCTION("VALUE(REGEXEXTRACT(A2415, ""\d+""))"),2807.0)</f>
        <v>2807</v>
      </c>
    </row>
    <row r="2416">
      <c r="A2416" s="9" t="s">
        <v>10697</v>
      </c>
      <c r="B2416" s="9" t="s">
        <v>10698</v>
      </c>
      <c r="D2416" s="9" t="s">
        <v>10699</v>
      </c>
      <c r="G2416" s="9" t="s">
        <v>10700</v>
      </c>
      <c r="J2416" s="9" t="s">
        <v>10701</v>
      </c>
      <c r="O2416" s="10">
        <f>IFERROR(__xludf.DUMMYFUNCTION("VALUE(REGEXEXTRACT(A2416, ""\d+""))"),2808.0)</f>
        <v>2808</v>
      </c>
    </row>
    <row r="2417">
      <c r="A2417" s="9" t="s">
        <v>10702</v>
      </c>
      <c r="B2417" s="9" t="s">
        <v>10703</v>
      </c>
      <c r="G2417" s="9" t="s">
        <v>10704</v>
      </c>
      <c r="O2417" s="10">
        <f>IFERROR(__xludf.DUMMYFUNCTION("VALUE(REGEXEXTRACT(A2417, ""\d+""))"),2809.0)</f>
        <v>2809</v>
      </c>
    </row>
    <row r="2418">
      <c r="A2418" s="9" t="s">
        <v>10705</v>
      </c>
      <c r="B2418" s="9" t="s">
        <v>10706</v>
      </c>
      <c r="D2418" s="9" t="s">
        <v>10707</v>
      </c>
      <c r="G2418" s="9" t="s">
        <v>10708</v>
      </c>
      <c r="J2418" s="9" t="s">
        <v>10706</v>
      </c>
      <c r="O2418" s="10">
        <f>IFERROR(__xludf.DUMMYFUNCTION("VALUE(REGEXEXTRACT(A2418, ""\d+""))"),2810.0)</f>
        <v>2810</v>
      </c>
    </row>
    <row r="2419">
      <c r="A2419" s="9" t="s">
        <v>10709</v>
      </c>
      <c r="B2419" s="9" t="s">
        <v>10710</v>
      </c>
      <c r="D2419" s="9" t="s">
        <v>10711</v>
      </c>
      <c r="G2419" s="9" t="s">
        <v>10712</v>
      </c>
      <c r="J2419" s="9" t="s">
        <v>10713</v>
      </c>
      <c r="O2419" s="10">
        <f>IFERROR(__xludf.DUMMYFUNCTION("VALUE(REGEXEXTRACT(A2419, ""\d+""))"),2811.0)</f>
        <v>2811</v>
      </c>
    </row>
    <row r="2420">
      <c r="A2420" s="9" t="s">
        <v>10714</v>
      </c>
      <c r="B2420" s="9" t="s">
        <v>10715</v>
      </c>
      <c r="D2420" s="9" t="s">
        <v>10716</v>
      </c>
      <c r="G2420" s="9" t="s">
        <v>10717</v>
      </c>
      <c r="J2420" s="9" t="s">
        <v>10718</v>
      </c>
      <c r="O2420" s="10">
        <f>IFERROR(__xludf.DUMMYFUNCTION("VALUE(REGEXEXTRACT(A2420, ""\d+""))"),2812.0)</f>
        <v>2812</v>
      </c>
    </row>
    <row r="2421">
      <c r="A2421" s="9" t="s">
        <v>10719</v>
      </c>
      <c r="B2421" s="9" t="s">
        <v>10720</v>
      </c>
      <c r="D2421" s="9" t="s">
        <v>10721</v>
      </c>
      <c r="G2421" s="9" t="s">
        <v>10722</v>
      </c>
      <c r="J2421" s="9" t="s">
        <v>10720</v>
      </c>
      <c r="O2421" s="10">
        <f>IFERROR(__xludf.DUMMYFUNCTION("VALUE(REGEXEXTRACT(A2421, ""\d+""))"),2813.0)</f>
        <v>2813</v>
      </c>
    </row>
    <row r="2422">
      <c r="A2422" s="9" t="s">
        <v>10723</v>
      </c>
      <c r="B2422" s="9" t="s">
        <v>10724</v>
      </c>
      <c r="D2422" s="9" t="s">
        <v>10725</v>
      </c>
      <c r="G2422" s="9" t="s">
        <v>10726</v>
      </c>
      <c r="J2422" s="9" t="s">
        <v>10727</v>
      </c>
      <c r="O2422" s="10">
        <f>IFERROR(__xludf.DUMMYFUNCTION("VALUE(REGEXEXTRACT(A2422, ""\d+""))"),2814.0)</f>
        <v>2814</v>
      </c>
    </row>
    <row r="2423">
      <c r="A2423" s="9" t="s">
        <v>10728</v>
      </c>
      <c r="B2423" s="9" t="s">
        <v>10729</v>
      </c>
      <c r="D2423" s="9" t="s">
        <v>10730</v>
      </c>
      <c r="G2423" s="9" t="s">
        <v>10731</v>
      </c>
      <c r="J2423" s="9" t="s">
        <v>10732</v>
      </c>
      <c r="O2423" s="10">
        <f>IFERROR(__xludf.DUMMYFUNCTION("VALUE(REGEXEXTRACT(A2423, ""\d+""))"),2815.0)</f>
        <v>2815</v>
      </c>
    </row>
    <row r="2424">
      <c r="A2424" s="9" t="s">
        <v>10733</v>
      </c>
      <c r="B2424" s="9" t="s">
        <v>10734</v>
      </c>
      <c r="D2424" s="9" t="s">
        <v>10735</v>
      </c>
      <c r="G2424" s="9" t="s">
        <v>10736</v>
      </c>
      <c r="J2424" s="9" t="s">
        <v>10734</v>
      </c>
      <c r="O2424" s="10">
        <f>IFERROR(__xludf.DUMMYFUNCTION("VALUE(REGEXEXTRACT(A2424, ""\d+""))"),2816.0)</f>
        <v>2816</v>
      </c>
    </row>
    <row r="2425">
      <c r="A2425" s="9" t="s">
        <v>10737</v>
      </c>
      <c r="B2425" s="9" t="s">
        <v>10738</v>
      </c>
      <c r="D2425" s="9" t="s">
        <v>10739</v>
      </c>
      <c r="G2425" s="9" t="s">
        <v>10740</v>
      </c>
      <c r="J2425" s="9" t="s">
        <v>10741</v>
      </c>
      <c r="O2425" s="10">
        <f>IFERROR(__xludf.DUMMYFUNCTION("VALUE(REGEXEXTRACT(A2425, ""\d+""))"),2817.0)</f>
        <v>2817</v>
      </c>
    </row>
    <row r="2426">
      <c r="A2426" s="9" t="s">
        <v>10742</v>
      </c>
      <c r="B2426" s="9" t="s">
        <v>10743</v>
      </c>
      <c r="G2426" s="9" t="s">
        <v>10744</v>
      </c>
      <c r="O2426" s="10">
        <f>IFERROR(__xludf.DUMMYFUNCTION("VALUE(REGEXEXTRACT(A2426, ""\d+""))"),2818.0)</f>
        <v>2818</v>
      </c>
    </row>
    <row r="2427">
      <c r="A2427" s="9" t="s">
        <v>10745</v>
      </c>
      <c r="B2427" s="9" t="s">
        <v>10746</v>
      </c>
      <c r="G2427" s="9" t="s">
        <v>10747</v>
      </c>
      <c r="O2427" s="10">
        <f>IFERROR(__xludf.DUMMYFUNCTION("VALUE(REGEXEXTRACT(A2427, ""\d+""))"),2819.0)</f>
        <v>2819</v>
      </c>
    </row>
    <row r="2428">
      <c r="A2428" s="9" t="s">
        <v>10748</v>
      </c>
      <c r="B2428" s="9" t="s">
        <v>10749</v>
      </c>
      <c r="D2428" s="9" t="s">
        <v>10750</v>
      </c>
      <c r="G2428" s="9" t="s">
        <v>10751</v>
      </c>
      <c r="J2428" s="9" t="s">
        <v>10752</v>
      </c>
      <c r="O2428" s="10">
        <f>IFERROR(__xludf.DUMMYFUNCTION("VALUE(REGEXEXTRACT(A2428, ""\d+""))"),2820.0)</f>
        <v>2820</v>
      </c>
    </row>
    <row r="2429">
      <c r="A2429" s="9" t="s">
        <v>10753</v>
      </c>
      <c r="B2429" s="9" t="s">
        <v>10754</v>
      </c>
      <c r="G2429" s="9" t="s">
        <v>10755</v>
      </c>
      <c r="O2429" s="10">
        <f>IFERROR(__xludf.DUMMYFUNCTION("VALUE(REGEXEXTRACT(A2429, ""\d+""))"),2821.0)</f>
        <v>2821</v>
      </c>
    </row>
    <row r="2430">
      <c r="A2430" s="9" t="s">
        <v>10756</v>
      </c>
      <c r="B2430" s="9" t="s">
        <v>10754</v>
      </c>
      <c r="D2430" s="9" t="s">
        <v>10757</v>
      </c>
      <c r="G2430" s="9" t="s">
        <v>10755</v>
      </c>
      <c r="J2430" s="9" t="s">
        <v>10758</v>
      </c>
      <c r="O2430" s="10">
        <f>IFERROR(__xludf.DUMMYFUNCTION("VALUE(REGEXEXTRACT(A2430, ""\d+""))"),2822.0)</f>
        <v>2822</v>
      </c>
    </row>
    <row r="2431">
      <c r="A2431" s="9" t="s">
        <v>10759</v>
      </c>
      <c r="B2431" s="9" t="s">
        <v>10760</v>
      </c>
      <c r="D2431" s="9" t="s">
        <v>10761</v>
      </c>
      <c r="G2431" s="9" t="s">
        <v>10762</v>
      </c>
      <c r="J2431" s="9" t="s">
        <v>10763</v>
      </c>
      <c r="O2431" s="10">
        <f>IFERROR(__xludf.DUMMYFUNCTION("VALUE(REGEXEXTRACT(A2431, ""\d+""))"),2823.0)</f>
        <v>2823</v>
      </c>
    </row>
    <row r="2432">
      <c r="A2432" s="9" t="s">
        <v>10764</v>
      </c>
      <c r="B2432" s="9" t="s">
        <v>10765</v>
      </c>
      <c r="D2432" s="9" t="s">
        <v>10766</v>
      </c>
      <c r="G2432" s="9" t="s">
        <v>10767</v>
      </c>
      <c r="J2432" s="9" t="s">
        <v>10768</v>
      </c>
      <c r="O2432" s="10">
        <f>IFERROR(__xludf.DUMMYFUNCTION("VALUE(REGEXEXTRACT(A2432, ""\d+""))"),2824.0)</f>
        <v>2824</v>
      </c>
    </row>
    <row r="2433">
      <c r="A2433" s="9" t="s">
        <v>10769</v>
      </c>
      <c r="B2433" s="9" t="s">
        <v>10770</v>
      </c>
      <c r="G2433" s="9" t="s">
        <v>10771</v>
      </c>
      <c r="O2433" s="10">
        <f>IFERROR(__xludf.DUMMYFUNCTION("VALUE(REGEXEXTRACT(A2433, ""\d+""))"),2825.0)</f>
        <v>2825</v>
      </c>
    </row>
    <row r="2434">
      <c r="A2434" s="9" t="s">
        <v>10772</v>
      </c>
      <c r="B2434" s="9" t="s">
        <v>10773</v>
      </c>
      <c r="G2434" s="9" t="s">
        <v>10774</v>
      </c>
      <c r="O2434" s="10">
        <f>IFERROR(__xludf.DUMMYFUNCTION("VALUE(REGEXEXTRACT(A2434, ""\d+""))"),2826.0)</f>
        <v>2826</v>
      </c>
    </row>
    <row r="2435">
      <c r="A2435" s="9" t="s">
        <v>10775</v>
      </c>
      <c r="B2435" s="9" t="s">
        <v>10776</v>
      </c>
      <c r="G2435" s="9" t="s">
        <v>10777</v>
      </c>
      <c r="O2435" s="10">
        <f>IFERROR(__xludf.DUMMYFUNCTION("VALUE(REGEXEXTRACT(A2435, ""\d+""))"),2827.0)</f>
        <v>2827</v>
      </c>
    </row>
    <row r="2436">
      <c r="A2436" s="9" t="s">
        <v>10778</v>
      </c>
      <c r="B2436" s="9" t="s">
        <v>10779</v>
      </c>
      <c r="D2436" s="9" t="s">
        <v>10780</v>
      </c>
      <c r="G2436" s="9" t="s">
        <v>10781</v>
      </c>
      <c r="J2436" s="9" t="s">
        <v>10782</v>
      </c>
      <c r="O2436" s="10">
        <f>IFERROR(__xludf.DUMMYFUNCTION("VALUE(REGEXEXTRACT(A2436, ""\d+""))"),2828.0)</f>
        <v>2828</v>
      </c>
    </row>
    <row r="2437">
      <c r="A2437" s="9" t="s">
        <v>10783</v>
      </c>
      <c r="B2437" s="9" t="s">
        <v>10784</v>
      </c>
      <c r="D2437" s="9" t="s">
        <v>10785</v>
      </c>
      <c r="G2437" s="9" t="s">
        <v>10786</v>
      </c>
      <c r="J2437" s="9" t="s">
        <v>10787</v>
      </c>
      <c r="O2437" s="10">
        <f>IFERROR(__xludf.DUMMYFUNCTION("VALUE(REGEXEXTRACT(A2437, ""\d+""))"),2829.0)</f>
        <v>2829</v>
      </c>
    </row>
    <row r="2438">
      <c r="A2438" s="9" t="s">
        <v>10788</v>
      </c>
      <c r="B2438" s="9" t="s">
        <v>10789</v>
      </c>
      <c r="D2438" s="9" t="s">
        <v>10790</v>
      </c>
      <c r="G2438" s="9" t="s">
        <v>10791</v>
      </c>
      <c r="J2438" s="9" t="s">
        <v>10792</v>
      </c>
      <c r="O2438" s="10">
        <f>IFERROR(__xludf.DUMMYFUNCTION("VALUE(REGEXEXTRACT(A2438, ""\d+""))"),2830.0)</f>
        <v>2830</v>
      </c>
    </row>
    <row r="2439">
      <c r="A2439" s="9" t="s">
        <v>10793</v>
      </c>
      <c r="B2439" s="9" t="s">
        <v>10794</v>
      </c>
      <c r="D2439" s="9" t="s">
        <v>10795</v>
      </c>
      <c r="G2439" s="9" t="s">
        <v>10796</v>
      </c>
      <c r="J2439" s="9" t="s">
        <v>10797</v>
      </c>
      <c r="O2439" s="10">
        <f>IFERROR(__xludf.DUMMYFUNCTION("VALUE(REGEXEXTRACT(A2439, ""\d+""))"),2831.0)</f>
        <v>2831</v>
      </c>
    </row>
    <row r="2440">
      <c r="A2440" s="9" t="s">
        <v>10798</v>
      </c>
      <c r="B2440" s="9" t="s">
        <v>10799</v>
      </c>
      <c r="D2440" s="9" t="s">
        <v>10800</v>
      </c>
      <c r="G2440" s="9" t="s">
        <v>10800</v>
      </c>
      <c r="J2440" s="9" t="s">
        <v>10801</v>
      </c>
      <c r="O2440" s="10">
        <f>IFERROR(__xludf.DUMMYFUNCTION("VALUE(REGEXEXTRACT(A2440, ""\d+""))"),2832.0)</f>
        <v>2832</v>
      </c>
    </row>
    <row r="2441">
      <c r="A2441" s="9" t="s">
        <v>10802</v>
      </c>
      <c r="B2441" s="9" t="s">
        <v>10803</v>
      </c>
      <c r="D2441" s="9" t="s">
        <v>10804</v>
      </c>
      <c r="G2441" s="9" t="s">
        <v>10805</v>
      </c>
      <c r="J2441" s="9" t="s">
        <v>10801</v>
      </c>
      <c r="O2441" s="10">
        <f>IFERROR(__xludf.DUMMYFUNCTION("VALUE(REGEXEXTRACT(A2441, ""\d+""))"),2833.0)</f>
        <v>2833</v>
      </c>
    </row>
    <row r="2442">
      <c r="A2442" s="9" t="s">
        <v>10806</v>
      </c>
      <c r="B2442" s="9" t="s">
        <v>10807</v>
      </c>
      <c r="D2442" s="9" t="s">
        <v>10808</v>
      </c>
      <c r="G2442" s="9" t="s">
        <v>10808</v>
      </c>
      <c r="J2442" s="9" t="s">
        <v>10809</v>
      </c>
      <c r="O2442" s="10">
        <f>IFERROR(__xludf.DUMMYFUNCTION("VALUE(REGEXEXTRACT(A2442, ""\d+""))"),2834.0)</f>
        <v>2834</v>
      </c>
    </row>
    <row r="2443">
      <c r="A2443" s="9" t="s">
        <v>10810</v>
      </c>
      <c r="B2443" s="9" t="s">
        <v>10811</v>
      </c>
      <c r="D2443" s="9" t="s">
        <v>10812</v>
      </c>
      <c r="G2443" s="9" t="s">
        <v>10813</v>
      </c>
      <c r="J2443" s="9" t="s">
        <v>10814</v>
      </c>
      <c r="O2443" s="10">
        <f>IFERROR(__xludf.DUMMYFUNCTION("VALUE(REGEXEXTRACT(A2443, ""\d+""))"),2835.0)</f>
        <v>2835</v>
      </c>
    </row>
    <row r="2444">
      <c r="A2444" s="9" t="s">
        <v>10815</v>
      </c>
      <c r="B2444" s="9" t="s">
        <v>10816</v>
      </c>
      <c r="D2444" s="9" t="s">
        <v>10817</v>
      </c>
      <c r="G2444" s="9" t="s">
        <v>10817</v>
      </c>
      <c r="J2444" s="9" t="s">
        <v>10818</v>
      </c>
      <c r="O2444" s="10">
        <f>IFERROR(__xludf.DUMMYFUNCTION("VALUE(REGEXEXTRACT(A2444, ""\d+""))"),2836.0)</f>
        <v>2836</v>
      </c>
    </row>
    <row r="2445">
      <c r="A2445" s="9" t="s">
        <v>10819</v>
      </c>
      <c r="B2445" s="9" t="s">
        <v>10820</v>
      </c>
      <c r="D2445" s="9" t="s">
        <v>10821</v>
      </c>
      <c r="G2445" s="9" t="s">
        <v>10822</v>
      </c>
      <c r="J2445" s="9" t="s">
        <v>10823</v>
      </c>
      <c r="O2445" s="10">
        <f>IFERROR(__xludf.DUMMYFUNCTION("VALUE(REGEXEXTRACT(A2445, ""\d+""))"),2837.0)</f>
        <v>2837</v>
      </c>
    </row>
    <row r="2446">
      <c r="A2446" s="9" t="s">
        <v>10824</v>
      </c>
      <c r="B2446" s="9" t="s">
        <v>10825</v>
      </c>
      <c r="D2446" s="9" t="s">
        <v>10826</v>
      </c>
      <c r="G2446" s="9" t="s">
        <v>10827</v>
      </c>
      <c r="J2446" s="9" t="s">
        <v>10828</v>
      </c>
      <c r="O2446" s="10">
        <f>IFERROR(__xludf.DUMMYFUNCTION("VALUE(REGEXEXTRACT(A2446, ""\d+""))"),2838.0)</f>
        <v>2838</v>
      </c>
    </row>
    <row r="2447">
      <c r="A2447" s="9" t="s">
        <v>10829</v>
      </c>
      <c r="B2447" s="9" t="s">
        <v>10830</v>
      </c>
      <c r="D2447" s="9" t="s">
        <v>10831</v>
      </c>
      <c r="G2447" s="9" t="s">
        <v>10832</v>
      </c>
      <c r="J2447" s="9" t="s">
        <v>10833</v>
      </c>
      <c r="O2447" s="10">
        <f>IFERROR(__xludf.DUMMYFUNCTION("VALUE(REGEXEXTRACT(A2447, ""\d+""))"),2839.0)</f>
        <v>2839</v>
      </c>
    </row>
    <row r="2448">
      <c r="A2448" s="9" t="s">
        <v>10834</v>
      </c>
      <c r="B2448" s="9" t="s">
        <v>10835</v>
      </c>
      <c r="D2448" s="9" t="s">
        <v>10836</v>
      </c>
      <c r="G2448" s="9" t="s">
        <v>10837</v>
      </c>
      <c r="J2448" s="9" t="s">
        <v>10838</v>
      </c>
      <c r="O2448" s="10">
        <f>IFERROR(__xludf.DUMMYFUNCTION("VALUE(REGEXEXTRACT(A2448, ""\d+""))"),2840.0)</f>
        <v>2840</v>
      </c>
    </row>
    <row r="2449">
      <c r="A2449" s="9" t="s">
        <v>10839</v>
      </c>
      <c r="B2449" s="9" t="s">
        <v>10840</v>
      </c>
      <c r="D2449" s="9" t="s">
        <v>10841</v>
      </c>
      <c r="G2449" s="9" t="s">
        <v>10841</v>
      </c>
      <c r="J2449" s="9" t="s">
        <v>10842</v>
      </c>
      <c r="O2449" s="10">
        <f>IFERROR(__xludf.DUMMYFUNCTION("VALUE(REGEXEXTRACT(A2449, ""\d+""))"),2841.0)</f>
        <v>2841</v>
      </c>
    </row>
    <row r="2450">
      <c r="A2450" s="9" t="s">
        <v>10843</v>
      </c>
      <c r="B2450" s="9" t="s">
        <v>10844</v>
      </c>
      <c r="D2450" s="9" t="s">
        <v>10845</v>
      </c>
      <c r="G2450" s="9" t="s">
        <v>10845</v>
      </c>
      <c r="J2450" s="9" t="s">
        <v>10846</v>
      </c>
      <c r="O2450" s="10">
        <f>IFERROR(__xludf.DUMMYFUNCTION("VALUE(REGEXEXTRACT(A2450, ""\d+""))"),2842.0)</f>
        <v>2842</v>
      </c>
    </row>
    <row r="2451">
      <c r="A2451" s="9" t="s">
        <v>10847</v>
      </c>
      <c r="B2451" s="9" t="s">
        <v>10848</v>
      </c>
      <c r="D2451" s="9" t="s">
        <v>10849</v>
      </c>
      <c r="G2451" s="9" t="s">
        <v>10850</v>
      </c>
      <c r="J2451" s="9" t="s">
        <v>10851</v>
      </c>
      <c r="O2451" s="10">
        <f>IFERROR(__xludf.DUMMYFUNCTION("VALUE(REGEXEXTRACT(A2451, ""\d+""))"),2843.0)</f>
        <v>2843</v>
      </c>
    </row>
    <row r="2452">
      <c r="A2452" s="9" t="s">
        <v>10852</v>
      </c>
      <c r="B2452" s="9" t="s">
        <v>10853</v>
      </c>
      <c r="G2452" s="9" t="s">
        <v>10854</v>
      </c>
      <c r="O2452" s="10">
        <f>IFERROR(__xludf.DUMMYFUNCTION("VALUE(REGEXEXTRACT(A2452, ""\d+""))"),2844.0)</f>
        <v>2844</v>
      </c>
    </row>
    <row r="2453">
      <c r="A2453" s="9" t="s">
        <v>10855</v>
      </c>
      <c r="B2453" s="9" t="s">
        <v>10856</v>
      </c>
      <c r="D2453" s="9" t="s">
        <v>10857</v>
      </c>
      <c r="G2453" s="9" t="s">
        <v>10858</v>
      </c>
      <c r="J2453" s="9" t="s">
        <v>10859</v>
      </c>
      <c r="O2453" s="10">
        <f>IFERROR(__xludf.DUMMYFUNCTION("VALUE(REGEXEXTRACT(A2453, ""\d+""))"),2845.0)</f>
        <v>2845</v>
      </c>
    </row>
    <row r="2454">
      <c r="A2454" s="9" t="s">
        <v>10860</v>
      </c>
      <c r="B2454" s="9" t="s">
        <v>10861</v>
      </c>
      <c r="D2454" s="9" t="s">
        <v>10862</v>
      </c>
      <c r="G2454" s="9" t="s">
        <v>10863</v>
      </c>
      <c r="J2454" s="9" t="s">
        <v>10864</v>
      </c>
      <c r="O2454" s="10">
        <f>IFERROR(__xludf.DUMMYFUNCTION("VALUE(REGEXEXTRACT(A2454, ""\d+""))"),2846.0)</f>
        <v>2846</v>
      </c>
    </row>
    <row r="2455">
      <c r="A2455" s="9" t="s">
        <v>10865</v>
      </c>
      <c r="B2455" s="9" t="s">
        <v>10866</v>
      </c>
      <c r="D2455" s="9" t="s">
        <v>10867</v>
      </c>
      <c r="G2455" s="9" t="s">
        <v>10868</v>
      </c>
      <c r="J2455" s="9" t="s">
        <v>10869</v>
      </c>
      <c r="O2455" s="10">
        <f>IFERROR(__xludf.DUMMYFUNCTION("VALUE(REGEXEXTRACT(A2455, ""\d+""))"),2847.0)</f>
        <v>2847</v>
      </c>
    </row>
    <row r="2456">
      <c r="A2456" s="9" t="s">
        <v>10870</v>
      </c>
      <c r="B2456" s="9" t="s">
        <v>10871</v>
      </c>
      <c r="D2456" s="9" t="s">
        <v>10872</v>
      </c>
      <c r="G2456" s="9" t="s">
        <v>10873</v>
      </c>
      <c r="J2456" s="9" t="s">
        <v>10874</v>
      </c>
      <c r="O2456" s="10">
        <f>IFERROR(__xludf.DUMMYFUNCTION("VALUE(REGEXEXTRACT(A2456, ""\d+""))"),2848.0)</f>
        <v>2848</v>
      </c>
    </row>
    <row r="2457">
      <c r="A2457" s="9" t="s">
        <v>10875</v>
      </c>
      <c r="B2457" s="9" t="s">
        <v>10876</v>
      </c>
      <c r="D2457" s="9" t="s">
        <v>10877</v>
      </c>
      <c r="G2457" s="9" t="s">
        <v>10878</v>
      </c>
      <c r="J2457" s="9" t="s">
        <v>10879</v>
      </c>
      <c r="O2457" s="10">
        <f>IFERROR(__xludf.DUMMYFUNCTION("VALUE(REGEXEXTRACT(A2457, ""\d+""))"),2849.0)</f>
        <v>2849</v>
      </c>
    </row>
    <row r="2458">
      <c r="A2458" s="9" t="s">
        <v>10880</v>
      </c>
      <c r="B2458" s="9" t="s">
        <v>10881</v>
      </c>
      <c r="D2458" s="9" t="s">
        <v>10882</v>
      </c>
      <c r="G2458" s="9" t="s">
        <v>10883</v>
      </c>
      <c r="J2458" s="9" t="s">
        <v>10884</v>
      </c>
      <c r="O2458" s="10">
        <f>IFERROR(__xludf.DUMMYFUNCTION("VALUE(REGEXEXTRACT(A2458, ""\d+""))"),2850.0)</f>
        <v>2850</v>
      </c>
    </row>
    <row r="2459">
      <c r="A2459" s="9" t="s">
        <v>10885</v>
      </c>
      <c r="B2459" s="9" t="s">
        <v>10886</v>
      </c>
      <c r="D2459" s="9" t="s">
        <v>10887</v>
      </c>
      <c r="G2459" s="9" t="s">
        <v>10888</v>
      </c>
      <c r="J2459" s="9" t="s">
        <v>10889</v>
      </c>
      <c r="O2459" s="10">
        <f>IFERROR(__xludf.DUMMYFUNCTION("VALUE(REGEXEXTRACT(A2459, ""\d+""))"),2851.0)</f>
        <v>2851</v>
      </c>
    </row>
    <row r="2460">
      <c r="A2460" s="9" t="s">
        <v>10890</v>
      </c>
      <c r="B2460" s="9" t="s">
        <v>10891</v>
      </c>
      <c r="D2460" s="9" t="s">
        <v>10892</v>
      </c>
      <c r="G2460" s="9" t="s">
        <v>10893</v>
      </c>
      <c r="J2460" s="9" t="s">
        <v>10894</v>
      </c>
      <c r="O2460" s="10">
        <f>IFERROR(__xludf.DUMMYFUNCTION("VALUE(REGEXEXTRACT(A2460, ""\d+""))"),2852.0)</f>
        <v>2852</v>
      </c>
    </row>
    <row r="2461">
      <c r="A2461" s="9" t="s">
        <v>10895</v>
      </c>
      <c r="B2461" s="9" t="s">
        <v>10896</v>
      </c>
      <c r="D2461" s="9" t="s">
        <v>10897</v>
      </c>
      <c r="G2461" s="9" t="s">
        <v>10898</v>
      </c>
      <c r="J2461" s="9" t="s">
        <v>10899</v>
      </c>
      <c r="O2461" s="10">
        <f>IFERROR(__xludf.DUMMYFUNCTION("VALUE(REGEXEXTRACT(A2461, ""\d+""))"),2853.0)</f>
        <v>2853</v>
      </c>
    </row>
    <row r="2462">
      <c r="A2462" s="9" t="s">
        <v>10900</v>
      </c>
      <c r="B2462" s="9" t="s">
        <v>10901</v>
      </c>
      <c r="D2462" s="9" t="s">
        <v>10902</v>
      </c>
      <c r="G2462" s="9" t="s">
        <v>10903</v>
      </c>
      <c r="J2462" s="9" t="s">
        <v>10904</v>
      </c>
      <c r="O2462" s="10">
        <f>IFERROR(__xludf.DUMMYFUNCTION("VALUE(REGEXEXTRACT(A2462, ""\d+""))"),2854.0)</f>
        <v>2854</v>
      </c>
    </row>
    <row r="2463">
      <c r="A2463" s="9" t="s">
        <v>10905</v>
      </c>
      <c r="B2463" s="9" t="s">
        <v>10906</v>
      </c>
      <c r="D2463" s="9" t="s">
        <v>10907</v>
      </c>
      <c r="G2463" s="9" t="s">
        <v>10908</v>
      </c>
      <c r="J2463" s="9" t="s">
        <v>10909</v>
      </c>
      <c r="O2463" s="10">
        <f>IFERROR(__xludf.DUMMYFUNCTION("VALUE(REGEXEXTRACT(A2463, ""\d+""))"),2855.0)</f>
        <v>2855</v>
      </c>
    </row>
    <row r="2464">
      <c r="A2464" s="9" t="s">
        <v>10910</v>
      </c>
      <c r="B2464" s="9" t="s">
        <v>10911</v>
      </c>
      <c r="D2464" s="9" t="s">
        <v>10887</v>
      </c>
      <c r="G2464" s="9" t="s">
        <v>10888</v>
      </c>
      <c r="J2464" s="9" t="s">
        <v>10912</v>
      </c>
      <c r="O2464" s="10">
        <f>IFERROR(__xludf.DUMMYFUNCTION("VALUE(REGEXEXTRACT(A2464, ""\d+""))"),2856.0)</f>
        <v>2856</v>
      </c>
    </row>
    <row r="2465">
      <c r="A2465" s="9" t="s">
        <v>10913</v>
      </c>
      <c r="B2465" s="9" t="s">
        <v>10914</v>
      </c>
      <c r="D2465" s="9" t="s">
        <v>10892</v>
      </c>
      <c r="G2465" s="9" t="s">
        <v>10893</v>
      </c>
      <c r="J2465" s="9" t="s">
        <v>10915</v>
      </c>
      <c r="O2465" s="10">
        <f>IFERROR(__xludf.DUMMYFUNCTION("VALUE(REGEXEXTRACT(A2465, ""\d+""))"),2857.0)</f>
        <v>2857</v>
      </c>
    </row>
    <row r="2466">
      <c r="A2466" s="9" t="s">
        <v>10916</v>
      </c>
      <c r="B2466" s="9" t="s">
        <v>10917</v>
      </c>
      <c r="G2466" s="9" t="s">
        <v>10918</v>
      </c>
      <c r="O2466" s="10">
        <f>IFERROR(__xludf.DUMMYFUNCTION("VALUE(REGEXEXTRACT(A2466, ""\d+""))"),2858.0)</f>
        <v>2858</v>
      </c>
    </row>
    <row r="2467">
      <c r="A2467" s="9" t="s">
        <v>10919</v>
      </c>
      <c r="B2467" s="9" t="s">
        <v>10920</v>
      </c>
      <c r="G2467" s="9" t="s">
        <v>10921</v>
      </c>
      <c r="O2467" s="10">
        <f>IFERROR(__xludf.DUMMYFUNCTION("VALUE(REGEXEXTRACT(A2467, ""\d+""))"),2859.0)</f>
        <v>2859</v>
      </c>
    </row>
    <row r="2468">
      <c r="A2468" s="9" t="s">
        <v>10922</v>
      </c>
      <c r="B2468" s="9" t="s">
        <v>10923</v>
      </c>
      <c r="G2468" s="9" t="s">
        <v>10924</v>
      </c>
      <c r="O2468" s="10">
        <f>IFERROR(__xludf.DUMMYFUNCTION("VALUE(REGEXEXTRACT(A2468, ""\d+""))"),2860.0)</f>
        <v>2860</v>
      </c>
    </row>
    <row r="2469">
      <c r="A2469" s="9" t="s">
        <v>10925</v>
      </c>
      <c r="B2469" s="9" t="s">
        <v>10926</v>
      </c>
      <c r="G2469" s="9" t="s">
        <v>10927</v>
      </c>
      <c r="O2469" s="10">
        <f>IFERROR(__xludf.DUMMYFUNCTION("VALUE(REGEXEXTRACT(A2469, ""\d+""))"),2861.0)</f>
        <v>2861</v>
      </c>
    </row>
    <row r="2470">
      <c r="A2470" s="9" t="s">
        <v>10928</v>
      </c>
      <c r="B2470" s="9" t="s">
        <v>10929</v>
      </c>
      <c r="D2470" s="9" t="s">
        <v>10930</v>
      </c>
      <c r="G2470" s="9" t="s">
        <v>10931</v>
      </c>
      <c r="J2470" s="9" t="s">
        <v>10932</v>
      </c>
      <c r="O2470" s="10">
        <f>IFERROR(__xludf.DUMMYFUNCTION("VALUE(REGEXEXTRACT(A2470, ""\d+""))"),2862.0)</f>
        <v>2862</v>
      </c>
    </row>
    <row r="2471">
      <c r="A2471" s="9" t="s">
        <v>10933</v>
      </c>
      <c r="B2471" s="9" t="s">
        <v>10934</v>
      </c>
      <c r="G2471" s="9" t="s">
        <v>10935</v>
      </c>
      <c r="O2471" s="10">
        <f>IFERROR(__xludf.DUMMYFUNCTION("VALUE(REGEXEXTRACT(A2471, ""\d+""))"),2863.0)</f>
        <v>2863</v>
      </c>
    </row>
    <row r="2472">
      <c r="A2472" s="9" t="s">
        <v>10936</v>
      </c>
      <c r="B2472" s="9" t="s">
        <v>10937</v>
      </c>
      <c r="G2472" s="9" t="s">
        <v>10938</v>
      </c>
      <c r="O2472" s="10">
        <f>IFERROR(__xludf.DUMMYFUNCTION("VALUE(REGEXEXTRACT(A2472, ""\d+""))"),2864.0)</f>
        <v>2864</v>
      </c>
    </row>
    <row r="2473">
      <c r="A2473" s="9" t="s">
        <v>10939</v>
      </c>
      <c r="B2473" s="9" t="s">
        <v>10940</v>
      </c>
      <c r="D2473" s="9" t="s">
        <v>10941</v>
      </c>
      <c r="G2473" s="9" t="s">
        <v>10942</v>
      </c>
      <c r="J2473" s="9" t="s">
        <v>10943</v>
      </c>
      <c r="O2473" s="10">
        <f>IFERROR(__xludf.DUMMYFUNCTION("VALUE(REGEXEXTRACT(A2473, ""\d+""))"),2865.0)</f>
        <v>2865</v>
      </c>
    </row>
    <row r="2474">
      <c r="A2474" s="9" t="s">
        <v>10944</v>
      </c>
      <c r="B2474" s="9" t="s">
        <v>10945</v>
      </c>
      <c r="G2474" s="9" t="s">
        <v>10946</v>
      </c>
      <c r="O2474" s="10">
        <f>IFERROR(__xludf.DUMMYFUNCTION("VALUE(REGEXEXTRACT(A2474, ""\d+""))"),2866.0)</f>
        <v>2866</v>
      </c>
    </row>
    <row r="2475">
      <c r="A2475" s="9" t="s">
        <v>10947</v>
      </c>
      <c r="B2475" s="9" t="s">
        <v>10948</v>
      </c>
      <c r="D2475" s="9" t="s">
        <v>10949</v>
      </c>
      <c r="G2475" s="9" t="s">
        <v>10949</v>
      </c>
      <c r="J2475" s="9" t="s">
        <v>10950</v>
      </c>
      <c r="O2475" s="10">
        <f>IFERROR(__xludf.DUMMYFUNCTION("VALUE(REGEXEXTRACT(A2475, ""\d+""))"),2867.0)</f>
        <v>2867</v>
      </c>
    </row>
    <row r="2476">
      <c r="A2476" s="9" t="s">
        <v>10951</v>
      </c>
      <c r="B2476" s="9" t="s">
        <v>10952</v>
      </c>
      <c r="G2476" s="11" t="s">
        <v>10953</v>
      </c>
      <c r="O2476" s="10">
        <f>IFERROR(__xludf.DUMMYFUNCTION("VALUE(REGEXEXTRACT(A2476, ""\d+""))"),2868.0)</f>
        <v>2868</v>
      </c>
    </row>
    <row r="2477">
      <c r="A2477" s="9" t="s">
        <v>10954</v>
      </c>
      <c r="B2477" s="9" t="s">
        <v>10955</v>
      </c>
      <c r="D2477" s="9" t="s">
        <v>10956</v>
      </c>
      <c r="G2477" s="9" t="s">
        <v>10956</v>
      </c>
      <c r="J2477" s="9" t="s">
        <v>10957</v>
      </c>
      <c r="O2477" s="10">
        <f>IFERROR(__xludf.DUMMYFUNCTION("VALUE(REGEXEXTRACT(A2477, ""\d+""))"),2869.0)</f>
        <v>2869</v>
      </c>
    </row>
    <row r="2478">
      <c r="A2478" s="9" t="s">
        <v>10958</v>
      </c>
      <c r="B2478" s="9" t="s">
        <v>10959</v>
      </c>
      <c r="D2478" s="9" t="s">
        <v>10960</v>
      </c>
      <c r="G2478" s="9" t="s">
        <v>10961</v>
      </c>
      <c r="J2478" s="9" t="s">
        <v>10962</v>
      </c>
      <c r="O2478" s="10">
        <f>IFERROR(__xludf.DUMMYFUNCTION("VALUE(REGEXEXTRACT(A2478, ""\d+""))"),2870.0)</f>
        <v>2870</v>
      </c>
    </row>
    <row r="2479">
      <c r="A2479" s="9" t="s">
        <v>10963</v>
      </c>
      <c r="B2479" s="9" t="s">
        <v>10964</v>
      </c>
      <c r="G2479" s="9" t="s">
        <v>10965</v>
      </c>
      <c r="O2479" s="10">
        <f>IFERROR(__xludf.DUMMYFUNCTION("VALUE(REGEXEXTRACT(A2479, ""\d+""))"),2871.0)</f>
        <v>2871</v>
      </c>
    </row>
    <row r="2480">
      <c r="A2480" s="9" t="s">
        <v>10966</v>
      </c>
      <c r="B2480" s="9" t="s">
        <v>10967</v>
      </c>
      <c r="G2480" s="9" t="s">
        <v>10968</v>
      </c>
      <c r="O2480" s="10">
        <f>IFERROR(__xludf.DUMMYFUNCTION("VALUE(REGEXEXTRACT(A2480, ""\d+""))"),2872.0)</f>
        <v>2872</v>
      </c>
    </row>
    <row r="2481">
      <c r="A2481" s="9" t="s">
        <v>10969</v>
      </c>
      <c r="B2481" s="9" t="s">
        <v>10970</v>
      </c>
      <c r="G2481" s="9" t="s">
        <v>10971</v>
      </c>
      <c r="O2481" s="10">
        <f>IFERROR(__xludf.DUMMYFUNCTION("VALUE(REGEXEXTRACT(A2481, ""\d+""))"),2873.0)</f>
        <v>2873</v>
      </c>
    </row>
    <row r="2482">
      <c r="A2482" s="9" t="s">
        <v>10972</v>
      </c>
      <c r="B2482" s="9" t="s">
        <v>10973</v>
      </c>
      <c r="D2482" s="9" t="s">
        <v>10974</v>
      </c>
      <c r="G2482" s="9" t="s">
        <v>10975</v>
      </c>
      <c r="J2482" s="9" t="s">
        <v>10976</v>
      </c>
      <c r="O2482" s="10">
        <f>IFERROR(__xludf.DUMMYFUNCTION("VALUE(REGEXEXTRACT(A2482, ""\d+""))"),2874.0)</f>
        <v>2874</v>
      </c>
    </row>
    <row r="2483">
      <c r="A2483" s="9" t="s">
        <v>10977</v>
      </c>
      <c r="B2483" s="9" t="s">
        <v>10978</v>
      </c>
      <c r="D2483" s="9" t="s">
        <v>10979</v>
      </c>
      <c r="G2483" s="9" t="s">
        <v>10980</v>
      </c>
      <c r="J2483" s="9" t="s">
        <v>10981</v>
      </c>
      <c r="O2483" s="10">
        <f>IFERROR(__xludf.DUMMYFUNCTION("VALUE(REGEXEXTRACT(A2483, ""\d+""))"),2875.0)</f>
        <v>2875</v>
      </c>
    </row>
    <row r="2484">
      <c r="A2484" s="9" t="s">
        <v>10982</v>
      </c>
      <c r="B2484" s="9" t="s">
        <v>10983</v>
      </c>
      <c r="G2484" s="9" t="s">
        <v>10984</v>
      </c>
      <c r="O2484" s="10">
        <f>IFERROR(__xludf.DUMMYFUNCTION("VALUE(REGEXEXTRACT(A2484, ""\d+""))"),2876.0)</f>
        <v>2876</v>
      </c>
    </row>
    <row r="2485">
      <c r="A2485" s="9" t="s">
        <v>10985</v>
      </c>
      <c r="B2485" s="9" t="s">
        <v>10986</v>
      </c>
      <c r="D2485" s="9" t="s">
        <v>10987</v>
      </c>
      <c r="G2485" s="9" t="s">
        <v>10988</v>
      </c>
      <c r="J2485" s="9" t="s">
        <v>10989</v>
      </c>
      <c r="O2485" s="10">
        <f>IFERROR(__xludf.DUMMYFUNCTION("VALUE(REGEXEXTRACT(A2485, ""\d+""))"),2877.0)</f>
        <v>2877</v>
      </c>
    </row>
    <row r="2486">
      <c r="A2486" s="9" t="s">
        <v>10990</v>
      </c>
      <c r="B2486" s="9" t="s">
        <v>10991</v>
      </c>
      <c r="D2486" s="9" t="s">
        <v>10992</v>
      </c>
      <c r="G2486" s="9" t="s">
        <v>10993</v>
      </c>
      <c r="J2486" s="9" t="s">
        <v>10994</v>
      </c>
      <c r="O2486" s="10">
        <f>IFERROR(__xludf.DUMMYFUNCTION("VALUE(REGEXEXTRACT(A2486, ""\d+""))"),2878.0)</f>
        <v>2878</v>
      </c>
    </row>
    <row r="2487">
      <c r="A2487" s="9" t="s">
        <v>10995</v>
      </c>
      <c r="B2487" s="9" t="s">
        <v>10996</v>
      </c>
      <c r="D2487" s="9" t="s">
        <v>10997</v>
      </c>
      <c r="G2487" s="9" t="s">
        <v>10998</v>
      </c>
      <c r="J2487" s="9" t="s">
        <v>10999</v>
      </c>
      <c r="O2487" s="10">
        <f>IFERROR(__xludf.DUMMYFUNCTION("VALUE(REGEXEXTRACT(A2487, ""\d+""))"),2879.0)</f>
        <v>2879</v>
      </c>
    </row>
    <row r="2488">
      <c r="A2488" s="9" t="s">
        <v>11000</v>
      </c>
      <c r="B2488" s="9" t="s">
        <v>11001</v>
      </c>
      <c r="D2488" s="9" t="s">
        <v>11002</v>
      </c>
      <c r="G2488" s="9" t="s">
        <v>11002</v>
      </c>
      <c r="J2488" s="9" t="s">
        <v>11003</v>
      </c>
      <c r="O2488" s="10">
        <f>IFERROR(__xludf.DUMMYFUNCTION("VALUE(REGEXEXTRACT(A2488, ""\d+""))"),2880.0)</f>
        <v>2880</v>
      </c>
    </row>
    <row r="2489">
      <c r="A2489" s="9" t="s">
        <v>11004</v>
      </c>
      <c r="B2489" s="9" t="s">
        <v>11005</v>
      </c>
      <c r="D2489" s="9" t="s">
        <v>11006</v>
      </c>
      <c r="G2489" s="9" t="s">
        <v>11007</v>
      </c>
      <c r="J2489" s="9" t="s">
        <v>11008</v>
      </c>
      <c r="O2489" s="10">
        <f>IFERROR(__xludf.DUMMYFUNCTION("VALUE(REGEXEXTRACT(A2489, ""\d+""))"),2881.0)</f>
        <v>2881</v>
      </c>
    </row>
    <row r="2490">
      <c r="A2490" s="9" t="s">
        <v>11009</v>
      </c>
      <c r="B2490" s="9" t="s">
        <v>11010</v>
      </c>
      <c r="D2490" s="9" t="s">
        <v>11011</v>
      </c>
      <c r="G2490" s="9" t="s">
        <v>11012</v>
      </c>
      <c r="J2490" s="9" t="s">
        <v>11013</v>
      </c>
      <c r="O2490" s="10">
        <f>IFERROR(__xludf.DUMMYFUNCTION("VALUE(REGEXEXTRACT(A2490, ""\d+""))"),2882.0)</f>
        <v>2882</v>
      </c>
    </row>
    <row r="2491">
      <c r="A2491" s="9" t="s">
        <v>11014</v>
      </c>
      <c r="B2491" s="9" t="s">
        <v>11015</v>
      </c>
      <c r="D2491" s="9" t="s">
        <v>11016</v>
      </c>
      <c r="G2491" s="9" t="s">
        <v>11016</v>
      </c>
      <c r="J2491" s="9" t="s">
        <v>11017</v>
      </c>
      <c r="O2491" s="10">
        <f>IFERROR(__xludf.DUMMYFUNCTION("VALUE(REGEXEXTRACT(A2491, ""\d+""))"),2883.0)</f>
        <v>2883</v>
      </c>
    </row>
    <row r="2492">
      <c r="A2492" s="9" t="s">
        <v>11018</v>
      </c>
      <c r="B2492" s="9" t="s">
        <v>11019</v>
      </c>
      <c r="D2492" s="9" t="s">
        <v>11020</v>
      </c>
      <c r="G2492" s="9" t="s">
        <v>11021</v>
      </c>
      <c r="J2492" s="9" t="s">
        <v>11022</v>
      </c>
      <c r="O2492" s="10">
        <f>IFERROR(__xludf.DUMMYFUNCTION("VALUE(REGEXEXTRACT(A2492, ""\d+""))"),2884.0)</f>
        <v>2884</v>
      </c>
    </row>
    <row r="2493">
      <c r="A2493" s="9" t="s">
        <v>11023</v>
      </c>
      <c r="B2493" s="9" t="s">
        <v>11024</v>
      </c>
      <c r="D2493" s="9" t="s">
        <v>11025</v>
      </c>
      <c r="G2493" s="9" t="s">
        <v>11026</v>
      </c>
      <c r="J2493" s="9" t="s">
        <v>11027</v>
      </c>
      <c r="O2493" s="10">
        <f>IFERROR(__xludf.DUMMYFUNCTION("VALUE(REGEXEXTRACT(A2493, ""\d+""))"),2885.0)</f>
        <v>2885</v>
      </c>
    </row>
    <row r="2494">
      <c r="A2494" s="9" t="s">
        <v>11028</v>
      </c>
      <c r="B2494" s="9" t="s">
        <v>11029</v>
      </c>
      <c r="D2494" s="9" t="s">
        <v>11030</v>
      </c>
      <c r="G2494" s="9" t="s">
        <v>11030</v>
      </c>
      <c r="J2494" s="9" t="s">
        <v>11031</v>
      </c>
      <c r="O2494" s="10">
        <f>IFERROR(__xludf.DUMMYFUNCTION("VALUE(REGEXEXTRACT(A2494, ""\d+""))"),2886.0)</f>
        <v>2886</v>
      </c>
    </row>
    <row r="2495">
      <c r="A2495" s="9" t="s">
        <v>11032</v>
      </c>
      <c r="B2495" s="9" t="s">
        <v>11033</v>
      </c>
      <c r="D2495" s="9" t="s">
        <v>11034</v>
      </c>
      <c r="G2495" s="9" t="s">
        <v>11035</v>
      </c>
      <c r="J2495" s="9" t="s">
        <v>11036</v>
      </c>
      <c r="O2495" s="10">
        <f>IFERROR(__xludf.DUMMYFUNCTION("VALUE(REGEXEXTRACT(A2495, ""\d+""))"),2887.0)</f>
        <v>2887</v>
      </c>
    </row>
    <row r="2496">
      <c r="A2496" s="9" t="s">
        <v>11037</v>
      </c>
      <c r="B2496" s="9" t="s">
        <v>11038</v>
      </c>
      <c r="D2496" s="9" t="s">
        <v>11039</v>
      </c>
      <c r="G2496" s="9" t="s">
        <v>11040</v>
      </c>
      <c r="J2496" s="9" t="s">
        <v>11041</v>
      </c>
      <c r="O2496" s="10">
        <f>IFERROR(__xludf.DUMMYFUNCTION("VALUE(REGEXEXTRACT(A2496, ""\d+""))"),2888.0)</f>
        <v>2888</v>
      </c>
    </row>
    <row r="2497">
      <c r="A2497" s="9" t="s">
        <v>11042</v>
      </c>
      <c r="B2497" s="9" t="s">
        <v>11043</v>
      </c>
      <c r="D2497" s="9" t="s">
        <v>11044</v>
      </c>
      <c r="G2497" s="9" t="s">
        <v>11045</v>
      </c>
      <c r="J2497" s="9" t="s">
        <v>11046</v>
      </c>
      <c r="O2497" s="10">
        <f>IFERROR(__xludf.DUMMYFUNCTION("VALUE(REGEXEXTRACT(A2497, ""\d+""))"),2889.0)</f>
        <v>2889</v>
      </c>
    </row>
    <row r="2498">
      <c r="A2498" s="9" t="s">
        <v>11047</v>
      </c>
      <c r="B2498" s="9" t="s">
        <v>11048</v>
      </c>
      <c r="D2498" s="9" t="s">
        <v>11049</v>
      </c>
      <c r="G2498" s="9" t="s">
        <v>11050</v>
      </c>
      <c r="J2498" s="9" t="s">
        <v>11051</v>
      </c>
      <c r="O2498" s="10">
        <f>IFERROR(__xludf.DUMMYFUNCTION("VALUE(REGEXEXTRACT(A2498, ""\d+""))"),2890.0)</f>
        <v>2890</v>
      </c>
    </row>
    <row r="2499">
      <c r="A2499" s="9" t="s">
        <v>11052</v>
      </c>
      <c r="B2499" s="9" t="s">
        <v>11053</v>
      </c>
      <c r="D2499" s="9" t="s">
        <v>11054</v>
      </c>
      <c r="G2499" s="9" t="s">
        <v>11054</v>
      </c>
      <c r="J2499" s="9" t="s">
        <v>11055</v>
      </c>
      <c r="O2499" s="10">
        <f>IFERROR(__xludf.DUMMYFUNCTION("VALUE(REGEXEXTRACT(A2499, ""\d+""))"),2891.0)</f>
        <v>2891</v>
      </c>
    </row>
    <row r="2500">
      <c r="A2500" s="9" t="s">
        <v>11056</v>
      </c>
      <c r="B2500" s="9" t="s">
        <v>11057</v>
      </c>
      <c r="D2500" s="9" t="s">
        <v>11058</v>
      </c>
      <c r="G2500" s="9" t="s">
        <v>11059</v>
      </c>
      <c r="J2500" s="9" t="s">
        <v>11060</v>
      </c>
      <c r="O2500" s="10">
        <f>IFERROR(__xludf.DUMMYFUNCTION("VALUE(REGEXEXTRACT(A2500, ""\d+""))"),2892.0)</f>
        <v>2892</v>
      </c>
    </row>
    <row r="2501">
      <c r="A2501" s="9" t="s">
        <v>11061</v>
      </c>
      <c r="B2501" s="9" t="s">
        <v>11062</v>
      </c>
      <c r="D2501" s="9" t="s">
        <v>11063</v>
      </c>
      <c r="G2501" s="9" t="s">
        <v>11064</v>
      </c>
      <c r="J2501" s="9" t="s">
        <v>11065</v>
      </c>
      <c r="O2501" s="10">
        <f>IFERROR(__xludf.DUMMYFUNCTION("VALUE(REGEXEXTRACT(A2501, ""\d+""))"),2893.0)</f>
        <v>2893</v>
      </c>
    </row>
    <row r="2502">
      <c r="A2502" s="9" t="s">
        <v>11066</v>
      </c>
      <c r="B2502" s="9" t="s">
        <v>11067</v>
      </c>
      <c r="G2502" s="9" t="s">
        <v>11068</v>
      </c>
      <c r="O2502" s="10">
        <f>IFERROR(__xludf.DUMMYFUNCTION("VALUE(REGEXEXTRACT(A2502, ""\d+""))"),2894.0)</f>
        <v>2894</v>
      </c>
    </row>
    <row r="2503">
      <c r="A2503" s="9" t="s">
        <v>11069</v>
      </c>
      <c r="B2503" s="9" t="s">
        <v>11070</v>
      </c>
      <c r="G2503" s="9" t="s">
        <v>11071</v>
      </c>
      <c r="O2503" s="10">
        <f>IFERROR(__xludf.DUMMYFUNCTION("VALUE(REGEXEXTRACT(A2503, ""\d+""))"),2895.0)</f>
        <v>2895</v>
      </c>
    </row>
    <row r="2504">
      <c r="A2504" s="9" t="s">
        <v>11072</v>
      </c>
      <c r="B2504" s="9" t="s">
        <v>11073</v>
      </c>
      <c r="D2504" s="9" t="s">
        <v>11074</v>
      </c>
      <c r="G2504" s="9" t="s">
        <v>11074</v>
      </c>
      <c r="J2504" s="9" t="s">
        <v>11075</v>
      </c>
      <c r="O2504" s="10">
        <f>IFERROR(__xludf.DUMMYFUNCTION("VALUE(REGEXEXTRACT(A2504, ""\d+""))"),2896.0)</f>
        <v>2896</v>
      </c>
    </row>
    <row r="2505">
      <c r="A2505" s="9" t="s">
        <v>11076</v>
      </c>
      <c r="B2505" s="9" t="s">
        <v>11077</v>
      </c>
      <c r="D2505" s="9" t="s">
        <v>11078</v>
      </c>
      <c r="G2505" s="9" t="s">
        <v>11079</v>
      </c>
      <c r="J2505" s="9" t="s">
        <v>11080</v>
      </c>
      <c r="O2505" s="10">
        <f>IFERROR(__xludf.DUMMYFUNCTION("VALUE(REGEXEXTRACT(A2505, ""\d+""))"),2897.0)</f>
        <v>2897</v>
      </c>
    </row>
    <row r="2506">
      <c r="A2506" s="9" t="s">
        <v>11081</v>
      </c>
      <c r="B2506" s="9" t="s">
        <v>11082</v>
      </c>
      <c r="D2506" s="9" t="s">
        <v>11083</v>
      </c>
      <c r="G2506" s="9" t="s">
        <v>11084</v>
      </c>
      <c r="J2506" s="9" t="s">
        <v>11085</v>
      </c>
      <c r="O2506" s="10">
        <f>IFERROR(__xludf.DUMMYFUNCTION("VALUE(REGEXEXTRACT(A2506, ""\d+""))"),2898.0)</f>
        <v>2898</v>
      </c>
    </row>
    <row r="2507">
      <c r="A2507" s="9" t="s">
        <v>11086</v>
      </c>
      <c r="B2507" s="9" t="s">
        <v>11087</v>
      </c>
      <c r="D2507" s="9" t="s">
        <v>11087</v>
      </c>
      <c r="G2507" s="9" t="s">
        <v>11087</v>
      </c>
      <c r="J2507" s="9" t="s">
        <v>11088</v>
      </c>
      <c r="O2507" s="10">
        <f>IFERROR(__xludf.DUMMYFUNCTION("VALUE(REGEXEXTRACT(A2507, ""\d+""))"),2899.0)</f>
        <v>2899</v>
      </c>
    </row>
    <row r="2508">
      <c r="A2508" s="9" t="s">
        <v>11089</v>
      </c>
      <c r="B2508" s="9" t="s">
        <v>11090</v>
      </c>
      <c r="D2508" s="9" t="s">
        <v>11090</v>
      </c>
      <c r="G2508" s="9" t="s">
        <v>11090</v>
      </c>
      <c r="J2508" s="9" t="s">
        <v>11091</v>
      </c>
      <c r="O2508" s="10">
        <f>IFERROR(__xludf.DUMMYFUNCTION("VALUE(REGEXEXTRACT(A2508, ""\d+""))"),2900.0)</f>
        <v>2900</v>
      </c>
    </row>
    <row r="2509">
      <c r="A2509" s="9" t="s">
        <v>11092</v>
      </c>
      <c r="B2509" s="9" t="s">
        <v>11093</v>
      </c>
      <c r="D2509" s="9" t="s">
        <v>11093</v>
      </c>
      <c r="G2509" s="9" t="s">
        <v>11093</v>
      </c>
      <c r="J2509" s="9" t="s">
        <v>11094</v>
      </c>
      <c r="O2509" s="10">
        <f>IFERROR(__xludf.DUMMYFUNCTION("VALUE(REGEXEXTRACT(A2509, ""\d+""))"),2901.0)</f>
        <v>2901</v>
      </c>
    </row>
    <row r="2510">
      <c r="A2510" s="9" t="s">
        <v>11095</v>
      </c>
      <c r="B2510" s="9" t="s">
        <v>11096</v>
      </c>
      <c r="D2510" s="9" t="s">
        <v>11096</v>
      </c>
      <c r="G2510" s="9" t="s">
        <v>11096</v>
      </c>
      <c r="J2510" s="9" t="s">
        <v>11097</v>
      </c>
      <c r="O2510" s="10">
        <f>IFERROR(__xludf.DUMMYFUNCTION("VALUE(REGEXEXTRACT(A2510, ""\d+""))"),2902.0)</f>
        <v>2902</v>
      </c>
    </row>
    <row r="2511">
      <c r="A2511" s="9" t="s">
        <v>11098</v>
      </c>
      <c r="B2511" s="9" t="s">
        <v>11099</v>
      </c>
      <c r="D2511" s="9" t="s">
        <v>11099</v>
      </c>
      <c r="G2511" s="9" t="s">
        <v>11099</v>
      </c>
      <c r="J2511" s="9" t="s">
        <v>11100</v>
      </c>
      <c r="O2511" s="10">
        <f>IFERROR(__xludf.DUMMYFUNCTION("VALUE(REGEXEXTRACT(A2511, ""\d+""))"),2903.0)</f>
        <v>2903</v>
      </c>
    </row>
    <row r="2512">
      <c r="A2512" s="9" t="s">
        <v>11101</v>
      </c>
      <c r="B2512" s="9" t="s">
        <v>11102</v>
      </c>
      <c r="D2512" s="9" t="s">
        <v>11102</v>
      </c>
      <c r="G2512" s="9" t="s">
        <v>11102</v>
      </c>
      <c r="J2512" s="9" t="s">
        <v>11103</v>
      </c>
      <c r="O2512" s="10">
        <f>IFERROR(__xludf.DUMMYFUNCTION("VALUE(REGEXEXTRACT(A2512, ""\d+""))"),2904.0)</f>
        <v>2904</v>
      </c>
    </row>
    <row r="2513">
      <c r="A2513" s="9" t="s">
        <v>11104</v>
      </c>
      <c r="B2513" s="9" t="s">
        <v>11105</v>
      </c>
      <c r="D2513" s="9" t="s">
        <v>11105</v>
      </c>
      <c r="G2513" s="9" t="s">
        <v>11105</v>
      </c>
      <c r="J2513" s="9" t="s">
        <v>11106</v>
      </c>
      <c r="O2513" s="10">
        <f>IFERROR(__xludf.DUMMYFUNCTION("VALUE(REGEXEXTRACT(A2513, ""\d+""))"),2905.0)</f>
        <v>2905</v>
      </c>
    </row>
    <row r="2514">
      <c r="A2514" s="9" t="s">
        <v>11107</v>
      </c>
      <c r="B2514" s="9" t="s">
        <v>11108</v>
      </c>
      <c r="D2514" s="9" t="s">
        <v>11109</v>
      </c>
      <c r="G2514" s="9" t="s">
        <v>11110</v>
      </c>
      <c r="J2514" s="9" t="s">
        <v>11111</v>
      </c>
      <c r="O2514" s="10">
        <f>IFERROR(__xludf.DUMMYFUNCTION("VALUE(REGEXEXTRACT(A2514, ""\d+""))"),2907.0)</f>
        <v>2907</v>
      </c>
    </row>
    <row r="2515">
      <c r="A2515" s="9" t="s">
        <v>11112</v>
      </c>
      <c r="B2515" s="9" t="s">
        <v>11113</v>
      </c>
      <c r="D2515" s="9" t="s">
        <v>11114</v>
      </c>
      <c r="G2515" s="9" t="s">
        <v>11115</v>
      </c>
      <c r="J2515" s="9" t="s">
        <v>11116</v>
      </c>
      <c r="O2515" s="10">
        <f>IFERROR(__xludf.DUMMYFUNCTION("VALUE(REGEXEXTRACT(A2515, ""\d+""))"),2908.0)</f>
        <v>2908</v>
      </c>
    </row>
    <row r="2516">
      <c r="A2516" s="9" t="s">
        <v>11117</v>
      </c>
      <c r="B2516" s="9" t="s">
        <v>11118</v>
      </c>
      <c r="D2516" s="9" t="s">
        <v>11119</v>
      </c>
      <c r="G2516" s="9" t="s">
        <v>11120</v>
      </c>
      <c r="J2516" s="9" t="s">
        <v>11121</v>
      </c>
      <c r="O2516" s="10">
        <f>IFERROR(__xludf.DUMMYFUNCTION("VALUE(REGEXEXTRACT(A2516, ""\d+""))"),2909.0)</f>
        <v>2909</v>
      </c>
    </row>
    <row r="2517">
      <c r="A2517" s="9" t="s">
        <v>11122</v>
      </c>
      <c r="B2517" s="9" t="s">
        <v>11123</v>
      </c>
      <c r="D2517" s="9" t="s">
        <v>11124</v>
      </c>
      <c r="G2517" s="9" t="s">
        <v>11125</v>
      </c>
      <c r="J2517" s="9" t="s">
        <v>11126</v>
      </c>
      <c r="O2517" s="10">
        <f>IFERROR(__xludf.DUMMYFUNCTION("VALUE(REGEXEXTRACT(A2517, ""\d+""))"),2910.0)</f>
        <v>2910</v>
      </c>
    </row>
    <row r="2518">
      <c r="A2518" s="9" t="s">
        <v>11127</v>
      </c>
      <c r="B2518" s="9" t="s">
        <v>11128</v>
      </c>
      <c r="D2518" s="9" t="s">
        <v>11129</v>
      </c>
      <c r="G2518" s="9" t="s">
        <v>11130</v>
      </c>
      <c r="J2518" s="9" t="s">
        <v>11131</v>
      </c>
      <c r="O2518" s="10">
        <f>IFERROR(__xludf.DUMMYFUNCTION("VALUE(REGEXEXTRACT(A2518, ""\d+""))"),2911.0)</f>
        <v>2911</v>
      </c>
    </row>
    <row r="2519">
      <c r="A2519" s="9" t="s">
        <v>11132</v>
      </c>
      <c r="B2519" s="9" t="s">
        <v>11133</v>
      </c>
      <c r="D2519" s="9" t="s">
        <v>11134</v>
      </c>
      <c r="G2519" s="9" t="s">
        <v>11135</v>
      </c>
      <c r="J2519" s="9" t="s">
        <v>11136</v>
      </c>
      <c r="O2519" s="10">
        <f>IFERROR(__xludf.DUMMYFUNCTION("VALUE(REGEXEXTRACT(A2519, ""\d+""))"),2912.0)</f>
        <v>2912</v>
      </c>
    </row>
    <row r="2520">
      <c r="A2520" s="9" t="s">
        <v>11137</v>
      </c>
      <c r="B2520" s="9" t="s">
        <v>11138</v>
      </c>
      <c r="D2520" s="9" t="s">
        <v>11139</v>
      </c>
      <c r="G2520" s="9" t="s">
        <v>11140</v>
      </c>
      <c r="J2520" s="9" t="s">
        <v>11141</v>
      </c>
      <c r="O2520" s="10">
        <f>IFERROR(__xludf.DUMMYFUNCTION("VALUE(REGEXEXTRACT(A2520, ""\d+""))"),2913.0)</f>
        <v>2913</v>
      </c>
    </row>
    <row r="2521">
      <c r="A2521" s="9" t="s">
        <v>11142</v>
      </c>
      <c r="B2521" s="9" t="s">
        <v>11143</v>
      </c>
      <c r="D2521" s="9" t="s">
        <v>11144</v>
      </c>
      <c r="G2521" s="9" t="s">
        <v>11145</v>
      </c>
      <c r="J2521" s="9" t="s">
        <v>11146</v>
      </c>
      <c r="O2521" s="10">
        <f>IFERROR(__xludf.DUMMYFUNCTION("VALUE(REGEXEXTRACT(A2521, ""\d+""))"),2914.0)</f>
        <v>2914</v>
      </c>
    </row>
    <row r="2522">
      <c r="A2522" s="9" t="s">
        <v>11147</v>
      </c>
      <c r="B2522" s="9" t="s">
        <v>11148</v>
      </c>
      <c r="D2522" s="9" t="s">
        <v>11149</v>
      </c>
      <c r="G2522" s="9" t="s">
        <v>11150</v>
      </c>
      <c r="J2522" s="9" t="s">
        <v>11151</v>
      </c>
      <c r="O2522" s="10">
        <f>IFERROR(__xludf.DUMMYFUNCTION("VALUE(REGEXEXTRACT(A2522, ""\d+""))"),2915.0)</f>
        <v>2915</v>
      </c>
    </row>
    <row r="2523">
      <c r="A2523" s="9" t="s">
        <v>11152</v>
      </c>
      <c r="B2523" s="9" t="s">
        <v>11153</v>
      </c>
      <c r="D2523" s="9" t="s">
        <v>11154</v>
      </c>
      <c r="G2523" s="9" t="s">
        <v>11155</v>
      </c>
      <c r="J2523" s="9" t="s">
        <v>11156</v>
      </c>
      <c r="O2523" s="10">
        <f>IFERROR(__xludf.DUMMYFUNCTION("VALUE(REGEXEXTRACT(A2523, ""\d+""))"),2916.0)</f>
        <v>2916</v>
      </c>
    </row>
    <row r="2524">
      <c r="A2524" s="9" t="s">
        <v>11157</v>
      </c>
      <c r="B2524" s="9" t="s">
        <v>11158</v>
      </c>
      <c r="D2524" s="9" t="s">
        <v>11159</v>
      </c>
      <c r="G2524" s="9" t="s">
        <v>11160</v>
      </c>
      <c r="J2524" s="9" t="s">
        <v>11161</v>
      </c>
      <c r="O2524" s="10">
        <f>IFERROR(__xludf.DUMMYFUNCTION("VALUE(REGEXEXTRACT(A2524, ""\d+""))"),2917.0)</f>
        <v>2917</v>
      </c>
    </row>
    <row r="2525">
      <c r="A2525" s="9" t="s">
        <v>11162</v>
      </c>
      <c r="B2525" s="9" t="s">
        <v>11163</v>
      </c>
      <c r="D2525" s="9" t="s">
        <v>11164</v>
      </c>
      <c r="G2525" s="9" t="s">
        <v>11165</v>
      </c>
      <c r="J2525" s="9" t="s">
        <v>11166</v>
      </c>
      <c r="O2525" s="10">
        <f>IFERROR(__xludf.DUMMYFUNCTION("VALUE(REGEXEXTRACT(A2525, ""\d+""))"),2918.0)</f>
        <v>2918</v>
      </c>
    </row>
    <row r="2526">
      <c r="A2526" s="9" t="s">
        <v>11167</v>
      </c>
      <c r="B2526" s="9" t="s">
        <v>11168</v>
      </c>
      <c r="D2526" s="9" t="s">
        <v>11169</v>
      </c>
      <c r="G2526" s="9" t="s">
        <v>11170</v>
      </c>
      <c r="J2526" s="9" t="s">
        <v>11171</v>
      </c>
      <c r="O2526" s="10">
        <f>IFERROR(__xludf.DUMMYFUNCTION("VALUE(REGEXEXTRACT(A2526, ""\d+""))"),2919.0)</f>
        <v>2919</v>
      </c>
    </row>
    <row r="2527">
      <c r="A2527" s="9" t="s">
        <v>11172</v>
      </c>
      <c r="B2527" s="9" t="s">
        <v>11173</v>
      </c>
      <c r="D2527" s="9" t="s">
        <v>11174</v>
      </c>
      <c r="G2527" s="9" t="s">
        <v>11175</v>
      </c>
      <c r="J2527" s="9" t="s">
        <v>11176</v>
      </c>
      <c r="O2527" s="10">
        <f>IFERROR(__xludf.DUMMYFUNCTION("VALUE(REGEXEXTRACT(A2527, ""\d+""))"),2920.0)</f>
        <v>2920</v>
      </c>
    </row>
    <row r="2528">
      <c r="A2528" s="9" t="s">
        <v>11177</v>
      </c>
      <c r="B2528" s="9" t="s">
        <v>11178</v>
      </c>
      <c r="D2528" s="9" t="s">
        <v>11179</v>
      </c>
      <c r="G2528" s="9" t="s">
        <v>11180</v>
      </c>
      <c r="J2528" s="9" t="s">
        <v>11181</v>
      </c>
      <c r="O2528" s="10">
        <f>IFERROR(__xludf.DUMMYFUNCTION("VALUE(REGEXEXTRACT(A2528, ""\d+""))"),2921.0)</f>
        <v>2921</v>
      </c>
    </row>
    <row r="2529">
      <c r="A2529" s="9" t="s">
        <v>11182</v>
      </c>
      <c r="B2529" s="9" t="s">
        <v>11183</v>
      </c>
      <c r="D2529" s="9" t="s">
        <v>11154</v>
      </c>
      <c r="G2529" s="9" t="s">
        <v>11155</v>
      </c>
      <c r="J2529" s="9" t="s">
        <v>11184</v>
      </c>
      <c r="O2529" s="10">
        <f>IFERROR(__xludf.DUMMYFUNCTION("VALUE(REGEXEXTRACT(A2529, ""\d+""))"),2922.0)</f>
        <v>2922</v>
      </c>
    </row>
    <row r="2530">
      <c r="A2530" s="9" t="s">
        <v>11185</v>
      </c>
      <c r="B2530" s="9" t="s">
        <v>11186</v>
      </c>
      <c r="D2530" s="9" t="s">
        <v>11187</v>
      </c>
      <c r="G2530" s="9" t="s">
        <v>11188</v>
      </c>
      <c r="J2530" s="9" t="s">
        <v>11189</v>
      </c>
      <c r="O2530" s="10">
        <f>IFERROR(__xludf.DUMMYFUNCTION("VALUE(REGEXEXTRACT(A2530, ""\d+""))"),2925.0)</f>
        <v>2925</v>
      </c>
    </row>
    <row r="2531">
      <c r="A2531" s="9" t="s">
        <v>11190</v>
      </c>
      <c r="B2531" s="9" t="s">
        <v>11191</v>
      </c>
      <c r="D2531" s="9" t="s">
        <v>11192</v>
      </c>
      <c r="G2531" s="9" t="s">
        <v>11193</v>
      </c>
      <c r="J2531" s="9" t="s">
        <v>11194</v>
      </c>
      <c r="O2531" s="10">
        <f>IFERROR(__xludf.DUMMYFUNCTION("VALUE(REGEXEXTRACT(A2531, ""\d+""))"),2926.0)</f>
        <v>2926</v>
      </c>
    </row>
    <row r="2532">
      <c r="A2532" s="9" t="s">
        <v>11195</v>
      </c>
      <c r="B2532" s="9" t="s">
        <v>11196</v>
      </c>
      <c r="D2532" s="9" t="s">
        <v>11197</v>
      </c>
      <c r="G2532" s="9" t="s">
        <v>11198</v>
      </c>
      <c r="J2532" s="9" t="s">
        <v>11199</v>
      </c>
      <c r="O2532" s="10">
        <f>IFERROR(__xludf.DUMMYFUNCTION("VALUE(REGEXEXTRACT(A2532, ""\d+""))"),2927.0)</f>
        <v>2927</v>
      </c>
    </row>
    <row r="2533">
      <c r="A2533" s="9" t="s">
        <v>11200</v>
      </c>
      <c r="B2533" s="9" t="s">
        <v>11201</v>
      </c>
      <c r="D2533" s="9" t="s">
        <v>11202</v>
      </c>
      <c r="G2533" s="9" t="s">
        <v>11203</v>
      </c>
      <c r="J2533" s="9" t="s">
        <v>11204</v>
      </c>
      <c r="O2533" s="10">
        <f>IFERROR(__xludf.DUMMYFUNCTION("VALUE(REGEXEXTRACT(A2533, ""\d+""))"),2928.0)</f>
        <v>2928</v>
      </c>
    </row>
    <row r="2534">
      <c r="A2534" s="9" t="s">
        <v>11205</v>
      </c>
      <c r="B2534" s="9" t="s">
        <v>11206</v>
      </c>
      <c r="D2534" s="9" t="s">
        <v>11207</v>
      </c>
      <c r="G2534" s="9" t="s">
        <v>11208</v>
      </c>
      <c r="J2534" s="9" t="s">
        <v>11209</v>
      </c>
      <c r="O2534" s="10">
        <f>IFERROR(__xludf.DUMMYFUNCTION("VALUE(REGEXEXTRACT(A2534, ""\d+""))"),2929.0)</f>
        <v>2929</v>
      </c>
    </row>
    <row r="2535">
      <c r="A2535" s="9" t="s">
        <v>11210</v>
      </c>
      <c r="B2535" s="9" t="s">
        <v>11211</v>
      </c>
      <c r="D2535" s="9" t="s">
        <v>11212</v>
      </c>
      <c r="G2535" s="9" t="s">
        <v>11213</v>
      </c>
      <c r="J2535" s="9" t="s">
        <v>11214</v>
      </c>
      <c r="O2535" s="10">
        <f>IFERROR(__xludf.DUMMYFUNCTION("VALUE(REGEXEXTRACT(A2535, ""\d+""))"),2930.0)</f>
        <v>2930</v>
      </c>
    </row>
    <row r="2536">
      <c r="A2536" s="9" t="s">
        <v>11215</v>
      </c>
      <c r="B2536" s="9" t="s">
        <v>11216</v>
      </c>
      <c r="D2536" s="9" t="s">
        <v>11217</v>
      </c>
      <c r="G2536" s="9" t="s">
        <v>11218</v>
      </c>
      <c r="J2536" s="9" t="s">
        <v>11219</v>
      </c>
      <c r="O2536" s="10">
        <f>IFERROR(__xludf.DUMMYFUNCTION("VALUE(REGEXEXTRACT(A2536, ""\d+""))"),2931.0)</f>
        <v>2931</v>
      </c>
    </row>
    <row r="2537">
      <c r="A2537" s="9" t="s">
        <v>11220</v>
      </c>
      <c r="B2537" s="9" t="s">
        <v>11221</v>
      </c>
      <c r="D2537" s="9" t="s">
        <v>11222</v>
      </c>
      <c r="G2537" s="9" t="s">
        <v>11223</v>
      </c>
      <c r="J2537" s="9" t="s">
        <v>11224</v>
      </c>
      <c r="O2537" s="10">
        <f>IFERROR(__xludf.DUMMYFUNCTION("VALUE(REGEXEXTRACT(A2537, ""\d+""))"),2932.0)</f>
        <v>2932</v>
      </c>
    </row>
    <row r="2538">
      <c r="A2538" s="9" t="s">
        <v>11225</v>
      </c>
      <c r="B2538" s="9" t="s">
        <v>11226</v>
      </c>
      <c r="D2538" s="9" t="s">
        <v>11227</v>
      </c>
      <c r="G2538" s="9" t="s">
        <v>11228</v>
      </c>
      <c r="J2538" s="9" t="s">
        <v>11229</v>
      </c>
      <c r="O2538" s="10">
        <f>IFERROR(__xludf.DUMMYFUNCTION("VALUE(REGEXEXTRACT(A2538, ""\d+""))"),2933.0)</f>
        <v>2933</v>
      </c>
    </row>
    <row r="2539">
      <c r="A2539" s="9" t="s">
        <v>11230</v>
      </c>
      <c r="B2539" s="9" t="s">
        <v>11231</v>
      </c>
      <c r="D2539" s="9" t="s">
        <v>11232</v>
      </c>
      <c r="G2539" s="9" t="s">
        <v>11233</v>
      </c>
      <c r="J2539" s="9" t="s">
        <v>11234</v>
      </c>
      <c r="O2539" s="10">
        <f>IFERROR(__xludf.DUMMYFUNCTION("VALUE(REGEXEXTRACT(A2539, ""\d+""))"),2934.0)</f>
        <v>2934</v>
      </c>
    </row>
    <row r="2540">
      <c r="A2540" s="9" t="s">
        <v>11235</v>
      </c>
      <c r="B2540" s="9" t="s">
        <v>11236</v>
      </c>
      <c r="D2540" s="9" t="s">
        <v>11237</v>
      </c>
      <c r="G2540" s="9" t="s">
        <v>11238</v>
      </c>
      <c r="J2540" s="9" t="s">
        <v>11239</v>
      </c>
      <c r="O2540" s="10">
        <f>IFERROR(__xludf.DUMMYFUNCTION("VALUE(REGEXEXTRACT(A2540, ""\d+""))"),2935.0)</f>
        <v>2935</v>
      </c>
    </row>
    <row r="2541">
      <c r="A2541" s="9" t="s">
        <v>11240</v>
      </c>
      <c r="B2541" s="9" t="s">
        <v>11241</v>
      </c>
      <c r="D2541" s="9" t="s">
        <v>11242</v>
      </c>
      <c r="G2541" s="9" t="s">
        <v>11243</v>
      </c>
      <c r="J2541" s="9" t="s">
        <v>11244</v>
      </c>
      <c r="O2541" s="10">
        <f>IFERROR(__xludf.DUMMYFUNCTION("VALUE(REGEXEXTRACT(A2541, ""\d+""))"),2936.0)</f>
        <v>2936</v>
      </c>
    </row>
    <row r="2542">
      <c r="A2542" s="9" t="s">
        <v>11245</v>
      </c>
      <c r="B2542" s="9" t="s">
        <v>11246</v>
      </c>
      <c r="D2542" s="9" t="s">
        <v>11247</v>
      </c>
      <c r="G2542" s="9" t="s">
        <v>11248</v>
      </c>
      <c r="J2542" s="9" t="s">
        <v>11249</v>
      </c>
      <c r="O2542" s="10">
        <f>IFERROR(__xludf.DUMMYFUNCTION("VALUE(REGEXEXTRACT(A2542, ""\d+""))"),2937.0)</f>
        <v>2937</v>
      </c>
    </row>
    <row r="2543">
      <c r="A2543" s="9" t="s">
        <v>11250</v>
      </c>
      <c r="B2543" s="9" t="s">
        <v>11251</v>
      </c>
      <c r="D2543" s="9" t="s">
        <v>11252</v>
      </c>
      <c r="G2543" s="9" t="s">
        <v>11253</v>
      </c>
      <c r="J2543" s="9" t="s">
        <v>11254</v>
      </c>
      <c r="O2543" s="10">
        <f>IFERROR(__xludf.DUMMYFUNCTION("VALUE(REGEXEXTRACT(A2543, ""\d+""))"),2938.0)</f>
        <v>2938</v>
      </c>
    </row>
    <row r="2544">
      <c r="A2544" s="9" t="s">
        <v>11255</v>
      </c>
      <c r="B2544" s="9" t="s">
        <v>11256</v>
      </c>
      <c r="D2544" s="9" t="s">
        <v>11257</v>
      </c>
      <c r="G2544" s="9" t="s">
        <v>11258</v>
      </c>
      <c r="J2544" s="9" t="s">
        <v>11259</v>
      </c>
      <c r="O2544" s="10">
        <f>IFERROR(__xludf.DUMMYFUNCTION("VALUE(REGEXEXTRACT(A2544, ""\d+""))"),2939.0)</f>
        <v>2939</v>
      </c>
    </row>
    <row r="2545">
      <c r="A2545" s="9" t="s">
        <v>11260</v>
      </c>
      <c r="B2545" s="9" t="s">
        <v>11261</v>
      </c>
      <c r="D2545" s="9" t="s">
        <v>11262</v>
      </c>
      <c r="G2545" s="9" t="s">
        <v>11263</v>
      </c>
      <c r="J2545" s="9" t="s">
        <v>11264</v>
      </c>
      <c r="O2545" s="10">
        <f>IFERROR(__xludf.DUMMYFUNCTION("VALUE(REGEXEXTRACT(A2545, ""\d+""))"),2940.0)</f>
        <v>2940</v>
      </c>
    </row>
    <row r="2546">
      <c r="A2546" s="9" t="s">
        <v>11265</v>
      </c>
      <c r="B2546" s="9" t="s">
        <v>11266</v>
      </c>
      <c r="D2546" s="9" t="s">
        <v>11267</v>
      </c>
      <c r="G2546" s="9" t="s">
        <v>11268</v>
      </c>
      <c r="J2546" s="9" t="s">
        <v>11269</v>
      </c>
      <c r="O2546" s="10">
        <f>IFERROR(__xludf.DUMMYFUNCTION("VALUE(REGEXEXTRACT(A2546, ""\d+""))"),2941.0)</f>
        <v>2941</v>
      </c>
    </row>
    <row r="2547">
      <c r="A2547" s="9" t="s">
        <v>11270</v>
      </c>
      <c r="B2547" s="9" t="s">
        <v>11271</v>
      </c>
      <c r="D2547" s="9" t="s">
        <v>11272</v>
      </c>
      <c r="G2547" s="9" t="s">
        <v>11273</v>
      </c>
      <c r="J2547" s="9" t="s">
        <v>11274</v>
      </c>
      <c r="O2547" s="10">
        <f>IFERROR(__xludf.DUMMYFUNCTION("VALUE(REGEXEXTRACT(A2547, ""\d+""))"),2942.0)</f>
        <v>2942</v>
      </c>
    </row>
    <row r="2548">
      <c r="A2548" s="9" t="s">
        <v>11275</v>
      </c>
      <c r="B2548" s="9" t="s">
        <v>11276</v>
      </c>
      <c r="D2548" s="9" t="s">
        <v>11277</v>
      </c>
      <c r="G2548" s="9" t="s">
        <v>11278</v>
      </c>
      <c r="J2548" s="9" t="s">
        <v>11279</v>
      </c>
      <c r="O2548" s="10">
        <f>IFERROR(__xludf.DUMMYFUNCTION("VALUE(REGEXEXTRACT(A2548, ""\d+""))"),2943.0)</f>
        <v>2943</v>
      </c>
    </row>
    <row r="2549">
      <c r="A2549" s="9" t="s">
        <v>11280</v>
      </c>
      <c r="B2549" s="9" t="s">
        <v>11281</v>
      </c>
      <c r="D2549" s="9" t="s">
        <v>11282</v>
      </c>
      <c r="G2549" s="9" t="s">
        <v>11283</v>
      </c>
      <c r="J2549" s="9" t="s">
        <v>11284</v>
      </c>
      <c r="O2549" s="10">
        <f>IFERROR(__xludf.DUMMYFUNCTION("VALUE(REGEXEXTRACT(A2549, ""\d+""))"),2944.0)</f>
        <v>2944</v>
      </c>
    </row>
    <row r="2550">
      <c r="A2550" s="9" t="s">
        <v>11285</v>
      </c>
      <c r="B2550" s="9" t="s">
        <v>11286</v>
      </c>
      <c r="D2550" s="9" t="s">
        <v>11287</v>
      </c>
      <c r="G2550" s="9" t="s">
        <v>11288</v>
      </c>
      <c r="J2550" s="9" t="s">
        <v>11289</v>
      </c>
      <c r="O2550" s="10">
        <f>IFERROR(__xludf.DUMMYFUNCTION("VALUE(REGEXEXTRACT(A2550, ""\d+""))"),2945.0)</f>
        <v>2945</v>
      </c>
    </row>
    <row r="2551">
      <c r="A2551" s="9" t="s">
        <v>11290</v>
      </c>
      <c r="B2551" s="9" t="s">
        <v>11291</v>
      </c>
      <c r="D2551" s="9" t="s">
        <v>11292</v>
      </c>
      <c r="G2551" s="9" t="s">
        <v>11293</v>
      </c>
      <c r="J2551" s="9" t="s">
        <v>11294</v>
      </c>
      <c r="O2551" s="10">
        <f>IFERROR(__xludf.DUMMYFUNCTION("VALUE(REGEXEXTRACT(A2551, ""\d+""))"),2946.0)</f>
        <v>2946</v>
      </c>
    </row>
    <row r="2552">
      <c r="A2552" s="9" t="s">
        <v>11295</v>
      </c>
      <c r="B2552" s="9" t="s">
        <v>11296</v>
      </c>
      <c r="D2552" s="9" t="s">
        <v>11297</v>
      </c>
      <c r="G2552" s="9" t="s">
        <v>11298</v>
      </c>
      <c r="J2552" s="9" t="s">
        <v>11299</v>
      </c>
      <c r="O2552" s="10">
        <f>IFERROR(__xludf.DUMMYFUNCTION("VALUE(REGEXEXTRACT(A2552, ""\d+""))"),2947.0)</f>
        <v>2947</v>
      </c>
    </row>
    <row r="2553">
      <c r="A2553" s="9" t="s">
        <v>11300</v>
      </c>
      <c r="B2553" s="9" t="s">
        <v>11301</v>
      </c>
      <c r="D2553" s="9" t="s">
        <v>11302</v>
      </c>
      <c r="G2553" s="9" t="s">
        <v>11303</v>
      </c>
      <c r="J2553" s="9" t="s">
        <v>11304</v>
      </c>
      <c r="O2553" s="10">
        <f>IFERROR(__xludf.DUMMYFUNCTION("VALUE(REGEXEXTRACT(A2553, ""\d+""))"),2948.0)</f>
        <v>2948</v>
      </c>
    </row>
    <row r="2554">
      <c r="A2554" s="9" t="s">
        <v>11305</v>
      </c>
      <c r="B2554" s="9" t="s">
        <v>11306</v>
      </c>
      <c r="D2554" s="9" t="s">
        <v>11307</v>
      </c>
      <c r="G2554" s="9" t="s">
        <v>11307</v>
      </c>
      <c r="J2554" s="9" t="s">
        <v>11308</v>
      </c>
      <c r="O2554" s="10">
        <f>IFERROR(__xludf.DUMMYFUNCTION("VALUE(REGEXEXTRACT(A2554, ""\d+""))"),2949.0)</f>
        <v>2949</v>
      </c>
    </row>
    <row r="2555">
      <c r="A2555" s="9" t="s">
        <v>11309</v>
      </c>
      <c r="B2555" s="9" t="s">
        <v>11310</v>
      </c>
      <c r="D2555" s="9" t="s">
        <v>11311</v>
      </c>
      <c r="G2555" s="9" t="s">
        <v>11312</v>
      </c>
      <c r="J2555" s="9" t="s">
        <v>11313</v>
      </c>
      <c r="O2555" s="10">
        <f>IFERROR(__xludf.DUMMYFUNCTION("VALUE(REGEXEXTRACT(A2555, ""\d+""))"),2950.0)</f>
        <v>2950</v>
      </c>
    </row>
    <row r="2556">
      <c r="A2556" s="9" t="s">
        <v>11314</v>
      </c>
      <c r="B2556" s="9" t="s">
        <v>11315</v>
      </c>
      <c r="D2556" s="9" t="s">
        <v>11316</v>
      </c>
      <c r="G2556" s="9" t="s">
        <v>11317</v>
      </c>
      <c r="J2556" s="9" t="s">
        <v>11318</v>
      </c>
      <c r="O2556" s="10">
        <f>IFERROR(__xludf.DUMMYFUNCTION("VALUE(REGEXEXTRACT(A2556, ""\d+""))"),2951.0)</f>
        <v>2951</v>
      </c>
    </row>
    <row r="2557">
      <c r="A2557" s="9" t="s">
        <v>11319</v>
      </c>
      <c r="B2557" s="9" t="s">
        <v>11320</v>
      </c>
      <c r="D2557" s="9" t="s">
        <v>11321</v>
      </c>
      <c r="G2557" s="9" t="s">
        <v>11321</v>
      </c>
      <c r="J2557" s="9" t="s">
        <v>11322</v>
      </c>
      <c r="O2557" s="10">
        <f>IFERROR(__xludf.DUMMYFUNCTION("VALUE(REGEXEXTRACT(A2557, ""\d+""))"),2952.0)</f>
        <v>2952</v>
      </c>
    </row>
    <row r="2558">
      <c r="A2558" s="9" t="s">
        <v>11323</v>
      </c>
      <c r="B2558" s="9" t="s">
        <v>11324</v>
      </c>
      <c r="D2558" s="9" t="s">
        <v>11325</v>
      </c>
      <c r="G2558" s="9" t="s">
        <v>11326</v>
      </c>
      <c r="J2558" s="9" t="s">
        <v>11327</v>
      </c>
      <c r="O2558" s="10">
        <f>IFERROR(__xludf.DUMMYFUNCTION("VALUE(REGEXEXTRACT(A2558, ""\d+""))"),2953.0)</f>
        <v>2953</v>
      </c>
    </row>
    <row r="2559">
      <c r="A2559" s="9" t="s">
        <v>11328</v>
      </c>
      <c r="B2559" s="9" t="s">
        <v>11329</v>
      </c>
      <c r="D2559" s="9" t="s">
        <v>11330</v>
      </c>
      <c r="G2559" s="9" t="s">
        <v>11331</v>
      </c>
      <c r="J2559" s="9" t="s">
        <v>11332</v>
      </c>
      <c r="O2559" s="10">
        <f>IFERROR(__xludf.DUMMYFUNCTION("VALUE(REGEXEXTRACT(A2559, ""\d+""))"),2954.0)</f>
        <v>2954</v>
      </c>
    </row>
    <row r="2560">
      <c r="A2560" s="9" t="s">
        <v>11333</v>
      </c>
      <c r="B2560" s="9" t="s">
        <v>11334</v>
      </c>
      <c r="D2560" s="9" t="s">
        <v>11335</v>
      </c>
      <c r="G2560" s="9" t="s">
        <v>11336</v>
      </c>
      <c r="J2560" s="9" t="s">
        <v>11337</v>
      </c>
      <c r="O2560" s="10">
        <f>IFERROR(__xludf.DUMMYFUNCTION("VALUE(REGEXEXTRACT(A2560, ""\d+""))"),2955.0)</f>
        <v>2955</v>
      </c>
    </row>
    <row r="2561">
      <c r="A2561" s="9" t="s">
        <v>11338</v>
      </c>
      <c r="B2561" s="9" t="s">
        <v>11339</v>
      </c>
      <c r="D2561" s="9" t="s">
        <v>11340</v>
      </c>
      <c r="G2561" s="9" t="s">
        <v>11341</v>
      </c>
      <c r="J2561" s="9" t="s">
        <v>11342</v>
      </c>
      <c r="O2561" s="10">
        <f>IFERROR(__xludf.DUMMYFUNCTION("VALUE(REGEXEXTRACT(A2561, ""\d+""))"),2956.0)</f>
        <v>2956</v>
      </c>
    </row>
    <row r="2562">
      <c r="A2562" s="9" t="s">
        <v>11343</v>
      </c>
      <c r="B2562" s="9" t="s">
        <v>11344</v>
      </c>
      <c r="G2562" s="9" t="s">
        <v>11345</v>
      </c>
      <c r="O2562" s="10">
        <f>IFERROR(__xludf.DUMMYFUNCTION("VALUE(REGEXEXTRACT(A2562, ""\d+""))"),2957.0)</f>
        <v>2957</v>
      </c>
    </row>
    <row r="2563">
      <c r="A2563" s="9" t="s">
        <v>11346</v>
      </c>
      <c r="B2563" s="9" t="s">
        <v>11347</v>
      </c>
      <c r="G2563" s="9" t="s">
        <v>11348</v>
      </c>
      <c r="O2563" s="10">
        <f>IFERROR(__xludf.DUMMYFUNCTION("VALUE(REGEXEXTRACT(A2563, ""\d+""))"),2959.0)</f>
        <v>2959</v>
      </c>
    </row>
    <row r="2564">
      <c r="A2564" s="9" t="s">
        <v>11349</v>
      </c>
      <c r="B2564" s="9" t="s">
        <v>11350</v>
      </c>
      <c r="G2564" s="9" t="s">
        <v>11351</v>
      </c>
      <c r="O2564" s="10">
        <f>IFERROR(__xludf.DUMMYFUNCTION("VALUE(REGEXEXTRACT(A2564, ""\d+""))"),2960.0)</f>
        <v>2960</v>
      </c>
    </row>
    <row r="2565">
      <c r="A2565" s="9" t="s">
        <v>11352</v>
      </c>
      <c r="B2565" s="9" t="s">
        <v>11353</v>
      </c>
      <c r="G2565" s="9" t="s">
        <v>11354</v>
      </c>
      <c r="O2565" s="10">
        <f>IFERROR(__xludf.DUMMYFUNCTION("VALUE(REGEXEXTRACT(A2565, ""\d+""))"),2961.0)</f>
        <v>2961</v>
      </c>
    </row>
    <row r="2566">
      <c r="A2566" s="9" t="s">
        <v>11355</v>
      </c>
      <c r="B2566" s="9" t="s">
        <v>11356</v>
      </c>
      <c r="G2566" s="9" t="s">
        <v>11357</v>
      </c>
      <c r="O2566" s="10">
        <f>IFERROR(__xludf.DUMMYFUNCTION("VALUE(REGEXEXTRACT(A2566, ""\d+""))"),2962.0)</f>
        <v>2962</v>
      </c>
    </row>
    <row r="2567">
      <c r="A2567" s="9" t="s">
        <v>11358</v>
      </c>
      <c r="B2567" s="9" t="s">
        <v>11359</v>
      </c>
      <c r="G2567" s="9" t="s">
        <v>11360</v>
      </c>
      <c r="O2567" s="10">
        <f>IFERROR(__xludf.DUMMYFUNCTION("VALUE(REGEXEXTRACT(A2567, ""\d+""))"),2963.0)</f>
        <v>2963</v>
      </c>
    </row>
    <row r="2568">
      <c r="A2568" s="9" t="s">
        <v>11361</v>
      </c>
      <c r="B2568" s="9" t="s">
        <v>11362</v>
      </c>
      <c r="G2568" s="9" t="s">
        <v>11363</v>
      </c>
      <c r="O2568" s="10">
        <f>IFERROR(__xludf.DUMMYFUNCTION("VALUE(REGEXEXTRACT(A2568, ""\d+""))"),2965.0)</f>
        <v>2965</v>
      </c>
    </row>
    <row r="2569">
      <c r="A2569" s="9" t="s">
        <v>11364</v>
      </c>
      <c r="B2569" s="9" t="s">
        <v>11365</v>
      </c>
      <c r="G2569" s="9" t="s">
        <v>11366</v>
      </c>
      <c r="O2569" s="10">
        <f>IFERROR(__xludf.DUMMYFUNCTION("VALUE(REGEXEXTRACT(A2569, ""\d+""))"),2966.0)</f>
        <v>2966</v>
      </c>
    </row>
    <row r="2570">
      <c r="A2570" s="9" t="s">
        <v>11367</v>
      </c>
      <c r="B2570" s="9" t="s">
        <v>11368</v>
      </c>
      <c r="G2570" s="9" t="s">
        <v>11369</v>
      </c>
      <c r="O2570" s="10">
        <f>IFERROR(__xludf.DUMMYFUNCTION("VALUE(REGEXEXTRACT(A2570, ""\d+""))"),2968.0)</f>
        <v>2968</v>
      </c>
    </row>
    <row r="2571">
      <c r="A2571" s="9" t="s">
        <v>11370</v>
      </c>
      <c r="B2571" s="9" t="s">
        <v>11371</v>
      </c>
      <c r="G2571" s="9" t="s">
        <v>11372</v>
      </c>
      <c r="O2571" s="10">
        <f>IFERROR(__xludf.DUMMYFUNCTION("VALUE(REGEXEXTRACT(A2571, ""\d+""))"),2970.0)</f>
        <v>2970</v>
      </c>
    </row>
    <row r="2572">
      <c r="A2572" s="9" t="s">
        <v>11373</v>
      </c>
      <c r="B2572" s="9" t="s">
        <v>11374</v>
      </c>
      <c r="G2572" s="9" t="s">
        <v>11375</v>
      </c>
      <c r="O2572" s="10">
        <f>IFERROR(__xludf.DUMMYFUNCTION("VALUE(REGEXEXTRACT(A2572, ""\d+""))"),2971.0)</f>
        <v>2971</v>
      </c>
    </row>
    <row r="2573">
      <c r="A2573" s="9" t="s">
        <v>11376</v>
      </c>
      <c r="B2573" s="9" t="s">
        <v>11377</v>
      </c>
      <c r="G2573" s="9" t="s">
        <v>11378</v>
      </c>
      <c r="O2573" s="10">
        <f>IFERROR(__xludf.DUMMYFUNCTION("VALUE(REGEXEXTRACT(A2573, ""\d+""))"),2972.0)</f>
        <v>2972</v>
      </c>
    </row>
    <row r="2574">
      <c r="A2574" s="9" t="s">
        <v>11379</v>
      </c>
      <c r="B2574" s="9" t="s">
        <v>11380</v>
      </c>
      <c r="G2574" s="9" t="s">
        <v>11381</v>
      </c>
      <c r="O2574" s="10">
        <f>IFERROR(__xludf.DUMMYFUNCTION("VALUE(REGEXEXTRACT(A2574, ""\d+""))"),2973.0)</f>
        <v>2973</v>
      </c>
    </row>
    <row r="2575">
      <c r="A2575" s="9" t="s">
        <v>11382</v>
      </c>
      <c r="B2575" s="9" t="s">
        <v>11383</v>
      </c>
      <c r="G2575" s="9" t="s">
        <v>11384</v>
      </c>
      <c r="O2575" s="10">
        <f>IFERROR(__xludf.DUMMYFUNCTION("VALUE(REGEXEXTRACT(A2575, ""\d+""))"),2974.0)</f>
        <v>2974</v>
      </c>
    </row>
    <row r="2576">
      <c r="A2576" s="9" t="s">
        <v>11385</v>
      </c>
      <c r="B2576" s="9" t="s">
        <v>11386</v>
      </c>
      <c r="G2576" s="9" t="s">
        <v>11387</v>
      </c>
      <c r="O2576" s="10">
        <f>IFERROR(__xludf.DUMMYFUNCTION("VALUE(REGEXEXTRACT(A2576, ""\d+""))"),2976.0)</f>
        <v>2976</v>
      </c>
    </row>
    <row r="2577">
      <c r="A2577" s="9" t="s">
        <v>11388</v>
      </c>
      <c r="B2577" s="9" t="s">
        <v>11389</v>
      </c>
      <c r="G2577" s="9" t="s">
        <v>11390</v>
      </c>
      <c r="O2577" s="10">
        <f>IFERROR(__xludf.DUMMYFUNCTION("VALUE(REGEXEXTRACT(A2577, ""\d+""))"),2977.0)</f>
        <v>2977</v>
      </c>
    </row>
    <row r="2578">
      <c r="A2578" s="9" t="s">
        <v>11391</v>
      </c>
      <c r="B2578" s="9" t="s">
        <v>11392</v>
      </c>
      <c r="G2578" s="9" t="s">
        <v>11393</v>
      </c>
      <c r="O2578" s="10">
        <f>IFERROR(__xludf.DUMMYFUNCTION("VALUE(REGEXEXTRACT(A2578, ""\d+""))"),2978.0)</f>
        <v>2978</v>
      </c>
    </row>
    <row r="2579">
      <c r="A2579" s="9" t="s">
        <v>11394</v>
      </c>
      <c r="B2579" s="9" t="s">
        <v>11395</v>
      </c>
      <c r="G2579" s="9" t="s">
        <v>11396</v>
      </c>
      <c r="O2579" s="10">
        <f>IFERROR(__xludf.DUMMYFUNCTION("VALUE(REGEXEXTRACT(A2579, ""\d+""))"),2982.0)</f>
        <v>2982</v>
      </c>
    </row>
    <row r="2580">
      <c r="A2580" s="9" t="s">
        <v>11397</v>
      </c>
      <c r="B2580" s="9" t="s">
        <v>11398</v>
      </c>
      <c r="G2580" s="9" t="s">
        <v>11399</v>
      </c>
      <c r="O2580" s="10">
        <f>IFERROR(__xludf.DUMMYFUNCTION("VALUE(REGEXEXTRACT(A2580, ""\d+""))"),2983.0)</f>
        <v>2983</v>
      </c>
    </row>
    <row r="2581">
      <c r="A2581" s="9" t="s">
        <v>11400</v>
      </c>
      <c r="B2581" s="9" t="s">
        <v>11401</v>
      </c>
      <c r="G2581" s="9" t="s">
        <v>11402</v>
      </c>
      <c r="O2581" s="10">
        <f>IFERROR(__xludf.DUMMYFUNCTION("VALUE(REGEXEXTRACT(A2581, ""\d+""))"),2984.0)</f>
        <v>2984</v>
      </c>
    </row>
    <row r="2582">
      <c r="A2582" s="9" t="s">
        <v>11403</v>
      </c>
      <c r="B2582" s="9" t="s">
        <v>11404</v>
      </c>
      <c r="G2582" s="9" t="s">
        <v>11405</v>
      </c>
      <c r="O2582" s="10">
        <f>IFERROR(__xludf.DUMMYFUNCTION("VALUE(REGEXEXTRACT(A2582, ""\d+""))"),2985.0)</f>
        <v>2985</v>
      </c>
    </row>
    <row r="2583">
      <c r="A2583" s="9" t="s">
        <v>11406</v>
      </c>
      <c r="B2583" s="9" t="s">
        <v>11407</v>
      </c>
      <c r="G2583" s="9" t="s">
        <v>11408</v>
      </c>
      <c r="O2583" s="10">
        <f>IFERROR(__xludf.DUMMYFUNCTION("VALUE(REGEXEXTRACT(A2583, ""\d+""))"),2986.0)</f>
        <v>2986</v>
      </c>
    </row>
    <row r="2584">
      <c r="A2584" s="9" t="s">
        <v>11409</v>
      </c>
      <c r="B2584" s="9" t="s">
        <v>11410</v>
      </c>
      <c r="G2584" s="9" t="s">
        <v>11410</v>
      </c>
      <c r="O2584" s="10">
        <f>IFERROR(__xludf.DUMMYFUNCTION("VALUE(REGEXEXTRACT(A2584, ""\d+""))"),2992.0)</f>
        <v>2992</v>
      </c>
    </row>
    <row r="2585">
      <c r="A2585" s="9" t="s">
        <v>11411</v>
      </c>
      <c r="B2585" s="9" t="s">
        <v>11412</v>
      </c>
      <c r="G2585" s="9" t="s">
        <v>11413</v>
      </c>
      <c r="O2585" s="10">
        <f>IFERROR(__xludf.DUMMYFUNCTION("VALUE(REGEXEXTRACT(A2585, ""\d+""))"),2993.0)</f>
        <v>2993</v>
      </c>
    </row>
    <row r="2586">
      <c r="A2586" s="9" t="s">
        <v>11414</v>
      </c>
      <c r="B2586" s="9" t="s">
        <v>11415</v>
      </c>
      <c r="G2586" s="9" t="s">
        <v>11416</v>
      </c>
      <c r="O2586" s="10">
        <f>IFERROR(__xludf.DUMMYFUNCTION("VALUE(REGEXEXTRACT(A2586, ""\d+""))"),2994.0)</f>
        <v>2994</v>
      </c>
    </row>
    <row r="2587">
      <c r="A2587" s="9" t="s">
        <v>11417</v>
      </c>
      <c r="B2587" s="9" t="s">
        <v>11418</v>
      </c>
      <c r="D2587" s="9" t="s">
        <v>11418</v>
      </c>
      <c r="G2587" s="9" t="s">
        <v>11418</v>
      </c>
      <c r="J2587" s="9" t="s">
        <v>11418</v>
      </c>
      <c r="O2587" s="10">
        <f>IFERROR(__xludf.DUMMYFUNCTION("VALUE(REGEXEXTRACT(A2587, ""\d+""))"),2995.0)</f>
        <v>2995</v>
      </c>
    </row>
    <row r="2588">
      <c r="A2588" s="9" t="s">
        <v>11419</v>
      </c>
      <c r="B2588" s="9" t="s">
        <v>11420</v>
      </c>
      <c r="D2588" s="9" t="s">
        <v>11420</v>
      </c>
      <c r="G2588" s="9" t="s">
        <v>11420</v>
      </c>
      <c r="J2588" s="9" t="s">
        <v>11420</v>
      </c>
      <c r="O2588" s="10">
        <f>IFERROR(__xludf.DUMMYFUNCTION("VALUE(REGEXEXTRACT(A2588, ""\d+""))"),2996.0)</f>
        <v>2996</v>
      </c>
    </row>
    <row r="2589">
      <c r="A2589" s="9" t="s">
        <v>11421</v>
      </c>
      <c r="B2589" s="9" t="s">
        <v>11422</v>
      </c>
      <c r="G2589" s="9" t="s">
        <v>11423</v>
      </c>
      <c r="O2589" s="10">
        <f>IFERROR(__xludf.DUMMYFUNCTION("VALUE(REGEXEXTRACT(A2589, ""\d+""))"),2997.0)</f>
        <v>2997</v>
      </c>
    </row>
    <row r="2590">
      <c r="A2590" s="9" t="s">
        <v>11424</v>
      </c>
      <c r="B2590" s="9" t="s">
        <v>11425</v>
      </c>
      <c r="G2590" s="9" t="s">
        <v>11426</v>
      </c>
      <c r="O2590" s="10">
        <f>IFERROR(__xludf.DUMMYFUNCTION("VALUE(REGEXEXTRACT(A2590, ""\d+""))"),2998.0)</f>
        <v>2998</v>
      </c>
    </row>
    <row r="2591">
      <c r="A2591" s="9" t="s">
        <v>11427</v>
      </c>
      <c r="B2591" s="9" t="s">
        <v>11428</v>
      </c>
      <c r="D2591" s="9" t="s">
        <v>11429</v>
      </c>
      <c r="G2591" s="9" t="s">
        <v>11430</v>
      </c>
      <c r="J2591" s="9" t="s">
        <v>11431</v>
      </c>
      <c r="O2591" s="10">
        <f>IFERROR(__xludf.DUMMYFUNCTION("VALUE(REGEXEXTRACT(A2591, ""\d+""))"),2999.0)</f>
        <v>2999</v>
      </c>
    </row>
    <row r="2592">
      <c r="A2592" s="9" t="s">
        <v>11432</v>
      </c>
      <c r="B2592" s="9" t="s">
        <v>11433</v>
      </c>
      <c r="D2592" s="9" t="s">
        <v>11434</v>
      </c>
      <c r="G2592" s="6" t="s">
        <v>11435</v>
      </c>
      <c r="J2592" s="9" t="s">
        <v>11431</v>
      </c>
      <c r="O2592" s="10">
        <f>IFERROR(__xludf.DUMMYFUNCTION("VALUE(REGEXEXTRACT(A2592, ""\d+""))"),3000.0)</f>
        <v>3000</v>
      </c>
    </row>
    <row r="2593">
      <c r="A2593" s="9" t="s">
        <v>11436</v>
      </c>
      <c r="B2593" s="9" t="s">
        <v>11437</v>
      </c>
      <c r="D2593" s="9" t="s">
        <v>11438</v>
      </c>
      <c r="G2593" s="6" t="s">
        <v>11439</v>
      </c>
      <c r="J2593" s="9" t="s">
        <v>11440</v>
      </c>
      <c r="O2593" s="10">
        <f>IFERROR(__xludf.DUMMYFUNCTION("VALUE(REGEXEXTRACT(A2593, ""\d+""))"),3001.0)</f>
        <v>3001</v>
      </c>
    </row>
    <row r="2594">
      <c r="A2594" s="9" t="s">
        <v>11441</v>
      </c>
      <c r="B2594" s="9" t="s">
        <v>11442</v>
      </c>
      <c r="D2594" s="9" t="s">
        <v>11443</v>
      </c>
      <c r="G2594" s="6" t="s">
        <v>11444</v>
      </c>
      <c r="J2594" s="9" t="s">
        <v>11445</v>
      </c>
      <c r="O2594" s="10">
        <f>IFERROR(__xludf.DUMMYFUNCTION("VALUE(REGEXEXTRACT(A2594, ""\d+""))"),3002.0)</f>
        <v>3002</v>
      </c>
    </row>
    <row r="2595">
      <c r="A2595" s="9" t="s">
        <v>11446</v>
      </c>
      <c r="B2595" s="9" t="s">
        <v>11447</v>
      </c>
      <c r="D2595" s="9" t="s">
        <v>11448</v>
      </c>
      <c r="G2595" s="6" t="s">
        <v>11449</v>
      </c>
      <c r="J2595" s="9" t="s">
        <v>11450</v>
      </c>
      <c r="O2595" s="10">
        <f>IFERROR(__xludf.DUMMYFUNCTION("VALUE(REGEXEXTRACT(A2595, ""\d+""))"),3003.0)</f>
        <v>3003</v>
      </c>
    </row>
    <row r="2596">
      <c r="A2596" s="9" t="s">
        <v>11451</v>
      </c>
      <c r="B2596" s="9" t="s">
        <v>11452</v>
      </c>
      <c r="D2596" s="9" t="s">
        <v>11453</v>
      </c>
      <c r="G2596" s="6" t="s">
        <v>11454</v>
      </c>
      <c r="J2596" s="9" t="s">
        <v>11455</v>
      </c>
      <c r="O2596" s="10">
        <f>IFERROR(__xludf.DUMMYFUNCTION("VALUE(REGEXEXTRACT(A2596, ""\d+""))"),3004.0)</f>
        <v>3004</v>
      </c>
    </row>
    <row r="2597">
      <c r="A2597" s="9" t="s">
        <v>11456</v>
      </c>
      <c r="B2597" s="9" t="s">
        <v>11457</v>
      </c>
      <c r="D2597" s="9" t="s">
        <v>11458</v>
      </c>
      <c r="G2597" s="6" t="s">
        <v>11459</v>
      </c>
      <c r="J2597" s="9" t="s">
        <v>11460</v>
      </c>
      <c r="O2597" s="10">
        <f>IFERROR(__xludf.DUMMYFUNCTION("VALUE(REGEXEXTRACT(A2597, ""\d+""))"),3005.0)</f>
        <v>3005</v>
      </c>
    </row>
    <row r="2598">
      <c r="A2598" s="9" t="s">
        <v>11461</v>
      </c>
      <c r="B2598" s="9" t="s">
        <v>11462</v>
      </c>
      <c r="D2598" s="9" t="s">
        <v>11463</v>
      </c>
      <c r="G2598" s="6" t="s">
        <v>11464</v>
      </c>
      <c r="J2598" s="9" t="s">
        <v>11465</v>
      </c>
      <c r="O2598" s="10">
        <f>IFERROR(__xludf.DUMMYFUNCTION("VALUE(REGEXEXTRACT(A2598, ""\d+""))"),3006.0)</f>
        <v>3006</v>
      </c>
    </row>
    <row r="2599">
      <c r="A2599" s="9" t="s">
        <v>11466</v>
      </c>
      <c r="B2599" s="9" t="s">
        <v>11467</v>
      </c>
      <c r="D2599" s="9" t="s">
        <v>11468</v>
      </c>
      <c r="G2599" s="6" t="s">
        <v>11469</v>
      </c>
      <c r="J2599" s="9" t="s">
        <v>11470</v>
      </c>
      <c r="O2599" s="10">
        <f>IFERROR(__xludf.DUMMYFUNCTION("VALUE(REGEXEXTRACT(A2599, ""\d+""))"),3007.0)</f>
        <v>3007</v>
      </c>
    </row>
    <row r="2600">
      <c r="A2600" s="9" t="s">
        <v>11471</v>
      </c>
      <c r="B2600" s="9" t="s">
        <v>11472</v>
      </c>
      <c r="D2600" s="9" t="s">
        <v>11473</v>
      </c>
      <c r="G2600" s="6" t="s">
        <v>11474</v>
      </c>
      <c r="J2600" s="9" t="s">
        <v>11475</v>
      </c>
      <c r="O2600" s="10">
        <f>IFERROR(__xludf.DUMMYFUNCTION("VALUE(REGEXEXTRACT(A2600, ""\d+""))"),3008.0)</f>
        <v>3008</v>
      </c>
    </row>
    <row r="2601">
      <c r="A2601" s="9" t="s">
        <v>11476</v>
      </c>
      <c r="B2601" s="9" t="s">
        <v>11477</v>
      </c>
      <c r="D2601" s="9" t="s">
        <v>11478</v>
      </c>
      <c r="G2601" s="6" t="s">
        <v>11479</v>
      </c>
      <c r="J2601" s="9" t="s">
        <v>11480</v>
      </c>
      <c r="O2601" s="10">
        <f>IFERROR(__xludf.DUMMYFUNCTION("VALUE(REGEXEXTRACT(A2601, ""\d+""))"),3009.0)</f>
        <v>3009</v>
      </c>
    </row>
    <row r="2602">
      <c r="A2602" s="9" t="s">
        <v>11481</v>
      </c>
      <c r="B2602" s="9" t="s">
        <v>11482</v>
      </c>
      <c r="D2602" s="9" t="s">
        <v>11483</v>
      </c>
      <c r="G2602" s="6" t="s">
        <v>11482</v>
      </c>
      <c r="J2602" s="9" t="s">
        <v>11484</v>
      </c>
      <c r="O2602" s="10">
        <f>IFERROR(__xludf.DUMMYFUNCTION("VALUE(REGEXEXTRACT(A2602, ""\d+""))"),3010.0)</f>
        <v>3010</v>
      </c>
    </row>
    <row r="2603">
      <c r="A2603" s="9" t="s">
        <v>11485</v>
      </c>
      <c r="B2603" s="9" t="s">
        <v>11486</v>
      </c>
      <c r="G2603" s="6" t="s">
        <v>11487</v>
      </c>
      <c r="O2603" s="10">
        <f>IFERROR(__xludf.DUMMYFUNCTION("VALUE(REGEXEXTRACT(A2603, ""\d+""))"),3011.0)</f>
        <v>3011</v>
      </c>
    </row>
    <row r="2604">
      <c r="A2604" s="9" t="s">
        <v>11488</v>
      </c>
      <c r="B2604" s="9" t="s">
        <v>11489</v>
      </c>
      <c r="D2604" s="9" t="s">
        <v>11490</v>
      </c>
      <c r="G2604" s="6" t="s">
        <v>11491</v>
      </c>
      <c r="J2604" s="9" t="s">
        <v>11492</v>
      </c>
      <c r="O2604" s="10">
        <f>IFERROR(__xludf.DUMMYFUNCTION("VALUE(REGEXEXTRACT(A2604, ""\d+""))"),3012.0)</f>
        <v>3012</v>
      </c>
    </row>
    <row r="2605">
      <c r="A2605" s="9" t="s">
        <v>11493</v>
      </c>
      <c r="B2605" s="9" t="s">
        <v>11494</v>
      </c>
      <c r="G2605" s="6" t="s">
        <v>11495</v>
      </c>
      <c r="O2605" s="10">
        <f>IFERROR(__xludf.DUMMYFUNCTION("VALUE(REGEXEXTRACT(A2605, ""\d+""))"),3013.0)</f>
        <v>3013</v>
      </c>
    </row>
    <row r="2606">
      <c r="A2606" s="9" t="s">
        <v>11496</v>
      </c>
      <c r="B2606" s="9" t="s">
        <v>11497</v>
      </c>
      <c r="G2606" s="6" t="s">
        <v>11498</v>
      </c>
      <c r="O2606" s="10">
        <f>IFERROR(__xludf.DUMMYFUNCTION("VALUE(REGEXEXTRACT(A2606, ""\d+""))"),3014.0)</f>
        <v>3014</v>
      </c>
    </row>
    <row r="2607">
      <c r="A2607" s="9" t="s">
        <v>11499</v>
      </c>
      <c r="B2607" s="9" t="s">
        <v>11500</v>
      </c>
      <c r="D2607" s="9" t="s">
        <v>11501</v>
      </c>
      <c r="G2607" s="6" t="s">
        <v>11502</v>
      </c>
      <c r="J2607" s="9" t="s">
        <v>11503</v>
      </c>
      <c r="O2607" s="10">
        <f>IFERROR(__xludf.DUMMYFUNCTION("VALUE(REGEXEXTRACT(A2607, ""\d+""))"),3015.0)</f>
        <v>3015</v>
      </c>
    </row>
    <row r="2608">
      <c r="A2608" s="9" t="s">
        <v>11504</v>
      </c>
      <c r="B2608" s="9" t="s">
        <v>11505</v>
      </c>
      <c r="D2608" s="9" t="s">
        <v>11506</v>
      </c>
      <c r="G2608" s="6" t="s">
        <v>11507</v>
      </c>
      <c r="J2608" s="9" t="s">
        <v>11508</v>
      </c>
      <c r="O2608" s="10">
        <f>IFERROR(__xludf.DUMMYFUNCTION("VALUE(REGEXEXTRACT(A2608, ""\d+""))"),3017.0)</f>
        <v>3017</v>
      </c>
    </row>
    <row r="2609">
      <c r="A2609" s="9" t="s">
        <v>11509</v>
      </c>
      <c r="B2609" s="9" t="s">
        <v>11510</v>
      </c>
      <c r="D2609" s="9" t="s">
        <v>11511</v>
      </c>
      <c r="G2609" s="6" t="s">
        <v>11512</v>
      </c>
      <c r="J2609" s="9" t="s">
        <v>11513</v>
      </c>
      <c r="O2609" s="10">
        <f>IFERROR(__xludf.DUMMYFUNCTION("VALUE(REGEXEXTRACT(A2609, ""\d+""))"),3018.0)</f>
        <v>3018</v>
      </c>
    </row>
    <row r="2610">
      <c r="A2610" s="9" t="s">
        <v>11514</v>
      </c>
      <c r="B2610" s="9" t="s">
        <v>11515</v>
      </c>
      <c r="D2610" s="9" t="s">
        <v>11516</v>
      </c>
      <c r="G2610" s="6" t="s">
        <v>11517</v>
      </c>
      <c r="J2610" s="9" t="s">
        <v>11518</v>
      </c>
      <c r="O2610" s="10">
        <f>IFERROR(__xludf.DUMMYFUNCTION("VALUE(REGEXEXTRACT(A2610, ""\d+""))"),3019.0)</f>
        <v>3019</v>
      </c>
    </row>
    <row r="2611">
      <c r="A2611" s="9" t="s">
        <v>11519</v>
      </c>
      <c r="B2611" s="9" t="s">
        <v>11520</v>
      </c>
      <c r="D2611" s="9" t="s">
        <v>11521</v>
      </c>
      <c r="G2611" s="6" t="s">
        <v>11522</v>
      </c>
      <c r="J2611" s="9" t="s">
        <v>11523</v>
      </c>
      <c r="O2611" s="10">
        <f>IFERROR(__xludf.DUMMYFUNCTION("VALUE(REGEXEXTRACT(A2611, ""\d+""))"),3021.0)</f>
        <v>3021</v>
      </c>
    </row>
    <row r="2612">
      <c r="A2612" s="9" t="s">
        <v>11524</v>
      </c>
      <c r="B2612" s="9" t="s">
        <v>11525</v>
      </c>
      <c r="D2612" s="9" t="s">
        <v>11526</v>
      </c>
      <c r="G2612" s="6" t="s">
        <v>11527</v>
      </c>
      <c r="J2612" s="9" t="s">
        <v>11528</v>
      </c>
      <c r="O2612" s="10">
        <f>IFERROR(__xludf.DUMMYFUNCTION("VALUE(REGEXEXTRACT(A2612, ""\d+""))"),3022.0)</f>
        <v>3022</v>
      </c>
    </row>
    <row r="2613">
      <c r="A2613" s="9" t="s">
        <v>11529</v>
      </c>
      <c r="B2613" s="9" t="s">
        <v>11530</v>
      </c>
      <c r="D2613" s="9" t="s">
        <v>11531</v>
      </c>
      <c r="G2613" s="6" t="s">
        <v>11532</v>
      </c>
      <c r="J2613" s="9" t="s">
        <v>11533</v>
      </c>
      <c r="O2613" s="10">
        <f>IFERROR(__xludf.DUMMYFUNCTION("VALUE(REGEXEXTRACT(A2613, ""\d+""))"),3025.0)</f>
        <v>3025</v>
      </c>
    </row>
    <row r="2614">
      <c r="A2614" s="9" t="s">
        <v>11534</v>
      </c>
      <c r="B2614" s="9" t="s">
        <v>11535</v>
      </c>
      <c r="D2614" s="9" t="s">
        <v>11536</v>
      </c>
      <c r="G2614" s="6" t="s">
        <v>11537</v>
      </c>
      <c r="J2614" s="9" t="s">
        <v>11538</v>
      </c>
      <c r="O2614" s="10">
        <f>IFERROR(__xludf.DUMMYFUNCTION("VALUE(REGEXEXTRACT(A2614, ""\d+""))"),3026.0)</f>
        <v>3026</v>
      </c>
    </row>
    <row r="2615">
      <c r="A2615" s="9" t="s">
        <v>11539</v>
      </c>
      <c r="B2615" s="9" t="s">
        <v>11540</v>
      </c>
      <c r="D2615" s="9" t="s">
        <v>11541</v>
      </c>
      <c r="G2615" s="6" t="s">
        <v>11542</v>
      </c>
      <c r="J2615" s="9" t="s">
        <v>11543</v>
      </c>
      <c r="O2615" s="10">
        <f>IFERROR(__xludf.DUMMYFUNCTION("VALUE(REGEXEXTRACT(A2615, ""\d+""))"),3027.0)</f>
        <v>3027</v>
      </c>
    </row>
    <row r="2616">
      <c r="A2616" s="9" t="s">
        <v>11544</v>
      </c>
      <c r="B2616" s="9" t="s">
        <v>11545</v>
      </c>
      <c r="D2616" s="9" t="s">
        <v>11546</v>
      </c>
      <c r="G2616" s="6" t="s">
        <v>11547</v>
      </c>
      <c r="J2616" s="9" t="s">
        <v>11548</v>
      </c>
      <c r="O2616" s="10">
        <f>IFERROR(__xludf.DUMMYFUNCTION("VALUE(REGEXEXTRACT(A2616, ""\d+""))"),3028.0)</f>
        <v>3028</v>
      </c>
    </row>
    <row r="2617">
      <c r="A2617" s="9" t="s">
        <v>11549</v>
      </c>
      <c r="B2617" s="9" t="s">
        <v>11550</v>
      </c>
      <c r="D2617" s="9" t="s">
        <v>11551</v>
      </c>
      <c r="G2617" s="6" t="s">
        <v>11552</v>
      </c>
      <c r="J2617" s="9" t="s">
        <v>11550</v>
      </c>
      <c r="O2617" s="10">
        <f>IFERROR(__xludf.DUMMYFUNCTION("VALUE(REGEXEXTRACT(A2617, ""\d+""))"),3029.0)</f>
        <v>3029</v>
      </c>
    </row>
    <row r="2618">
      <c r="A2618" s="9" t="s">
        <v>11553</v>
      </c>
      <c r="B2618" s="9" t="s">
        <v>11554</v>
      </c>
      <c r="D2618" s="9" t="s">
        <v>11555</v>
      </c>
      <c r="G2618" s="6" t="s">
        <v>11555</v>
      </c>
      <c r="J2618" s="9" t="s">
        <v>11556</v>
      </c>
      <c r="O2618" s="10">
        <f>IFERROR(__xludf.DUMMYFUNCTION("VALUE(REGEXEXTRACT(A2618, ""\d+""))"),3030.0)</f>
        <v>3030</v>
      </c>
    </row>
    <row r="2619">
      <c r="A2619" s="9" t="s">
        <v>11557</v>
      </c>
      <c r="B2619" s="9" t="s">
        <v>11558</v>
      </c>
      <c r="D2619" s="9" t="s">
        <v>11559</v>
      </c>
      <c r="G2619" s="6" t="s">
        <v>11559</v>
      </c>
      <c r="J2619" s="9" t="s">
        <v>11560</v>
      </c>
      <c r="O2619" s="10">
        <f>IFERROR(__xludf.DUMMYFUNCTION("VALUE(REGEXEXTRACT(A2619, ""\d+""))"),3031.0)</f>
        <v>3031</v>
      </c>
    </row>
    <row r="2620">
      <c r="A2620" s="9" t="s">
        <v>11561</v>
      </c>
      <c r="B2620" s="9" t="s">
        <v>11562</v>
      </c>
      <c r="D2620" s="9" t="s">
        <v>11563</v>
      </c>
      <c r="G2620" s="6" t="s">
        <v>11564</v>
      </c>
      <c r="J2620" s="9" t="s">
        <v>11565</v>
      </c>
      <c r="O2620" s="10">
        <f>IFERROR(__xludf.DUMMYFUNCTION("VALUE(REGEXEXTRACT(A2620, ""\d+""))"),3032.0)</f>
        <v>3032</v>
      </c>
    </row>
    <row r="2621">
      <c r="A2621" s="9" t="s">
        <v>11566</v>
      </c>
      <c r="B2621" s="9" t="s">
        <v>11567</v>
      </c>
      <c r="G2621" s="9" t="s">
        <v>11568</v>
      </c>
      <c r="O2621" s="10">
        <f>IFERROR(__xludf.DUMMYFUNCTION("VALUE(REGEXEXTRACT(A2621, ""\d+""))"),3034.0)</f>
        <v>3034</v>
      </c>
    </row>
    <row r="2622">
      <c r="A2622" s="9" t="s">
        <v>11569</v>
      </c>
      <c r="B2622" s="9" t="s">
        <v>11570</v>
      </c>
      <c r="D2622" s="9" t="s">
        <v>11571</v>
      </c>
      <c r="G2622" s="6" t="s">
        <v>11572</v>
      </c>
      <c r="J2622" s="9" t="s">
        <v>11573</v>
      </c>
      <c r="O2622" s="10">
        <f>IFERROR(__xludf.DUMMYFUNCTION("VALUE(REGEXEXTRACT(A2622, ""\d+""))"),3036.0)</f>
        <v>3036</v>
      </c>
    </row>
    <row r="2623">
      <c r="A2623" s="9" t="s">
        <v>11574</v>
      </c>
      <c r="B2623" s="9" t="s">
        <v>11575</v>
      </c>
      <c r="D2623" s="9" t="s">
        <v>11576</v>
      </c>
      <c r="G2623" s="6" t="s">
        <v>11577</v>
      </c>
      <c r="J2623" s="9" t="s">
        <v>11578</v>
      </c>
      <c r="O2623" s="10">
        <f>IFERROR(__xludf.DUMMYFUNCTION("VALUE(REGEXEXTRACT(A2623, ""\d+""))"),3037.0)</f>
        <v>3037</v>
      </c>
    </row>
    <row r="2624">
      <c r="A2624" s="9" t="s">
        <v>11579</v>
      </c>
      <c r="B2624" s="9" t="s">
        <v>11580</v>
      </c>
      <c r="D2624" s="9" t="s">
        <v>11581</v>
      </c>
      <c r="G2624" s="6" t="s">
        <v>11582</v>
      </c>
      <c r="J2624" s="9" t="s">
        <v>11583</v>
      </c>
      <c r="O2624" s="10">
        <f>IFERROR(__xludf.DUMMYFUNCTION("VALUE(REGEXEXTRACT(A2624, ""\d+""))"),3038.0)</f>
        <v>3038</v>
      </c>
    </row>
    <row r="2625">
      <c r="A2625" s="9" t="s">
        <v>11584</v>
      </c>
      <c r="B2625" s="9" t="s">
        <v>11585</v>
      </c>
      <c r="D2625" s="9" t="s">
        <v>11586</v>
      </c>
      <c r="G2625" s="6" t="s">
        <v>11587</v>
      </c>
      <c r="J2625" s="9" t="s">
        <v>11588</v>
      </c>
      <c r="O2625" s="10">
        <f>IFERROR(__xludf.DUMMYFUNCTION("VALUE(REGEXEXTRACT(A2625, ""\d+""))"),3039.0)</f>
        <v>3039</v>
      </c>
    </row>
    <row r="2626">
      <c r="A2626" s="9" t="s">
        <v>11589</v>
      </c>
      <c r="B2626" s="9" t="s">
        <v>11590</v>
      </c>
      <c r="D2626" s="9" t="s">
        <v>11591</v>
      </c>
      <c r="G2626" s="6" t="s">
        <v>11592</v>
      </c>
      <c r="J2626" s="9" t="s">
        <v>11593</v>
      </c>
      <c r="O2626" s="10">
        <f>IFERROR(__xludf.DUMMYFUNCTION("VALUE(REGEXEXTRACT(A2626, ""\d+""))"),3040.0)</f>
        <v>3040</v>
      </c>
    </row>
    <row r="2627">
      <c r="A2627" s="9" t="s">
        <v>11594</v>
      </c>
      <c r="B2627" s="9" t="s">
        <v>11595</v>
      </c>
      <c r="D2627" s="9" t="s">
        <v>11596</v>
      </c>
      <c r="G2627" s="6" t="s">
        <v>11597</v>
      </c>
      <c r="J2627" s="9" t="s">
        <v>11598</v>
      </c>
      <c r="O2627" s="10">
        <f>IFERROR(__xludf.DUMMYFUNCTION("VALUE(REGEXEXTRACT(A2627, ""\d+""))"),3041.0)</f>
        <v>3041</v>
      </c>
    </row>
    <row r="2628">
      <c r="A2628" s="9" t="s">
        <v>11599</v>
      </c>
      <c r="B2628" s="9" t="s">
        <v>11600</v>
      </c>
      <c r="D2628" s="9" t="s">
        <v>11600</v>
      </c>
      <c r="G2628" s="6" t="s">
        <v>11600</v>
      </c>
      <c r="J2628" s="9" t="s">
        <v>11600</v>
      </c>
      <c r="O2628" s="10">
        <f>IFERROR(__xludf.DUMMYFUNCTION("VALUE(REGEXEXTRACT(A2628, ""\d+""))"),3043.0)</f>
        <v>3043</v>
      </c>
    </row>
    <row r="2629">
      <c r="A2629" s="9" t="s">
        <v>11601</v>
      </c>
      <c r="B2629" s="9" t="s">
        <v>11602</v>
      </c>
      <c r="D2629" s="9" t="s">
        <v>11603</v>
      </c>
      <c r="G2629" s="6" t="s">
        <v>11604</v>
      </c>
      <c r="J2629" s="9" t="s">
        <v>11605</v>
      </c>
      <c r="O2629" s="10">
        <f>IFERROR(__xludf.DUMMYFUNCTION("VALUE(REGEXEXTRACT(A2629, ""\d+""))"),3046.0)</f>
        <v>3046</v>
      </c>
    </row>
    <row r="2630">
      <c r="A2630" s="9" t="s">
        <v>11606</v>
      </c>
      <c r="B2630" s="9" t="s">
        <v>11607</v>
      </c>
      <c r="G2630" s="6" t="s">
        <v>11608</v>
      </c>
      <c r="O2630" s="10">
        <f>IFERROR(__xludf.DUMMYFUNCTION("VALUE(REGEXEXTRACT(A2630, ""\d+""))"),3047.0)</f>
        <v>3047</v>
      </c>
    </row>
    <row r="2631">
      <c r="A2631" s="9" t="s">
        <v>11609</v>
      </c>
      <c r="B2631" s="9" t="s">
        <v>11610</v>
      </c>
      <c r="G2631" s="6" t="s">
        <v>11611</v>
      </c>
      <c r="O2631" s="10">
        <f>IFERROR(__xludf.DUMMYFUNCTION("VALUE(REGEXEXTRACT(A2631, ""\d+""))"),3048.0)</f>
        <v>3048</v>
      </c>
    </row>
    <row r="2632">
      <c r="A2632" s="9" t="s">
        <v>11612</v>
      </c>
      <c r="B2632" s="9" t="s">
        <v>11613</v>
      </c>
      <c r="D2632" s="9" t="s">
        <v>11614</v>
      </c>
      <c r="G2632" s="6" t="s">
        <v>11615</v>
      </c>
      <c r="J2632" s="9" t="s">
        <v>11616</v>
      </c>
      <c r="O2632" s="10">
        <f>IFERROR(__xludf.DUMMYFUNCTION("VALUE(REGEXEXTRACT(A2632, ""\d+""))"),3050.0)</f>
        <v>3050</v>
      </c>
    </row>
    <row r="2633">
      <c r="A2633" s="9" t="s">
        <v>11617</v>
      </c>
      <c r="B2633" s="9" t="s">
        <v>11618</v>
      </c>
      <c r="D2633" s="9" t="s">
        <v>11619</v>
      </c>
      <c r="G2633" s="6" t="s">
        <v>11620</v>
      </c>
      <c r="J2633" s="9" t="s">
        <v>11618</v>
      </c>
      <c r="O2633" s="10">
        <f>IFERROR(__xludf.DUMMYFUNCTION("VALUE(REGEXEXTRACT(A2633, ""\d+""))"),3051.0)</f>
        <v>3051</v>
      </c>
    </row>
    <row r="2634">
      <c r="A2634" s="9" t="s">
        <v>11621</v>
      </c>
      <c r="B2634" s="9" t="s">
        <v>11622</v>
      </c>
      <c r="G2634" s="6" t="s">
        <v>11623</v>
      </c>
      <c r="O2634" s="10">
        <f>IFERROR(__xludf.DUMMYFUNCTION("VALUE(REGEXEXTRACT(A2634, ""\d+""))"),3052.0)</f>
        <v>3052</v>
      </c>
    </row>
    <row r="2635">
      <c r="A2635" s="9" t="s">
        <v>11624</v>
      </c>
      <c r="B2635" s="9" t="s">
        <v>11625</v>
      </c>
      <c r="G2635" s="6" t="s">
        <v>11626</v>
      </c>
      <c r="O2635" s="10">
        <f>IFERROR(__xludf.DUMMYFUNCTION("VALUE(REGEXEXTRACT(A2635, ""\d+""))"),3053.0)</f>
        <v>3053</v>
      </c>
    </row>
    <row r="2636">
      <c r="A2636" s="9" t="s">
        <v>11627</v>
      </c>
      <c r="B2636" s="9" t="s">
        <v>11628</v>
      </c>
      <c r="G2636" s="6" t="s">
        <v>11629</v>
      </c>
      <c r="O2636" s="10">
        <f>IFERROR(__xludf.DUMMYFUNCTION("VALUE(REGEXEXTRACT(A2636, ""\d+""))"),3054.0)</f>
        <v>3054</v>
      </c>
    </row>
    <row r="2637">
      <c r="A2637" s="9" t="s">
        <v>11630</v>
      </c>
      <c r="B2637" s="9" t="s">
        <v>11631</v>
      </c>
      <c r="G2637" s="6" t="s">
        <v>11632</v>
      </c>
      <c r="O2637" s="10">
        <f>IFERROR(__xludf.DUMMYFUNCTION("VALUE(REGEXEXTRACT(A2637, ""\d+""))"),3055.0)</f>
        <v>3055</v>
      </c>
    </row>
    <row r="2638">
      <c r="A2638" s="9" t="s">
        <v>11633</v>
      </c>
      <c r="B2638" s="9" t="s">
        <v>11634</v>
      </c>
      <c r="G2638" s="6" t="s">
        <v>11635</v>
      </c>
      <c r="O2638" s="10">
        <f>IFERROR(__xludf.DUMMYFUNCTION("VALUE(REGEXEXTRACT(A2638, ""\d+""))"),3056.0)</f>
        <v>3056</v>
      </c>
    </row>
    <row r="2639">
      <c r="A2639" s="9" t="s">
        <v>11636</v>
      </c>
      <c r="B2639" s="9" t="s">
        <v>11637</v>
      </c>
      <c r="D2639" s="9" t="s">
        <v>11638</v>
      </c>
      <c r="G2639" s="6" t="s">
        <v>11639</v>
      </c>
      <c r="J2639" s="9" t="s">
        <v>11640</v>
      </c>
      <c r="O2639" s="10">
        <f>IFERROR(__xludf.DUMMYFUNCTION("VALUE(REGEXEXTRACT(A2639, ""\d+""))"),3057.0)</f>
        <v>3057</v>
      </c>
    </row>
    <row r="2640">
      <c r="A2640" s="9" t="s">
        <v>11641</v>
      </c>
      <c r="B2640" s="9" t="s">
        <v>11642</v>
      </c>
      <c r="D2640" s="9" t="s">
        <v>11643</v>
      </c>
      <c r="G2640" s="6" t="s">
        <v>11644</v>
      </c>
      <c r="J2640" s="9" t="s">
        <v>11645</v>
      </c>
      <c r="O2640" s="10">
        <f>IFERROR(__xludf.DUMMYFUNCTION("VALUE(REGEXEXTRACT(A2640, ""\d+""))"),3059.0)</f>
        <v>3059</v>
      </c>
    </row>
    <row r="2641">
      <c r="A2641" s="9" t="s">
        <v>11646</v>
      </c>
      <c r="B2641" s="9" t="s">
        <v>11647</v>
      </c>
      <c r="G2641" s="6" t="s">
        <v>11648</v>
      </c>
      <c r="O2641" s="10">
        <f>IFERROR(__xludf.DUMMYFUNCTION("VALUE(REGEXEXTRACT(A2641, ""\d+""))"),3060.0)</f>
        <v>3060</v>
      </c>
    </row>
    <row r="2642">
      <c r="A2642" s="9" t="s">
        <v>11649</v>
      </c>
      <c r="B2642" s="9" t="s">
        <v>11650</v>
      </c>
      <c r="D2642" s="9" t="s">
        <v>11651</v>
      </c>
      <c r="G2642" s="6" t="s">
        <v>11652</v>
      </c>
      <c r="J2642" s="9" t="s">
        <v>11653</v>
      </c>
      <c r="O2642" s="10">
        <f>IFERROR(__xludf.DUMMYFUNCTION("VALUE(REGEXEXTRACT(A2642, ""\d+""))"),3064.0)</f>
        <v>3064</v>
      </c>
    </row>
    <row r="2643">
      <c r="A2643" s="9" t="s">
        <v>11654</v>
      </c>
      <c r="B2643" s="9" t="s">
        <v>11655</v>
      </c>
      <c r="D2643" s="9" t="s">
        <v>11656</v>
      </c>
      <c r="G2643" s="6" t="s">
        <v>11657</v>
      </c>
      <c r="J2643" s="9" t="s">
        <v>11658</v>
      </c>
      <c r="O2643" s="10">
        <f>IFERROR(__xludf.DUMMYFUNCTION("VALUE(REGEXEXTRACT(A2643, ""\d+""))"),3065.0)</f>
        <v>3065</v>
      </c>
    </row>
    <row r="2644">
      <c r="A2644" s="9" t="s">
        <v>11659</v>
      </c>
      <c r="B2644" s="9" t="s">
        <v>11660</v>
      </c>
      <c r="G2644" s="6" t="s">
        <v>11661</v>
      </c>
      <c r="O2644" s="10">
        <f>IFERROR(__xludf.DUMMYFUNCTION("VALUE(REGEXEXTRACT(A2644, ""\d+""))"),3066.0)</f>
        <v>3066</v>
      </c>
    </row>
    <row r="2645">
      <c r="A2645" s="9" t="s">
        <v>11662</v>
      </c>
      <c r="B2645" s="9" t="s">
        <v>11663</v>
      </c>
      <c r="G2645" s="6" t="s">
        <v>11664</v>
      </c>
      <c r="O2645" s="10">
        <f>IFERROR(__xludf.DUMMYFUNCTION("VALUE(REGEXEXTRACT(A2645, ""\d+""))"),3068.0)</f>
        <v>3068</v>
      </c>
    </row>
    <row r="2646">
      <c r="A2646" s="9" t="s">
        <v>11665</v>
      </c>
      <c r="B2646" s="9" t="s">
        <v>11666</v>
      </c>
      <c r="D2646" s="9" t="s">
        <v>11667</v>
      </c>
      <c r="G2646" s="6" t="s">
        <v>11668</v>
      </c>
      <c r="J2646" s="9" t="s">
        <v>11669</v>
      </c>
      <c r="O2646" s="10">
        <f>IFERROR(__xludf.DUMMYFUNCTION("VALUE(REGEXEXTRACT(A2646, ""\d+""))"),3069.0)</f>
        <v>3069</v>
      </c>
    </row>
    <row r="2647">
      <c r="A2647" s="9" t="s">
        <v>11670</v>
      </c>
      <c r="B2647" s="9" t="s">
        <v>11671</v>
      </c>
      <c r="D2647" s="9" t="s">
        <v>11672</v>
      </c>
      <c r="G2647" s="6" t="s">
        <v>11673</v>
      </c>
      <c r="J2647" s="9" t="s">
        <v>11674</v>
      </c>
      <c r="O2647" s="10">
        <f>IFERROR(__xludf.DUMMYFUNCTION("VALUE(REGEXEXTRACT(A2647, ""\d+""))"),3070.0)</f>
        <v>3070</v>
      </c>
    </row>
    <row r="2648">
      <c r="A2648" s="9" t="s">
        <v>11675</v>
      </c>
      <c r="B2648" s="9" t="s">
        <v>11676</v>
      </c>
      <c r="G2648" s="6" t="s">
        <v>11677</v>
      </c>
      <c r="O2648" s="10">
        <f>IFERROR(__xludf.DUMMYFUNCTION("VALUE(REGEXEXTRACT(A2648, ""\d+""))"),3071.0)</f>
        <v>3071</v>
      </c>
    </row>
    <row r="2649">
      <c r="A2649" s="9" t="s">
        <v>11678</v>
      </c>
      <c r="B2649" s="9" t="s">
        <v>11679</v>
      </c>
      <c r="D2649" s="9" t="s">
        <v>11680</v>
      </c>
      <c r="G2649" s="6" t="s">
        <v>11681</v>
      </c>
      <c r="J2649" s="9" t="s">
        <v>11682</v>
      </c>
      <c r="O2649" s="10">
        <f>IFERROR(__xludf.DUMMYFUNCTION("VALUE(REGEXEXTRACT(A2649, ""\d+""))"),3072.0)</f>
        <v>3072</v>
      </c>
    </row>
    <row r="2650">
      <c r="A2650" s="9" t="s">
        <v>11683</v>
      </c>
      <c r="B2650" s="9" t="s">
        <v>11684</v>
      </c>
      <c r="D2650" s="9" t="s">
        <v>11685</v>
      </c>
      <c r="G2650" s="6" t="s">
        <v>11686</v>
      </c>
      <c r="J2650" s="9" t="s">
        <v>11687</v>
      </c>
      <c r="O2650" s="10">
        <f>IFERROR(__xludf.DUMMYFUNCTION("VALUE(REGEXEXTRACT(A2650, ""\d+""))"),3073.0)</f>
        <v>3073</v>
      </c>
    </row>
    <row r="2651">
      <c r="A2651" s="9" t="s">
        <v>11688</v>
      </c>
      <c r="B2651" s="9" t="s">
        <v>11689</v>
      </c>
      <c r="D2651" s="9" t="s">
        <v>11690</v>
      </c>
      <c r="G2651" s="6" t="s">
        <v>11691</v>
      </c>
      <c r="J2651" s="9" t="s">
        <v>11692</v>
      </c>
      <c r="O2651" s="10">
        <f>IFERROR(__xludf.DUMMYFUNCTION("VALUE(REGEXEXTRACT(A2651, ""\d+""))"),3074.0)</f>
        <v>3074</v>
      </c>
    </row>
    <row r="2652">
      <c r="A2652" s="9" t="s">
        <v>11693</v>
      </c>
      <c r="B2652" s="9" t="s">
        <v>11694</v>
      </c>
      <c r="G2652" s="6" t="s">
        <v>11694</v>
      </c>
      <c r="O2652" s="10">
        <f>IFERROR(__xludf.DUMMYFUNCTION("VALUE(REGEXEXTRACT(A2652, ""\d+""))"),3075.0)</f>
        <v>3075</v>
      </c>
    </row>
    <row r="2653">
      <c r="A2653" s="9" t="s">
        <v>11695</v>
      </c>
      <c r="B2653" s="9" t="s">
        <v>11696</v>
      </c>
      <c r="D2653" s="9" t="s">
        <v>11697</v>
      </c>
      <c r="G2653" s="6" t="s">
        <v>11698</v>
      </c>
      <c r="J2653" s="9" t="s">
        <v>11699</v>
      </c>
      <c r="O2653" s="10">
        <f>IFERROR(__xludf.DUMMYFUNCTION("VALUE(REGEXEXTRACT(A2653, ""\d+""))"),3076.0)</f>
        <v>3076</v>
      </c>
    </row>
    <row r="2654">
      <c r="A2654" s="9" t="s">
        <v>11700</v>
      </c>
      <c r="B2654" s="9" t="s">
        <v>11701</v>
      </c>
      <c r="D2654" s="9" t="s">
        <v>11702</v>
      </c>
      <c r="G2654" s="6" t="s">
        <v>11703</v>
      </c>
      <c r="J2654" s="9" t="s">
        <v>11704</v>
      </c>
      <c r="O2654" s="10">
        <f>IFERROR(__xludf.DUMMYFUNCTION("VALUE(REGEXEXTRACT(A2654, ""\d+""))"),3077.0)</f>
        <v>3077</v>
      </c>
    </row>
    <row r="2655">
      <c r="A2655" s="9" t="s">
        <v>11705</v>
      </c>
      <c r="B2655" s="9" t="s">
        <v>11706</v>
      </c>
      <c r="D2655" s="9" t="s">
        <v>11707</v>
      </c>
      <c r="G2655" s="6" t="s">
        <v>11706</v>
      </c>
      <c r="J2655" s="9" t="s">
        <v>11708</v>
      </c>
      <c r="O2655" s="10">
        <f>IFERROR(__xludf.DUMMYFUNCTION("VALUE(REGEXEXTRACT(A2655, ""\d+""))"),3078.0)</f>
        <v>3078</v>
      </c>
    </row>
    <row r="2656">
      <c r="A2656" s="9" t="s">
        <v>11709</v>
      </c>
      <c r="B2656" s="9" t="s">
        <v>11710</v>
      </c>
      <c r="D2656" s="9" t="s">
        <v>11711</v>
      </c>
      <c r="G2656" s="6" t="s">
        <v>11710</v>
      </c>
      <c r="J2656" s="9" t="s">
        <v>11712</v>
      </c>
      <c r="O2656" s="10">
        <f>IFERROR(__xludf.DUMMYFUNCTION("VALUE(REGEXEXTRACT(A2656, ""\d+""))"),3079.0)</f>
        <v>3079</v>
      </c>
    </row>
    <row r="2657">
      <c r="A2657" s="9" t="s">
        <v>11713</v>
      </c>
      <c r="B2657" s="9" t="s">
        <v>11714</v>
      </c>
      <c r="D2657" s="9" t="s">
        <v>11715</v>
      </c>
      <c r="G2657" s="6" t="s">
        <v>11714</v>
      </c>
      <c r="J2657" s="9" t="s">
        <v>11716</v>
      </c>
      <c r="O2657" s="10">
        <f>IFERROR(__xludf.DUMMYFUNCTION("VALUE(REGEXEXTRACT(A2657, ""\d+""))"),3080.0)</f>
        <v>3080</v>
      </c>
    </row>
    <row r="2658">
      <c r="A2658" s="9" t="s">
        <v>11717</v>
      </c>
      <c r="B2658" s="9" t="s">
        <v>11718</v>
      </c>
      <c r="D2658" s="9" t="s">
        <v>11719</v>
      </c>
      <c r="G2658" s="6" t="s">
        <v>11718</v>
      </c>
      <c r="J2658" s="9" t="s">
        <v>11720</v>
      </c>
      <c r="O2658" s="10">
        <f>IFERROR(__xludf.DUMMYFUNCTION("VALUE(REGEXEXTRACT(A2658, ""\d+""))"),3081.0)</f>
        <v>3081</v>
      </c>
    </row>
    <row r="2659">
      <c r="A2659" s="9" t="s">
        <v>11721</v>
      </c>
      <c r="B2659" s="9" t="s">
        <v>11722</v>
      </c>
      <c r="G2659" s="6" t="s">
        <v>11723</v>
      </c>
      <c r="O2659" s="10">
        <f>IFERROR(__xludf.DUMMYFUNCTION("VALUE(REGEXEXTRACT(A2659, ""\d+""))"),3083.0)</f>
        <v>3083</v>
      </c>
    </row>
    <row r="2660">
      <c r="A2660" s="9" t="s">
        <v>11724</v>
      </c>
      <c r="B2660" s="9" t="s">
        <v>11725</v>
      </c>
      <c r="G2660" s="6" t="s">
        <v>11726</v>
      </c>
      <c r="O2660" s="10">
        <f>IFERROR(__xludf.DUMMYFUNCTION("VALUE(REGEXEXTRACT(A2660, ""\d+""))"),3084.0)</f>
        <v>3084</v>
      </c>
    </row>
    <row r="2661">
      <c r="A2661" s="9" t="s">
        <v>11727</v>
      </c>
      <c r="B2661" s="9" t="s">
        <v>11728</v>
      </c>
      <c r="G2661" s="6" t="s">
        <v>11729</v>
      </c>
      <c r="O2661" s="10">
        <f>IFERROR(__xludf.DUMMYFUNCTION("VALUE(REGEXEXTRACT(A2661, ""\d+""))"),3085.0)</f>
        <v>3085</v>
      </c>
    </row>
    <row r="2662">
      <c r="A2662" s="9" t="s">
        <v>11730</v>
      </c>
      <c r="B2662" s="9" t="s">
        <v>11731</v>
      </c>
      <c r="G2662" s="6" t="s">
        <v>11732</v>
      </c>
      <c r="O2662" s="10">
        <f>IFERROR(__xludf.DUMMYFUNCTION("VALUE(REGEXEXTRACT(A2662, ""\d+""))"),3086.0)</f>
        <v>3086</v>
      </c>
    </row>
    <row r="2663">
      <c r="A2663" s="9" t="s">
        <v>11733</v>
      </c>
      <c r="B2663" s="9" t="s">
        <v>11734</v>
      </c>
      <c r="G2663" s="6" t="s">
        <v>11735</v>
      </c>
      <c r="O2663" s="10">
        <f>IFERROR(__xludf.DUMMYFUNCTION("VALUE(REGEXEXTRACT(A2663, ""\d+""))"),3087.0)</f>
        <v>3087</v>
      </c>
    </row>
    <row r="2664">
      <c r="A2664" s="9" t="s">
        <v>11736</v>
      </c>
      <c r="B2664" s="9" t="s">
        <v>11737</v>
      </c>
      <c r="G2664" s="6" t="s">
        <v>11738</v>
      </c>
      <c r="O2664" s="10">
        <f>IFERROR(__xludf.DUMMYFUNCTION("VALUE(REGEXEXTRACT(A2664, ""\d+""))"),3088.0)</f>
        <v>3088</v>
      </c>
    </row>
    <row r="2665">
      <c r="A2665" s="9" t="s">
        <v>11739</v>
      </c>
      <c r="B2665" s="9" t="s">
        <v>11740</v>
      </c>
      <c r="G2665" s="6" t="s">
        <v>11741</v>
      </c>
      <c r="O2665" s="10">
        <f>IFERROR(__xludf.DUMMYFUNCTION("VALUE(REGEXEXTRACT(A2665, ""\d+""))"),3089.0)</f>
        <v>3089</v>
      </c>
    </row>
    <row r="2666">
      <c r="A2666" s="9" t="s">
        <v>11742</v>
      </c>
      <c r="B2666" s="9" t="s">
        <v>11743</v>
      </c>
      <c r="G2666" s="6" t="s">
        <v>11744</v>
      </c>
      <c r="O2666" s="10">
        <f>IFERROR(__xludf.DUMMYFUNCTION("VALUE(REGEXEXTRACT(A2666, ""\d+""))"),3090.0)</f>
        <v>3090</v>
      </c>
    </row>
    <row r="2667">
      <c r="A2667" s="9" t="s">
        <v>11745</v>
      </c>
      <c r="B2667" s="9" t="s">
        <v>11746</v>
      </c>
      <c r="G2667" s="6" t="s">
        <v>11747</v>
      </c>
      <c r="O2667" s="10">
        <f>IFERROR(__xludf.DUMMYFUNCTION("VALUE(REGEXEXTRACT(A2667, ""\d+""))"),3091.0)</f>
        <v>3091</v>
      </c>
    </row>
    <row r="2668">
      <c r="A2668" s="9" t="s">
        <v>11748</v>
      </c>
      <c r="B2668" s="9" t="s">
        <v>11749</v>
      </c>
      <c r="D2668" s="9" t="s">
        <v>11750</v>
      </c>
      <c r="G2668" s="6" t="s">
        <v>11751</v>
      </c>
      <c r="J2668" s="9" t="s">
        <v>11752</v>
      </c>
      <c r="O2668" s="10">
        <f>IFERROR(__xludf.DUMMYFUNCTION("VALUE(REGEXEXTRACT(A2668, ""\d+""))"),3092.0)</f>
        <v>3092</v>
      </c>
    </row>
    <row r="2669">
      <c r="A2669" s="9" t="s">
        <v>11753</v>
      </c>
      <c r="B2669" s="9" t="s">
        <v>11754</v>
      </c>
      <c r="G2669" s="6" t="s">
        <v>11755</v>
      </c>
      <c r="O2669" s="10">
        <f>IFERROR(__xludf.DUMMYFUNCTION("VALUE(REGEXEXTRACT(A2669, ""\d+""))"),3093.0)</f>
        <v>3093</v>
      </c>
    </row>
    <row r="2670">
      <c r="A2670" s="9" t="s">
        <v>11756</v>
      </c>
      <c r="B2670" s="9" t="s">
        <v>11757</v>
      </c>
      <c r="G2670" s="6" t="s">
        <v>11758</v>
      </c>
      <c r="O2670" s="10">
        <f>IFERROR(__xludf.DUMMYFUNCTION("VALUE(REGEXEXTRACT(A2670, ""\d+""))"),3095.0)</f>
        <v>3095</v>
      </c>
    </row>
    <row r="2671">
      <c r="A2671" s="9" t="s">
        <v>11759</v>
      </c>
      <c r="B2671" s="9" t="s">
        <v>11760</v>
      </c>
      <c r="G2671" s="6" t="s">
        <v>11761</v>
      </c>
      <c r="O2671" s="10">
        <f>IFERROR(__xludf.DUMMYFUNCTION("VALUE(REGEXEXTRACT(A2671, ""\d+""))"),3096.0)</f>
        <v>3096</v>
      </c>
    </row>
    <row r="2672">
      <c r="A2672" s="9" t="s">
        <v>11762</v>
      </c>
      <c r="B2672" s="9" t="s">
        <v>11763</v>
      </c>
      <c r="D2672" s="9" t="s">
        <v>11764</v>
      </c>
      <c r="G2672" s="6" t="s">
        <v>11765</v>
      </c>
      <c r="J2672" s="9" t="s">
        <v>11766</v>
      </c>
      <c r="O2672" s="10">
        <f>IFERROR(__xludf.DUMMYFUNCTION("VALUE(REGEXEXTRACT(A2672, ""\d+""))"),3097.0)</f>
        <v>3097</v>
      </c>
    </row>
    <row r="2673">
      <c r="A2673" s="9" t="s">
        <v>11767</v>
      </c>
      <c r="B2673" s="9" t="s">
        <v>11768</v>
      </c>
      <c r="D2673" s="9" t="s">
        <v>11769</v>
      </c>
      <c r="G2673" s="6" t="s">
        <v>11770</v>
      </c>
      <c r="J2673" s="9" t="s">
        <v>11771</v>
      </c>
      <c r="O2673" s="10">
        <f>IFERROR(__xludf.DUMMYFUNCTION("VALUE(REGEXEXTRACT(A2673, ""\d+""))"),3098.0)</f>
        <v>3098</v>
      </c>
    </row>
    <row r="2674">
      <c r="A2674" s="9" t="s">
        <v>11772</v>
      </c>
      <c r="B2674" s="9" t="s">
        <v>11773</v>
      </c>
      <c r="D2674" s="9" t="s">
        <v>11774</v>
      </c>
      <c r="G2674" s="6" t="s">
        <v>11775</v>
      </c>
      <c r="J2674" s="9" t="s">
        <v>11776</v>
      </c>
      <c r="O2674" s="10">
        <f>IFERROR(__xludf.DUMMYFUNCTION("VALUE(REGEXEXTRACT(A2674, ""\d+""))"),3099.0)</f>
        <v>3099</v>
      </c>
    </row>
    <row r="2675">
      <c r="A2675" s="9" t="s">
        <v>11777</v>
      </c>
      <c r="B2675" s="9" t="s">
        <v>11778</v>
      </c>
      <c r="D2675" s="9" t="s">
        <v>11779</v>
      </c>
      <c r="G2675" s="6" t="s">
        <v>11780</v>
      </c>
      <c r="J2675" s="9" t="s">
        <v>11781</v>
      </c>
      <c r="O2675" s="10">
        <f>IFERROR(__xludf.DUMMYFUNCTION("VALUE(REGEXEXTRACT(A2675, ""\d+""))"),3100.0)</f>
        <v>3100</v>
      </c>
    </row>
    <row r="2676">
      <c r="A2676" s="9" t="s">
        <v>11782</v>
      </c>
      <c r="B2676" s="9" t="s">
        <v>11783</v>
      </c>
      <c r="D2676" s="9" t="s">
        <v>11784</v>
      </c>
      <c r="G2676" s="6" t="s">
        <v>11785</v>
      </c>
      <c r="J2676" s="9" t="s">
        <v>11786</v>
      </c>
      <c r="O2676" s="10">
        <f>IFERROR(__xludf.DUMMYFUNCTION("VALUE(REGEXEXTRACT(A2676, ""\d+""))"),3101.0)</f>
        <v>3101</v>
      </c>
    </row>
    <row r="2677">
      <c r="A2677" s="9" t="s">
        <v>11787</v>
      </c>
      <c r="B2677" s="9" t="s">
        <v>11788</v>
      </c>
      <c r="D2677" s="9" t="s">
        <v>11789</v>
      </c>
      <c r="G2677" s="6" t="s">
        <v>11790</v>
      </c>
      <c r="J2677" s="9" t="s">
        <v>11791</v>
      </c>
      <c r="O2677" s="10">
        <f>IFERROR(__xludf.DUMMYFUNCTION("VALUE(REGEXEXTRACT(A2677, ""\d+""))"),3102.0)</f>
        <v>3102</v>
      </c>
    </row>
    <row r="2678">
      <c r="A2678" s="9" t="s">
        <v>11792</v>
      </c>
      <c r="B2678" s="9" t="s">
        <v>11793</v>
      </c>
      <c r="D2678" s="9" t="s">
        <v>11794</v>
      </c>
      <c r="G2678" s="6" t="s">
        <v>11795</v>
      </c>
      <c r="J2678" s="9" t="s">
        <v>11796</v>
      </c>
      <c r="O2678" s="10">
        <f>IFERROR(__xludf.DUMMYFUNCTION("VALUE(REGEXEXTRACT(A2678, ""\d+""))"),3103.0)</f>
        <v>3103</v>
      </c>
    </row>
    <row r="2679">
      <c r="A2679" s="9" t="s">
        <v>11797</v>
      </c>
      <c r="B2679" s="9" t="s">
        <v>11798</v>
      </c>
      <c r="D2679" s="9" t="s">
        <v>11799</v>
      </c>
      <c r="G2679" s="6" t="s">
        <v>11800</v>
      </c>
      <c r="J2679" s="9" t="s">
        <v>11801</v>
      </c>
      <c r="O2679" s="10">
        <f>IFERROR(__xludf.DUMMYFUNCTION("VALUE(REGEXEXTRACT(A2679, ""\d+""))"),3104.0)</f>
        <v>3104</v>
      </c>
    </row>
    <row r="2680">
      <c r="A2680" s="9" t="s">
        <v>11802</v>
      </c>
      <c r="B2680" s="9" t="s">
        <v>11803</v>
      </c>
      <c r="D2680" s="9" t="s">
        <v>11804</v>
      </c>
      <c r="G2680" s="6" t="s">
        <v>11805</v>
      </c>
      <c r="J2680" s="9" t="s">
        <v>11806</v>
      </c>
      <c r="O2680" s="10">
        <f>IFERROR(__xludf.DUMMYFUNCTION("VALUE(REGEXEXTRACT(A2680, ""\d+""))"),3105.0)</f>
        <v>3105</v>
      </c>
    </row>
    <row r="2681">
      <c r="A2681" s="9" t="s">
        <v>11807</v>
      </c>
      <c r="B2681" s="9" t="s">
        <v>11808</v>
      </c>
      <c r="D2681" s="9" t="s">
        <v>11809</v>
      </c>
      <c r="G2681" s="6" t="s">
        <v>11810</v>
      </c>
      <c r="J2681" s="9" t="s">
        <v>11811</v>
      </c>
      <c r="O2681" s="10">
        <f>IFERROR(__xludf.DUMMYFUNCTION("VALUE(REGEXEXTRACT(A2681, ""\d+""))"),3106.0)</f>
        <v>3106</v>
      </c>
    </row>
    <row r="2682">
      <c r="A2682" s="9" t="s">
        <v>11812</v>
      </c>
      <c r="B2682" s="9" t="s">
        <v>11813</v>
      </c>
      <c r="D2682" s="9" t="s">
        <v>11814</v>
      </c>
      <c r="G2682" s="6" t="s">
        <v>11815</v>
      </c>
      <c r="J2682" s="9" t="s">
        <v>11816</v>
      </c>
      <c r="O2682" s="10">
        <f>IFERROR(__xludf.DUMMYFUNCTION("VALUE(REGEXEXTRACT(A2682, ""\d+""))"),3107.0)</f>
        <v>3107</v>
      </c>
    </row>
    <row r="2683">
      <c r="A2683" s="9" t="s">
        <v>11817</v>
      </c>
      <c r="B2683" s="9" t="s">
        <v>11818</v>
      </c>
      <c r="D2683" s="9" t="s">
        <v>11819</v>
      </c>
      <c r="G2683" s="6" t="s">
        <v>11820</v>
      </c>
      <c r="J2683" s="9" t="s">
        <v>11821</v>
      </c>
      <c r="O2683" s="10">
        <f>IFERROR(__xludf.DUMMYFUNCTION("VALUE(REGEXEXTRACT(A2683, ""\d+""))"),3108.0)</f>
        <v>3108</v>
      </c>
    </row>
    <row r="2684">
      <c r="A2684" s="9" t="s">
        <v>11822</v>
      </c>
      <c r="B2684" s="9" t="s">
        <v>11823</v>
      </c>
      <c r="D2684" s="9" t="s">
        <v>11824</v>
      </c>
      <c r="G2684" s="6" t="s">
        <v>11825</v>
      </c>
      <c r="J2684" s="9" t="s">
        <v>11826</v>
      </c>
      <c r="O2684" s="10">
        <f>IFERROR(__xludf.DUMMYFUNCTION("VALUE(REGEXEXTRACT(A2684, ""\d+""))"),3109.0)</f>
        <v>3109</v>
      </c>
    </row>
    <row r="2685">
      <c r="A2685" s="9" t="s">
        <v>11827</v>
      </c>
      <c r="B2685" s="9" t="s">
        <v>11828</v>
      </c>
      <c r="G2685" s="9" t="s">
        <v>11829</v>
      </c>
      <c r="O2685" s="10">
        <f>IFERROR(__xludf.DUMMYFUNCTION("VALUE(REGEXEXTRACT(A2685, ""\d+""))"),3110.0)</f>
        <v>3110</v>
      </c>
    </row>
    <row r="2686">
      <c r="A2686" s="9" t="s">
        <v>11830</v>
      </c>
      <c r="B2686" s="9" t="s">
        <v>11831</v>
      </c>
      <c r="G2686" s="9" t="s">
        <v>11832</v>
      </c>
      <c r="O2686" s="10">
        <f>IFERROR(__xludf.DUMMYFUNCTION("VALUE(REGEXEXTRACT(A2686, ""\d+""))"),3111.0)</f>
        <v>3111</v>
      </c>
    </row>
    <row r="2687">
      <c r="A2687" s="9" t="s">
        <v>11833</v>
      </c>
      <c r="B2687" s="9" t="s">
        <v>11834</v>
      </c>
      <c r="D2687" s="9" t="s">
        <v>11835</v>
      </c>
      <c r="G2687" s="6" t="s">
        <v>11836</v>
      </c>
      <c r="J2687" s="9" t="s">
        <v>11837</v>
      </c>
      <c r="O2687" s="10">
        <f>IFERROR(__xludf.DUMMYFUNCTION("VALUE(REGEXEXTRACT(A2687, ""\d+""))"),3112.0)</f>
        <v>3112</v>
      </c>
    </row>
    <row r="2688">
      <c r="A2688" s="9" t="s">
        <v>11838</v>
      </c>
      <c r="B2688" s="9" t="s">
        <v>11839</v>
      </c>
      <c r="G2688" s="6" t="s">
        <v>11840</v>
      </c>
      <c r="O2688" s="10">
        <f>IFERROR(__xludf.DUMMYFUNCTION("VALUE(REGEXEXTRACT(A2688, ""\d+""))"),3114.0)</f>
        <v>3114</v>
      </c>
    </row>
    <row r="2689">
      <c r="A2689" s="9" t="s">
        <v>11841</v>
      </c>
      <c r="B2689" s="9" t="s">
        <v>11842</v>
      </c>
      <c r="G2689" s="6" t="s">
        <v>11843</v>
      </c>
      <c r="O2689" s="10">
        <f>IFERROR(__xludf.DUMMYFUNCTION("VALUE(REGEXEXTRACT(A2689, ""\d+""))"),3115.0)</f>
        <v>3115</v>
      </c>
    </row>
    <row r="2690">
      <c r="A2690" s="9" t="s">
        <v>11844</v>
      </c>
      <c r="B2690" s="9" t="s">
        <v>11845</v>
      </c>
      <c r="G2690" s="6" t="s">
        <v>11846</v>
      </c>
      <c r="O2690" s="10">
        <f>IFERROR(__xludf.DUMMYFUNCTION("VALUE(REGEXEXTRACT(A2690, ""\d+""))"),3116.0)</f>
        <v>3116</v>
      </c>
    </row>
    <row r="2691">
      <c r="A2691" s="9" t="s">
        <v>11847</v>
      </c>
      <c r="B2691" s="9" t="s">
        <v>11848</v>
      </c>
      <c r="D2691" s="9" t="s">
        <v>11849</v>
      </c>
      <c r="G2691" s="6" t="s">
        <v>11850</v>
      </c>
      <c r="J2691" s="9" t="s">
        <v>11851</v>
      </c>
      <c r="O2691" s="10">
        <f>IFERROR(__xludf.DUMMYFUNCTION("VALUE(REGEXEXTRACT(A2691, ""\d+""))"),3117.0)</f>
        <v>3117</v>
      </c>
    </row>
    <row r="2692">
      <c r="A2692" s="9" t="s">
        <v>11852</v>
      </c>
      <c r="B2692" s="9" t="s">
        <v>11845</v>
      </c>
      <c r="G2692" s="6" t="s">
        <v>11846</v>
      </c>
      <c r="O2692" s="10">
        <f>IFERROR(__xludf.DUMMYFUNCTION("VALUE(REGEXEXTRACT(A2692, ""\d+""))"),3118.0)</f>
        <v>3118</v>
      </c>
    </row>
    <row r="2693">
      <c r="A2693" s="9" t="s">
        <v>11853</v>
      </c>
      <c r="B2693" s="9" t="s">
        <v>11842</v>
      </c>
      <c r="G2693" s="6" t="s">
        <v>11843</v>
      </c>
      <c r="O2693" s="10">
        <f>IFERROR(__xludf.DUMMYFUNCTION("VALUE(REGEXEXTRACT(A2693, ""\d+""))"),3119.0)</f>
        <v>3119</v>
      </c>
    </row>
    <row r="2694">
      <c r="A2694" s="9" t="s">
        <v>11854</v>
      </c>
      <c r="B2694" s="9" t="s">
        <v>11839</v>
      </c>
      <c r="G2694" s="6" t="s">
        <v>11840</v>
      </c>
      <c r="O2694" s="10">
        <f>IFERROR(__xludf.DUMMYFUNCTION("VALUE(REGEXEXTRACT(A2694, ""\d+""))"),3120.0)</f>
        <v>3120</v>
      </c>
    </row>
    <row r="2695">
      <c r="A2695" s="9" t="s">
        <v>11855</v>
      </c>
      <c r="B2695" s="9" t="s">
        <v>11845</v>
      </c>
      <c r="G2695" s="6" t="s">
        <v>11846</v>
      </c>
      <c r="O2695" s="10">
        <f>IFERROR(__xludf.DUMMYFUNCTION("VALUE(REGEXEXTRACT(A2695, ""\d+""))"),3121.0)</f>
        <v>3121</v>
      </c>
    </row>
    <row r="2696">
      <c r="A2696" s="9" t="s">
        <v>11856</v>
      </c>
      <c r="B2696" s="9" t="s">
        <v>11839</v>
      </c>
      <c r="G2696" s="6" t="s">
        <v>11840</v>
      </c>
      <c r="O2696" s="10">
        <f>IFERROR(__xludf.DUMMYFUNCTION("VALUE(REGEXEXTRACT(A2696, ""\d+""))"),3122.0)</f>
        <v>3122</v>
      </c>
    </row>
    <row r="2697">
      <c r="A2697" s="9" t="s">
        <v>11857</v>
      </c>
      <c r="B2697" s="9" t="s">
        <v>11842</v>
      </c>
      <c r="G2697" s="6" t="s">
        <v>11843</v>
      </c>
      <c r="O2697" s="10">
        <f>IFERROR(__xludf.DUMMYFUNCTION("VALUE(REGEXEXTRACT(A2697, ""\d+""))"),3123.0)</f>
        <v>3123</v>
      </c>
    </row>
    <row r="2698">
      <c r="A2698" s="9" t="s">
        <v>11858</v>
      </c>
      <c r="B2698" s="9" t="s">
        <v>11859</v>
      </c>
      <c r="G2698" s="6" t="s">
        <v>11860</v>
      </c>
      <c r="O2698" s="10">
        <f>IFERROR(__xludf.DUMMYFUNCTION("VALUE(REGEXEXTRACT(A2698, ""\d+""))"),3124.0)</f>
        <v>3124</v>
      </c>
    </row>
    <row r="2699">
      <c r="A2699" s="9" t="s">
        <v>11861</v>
      </c>
      <c r="B2699" s="9" t="s">
        <v>11862</v>
      </c>
      <c r="D2699" s="9" t="s">
        <v>11863</v>
      </c>
      <c r="G2699" s="6" t="s">
        <v>11864</v>
      </c>
      <c r="J2699" s="9" t="s">
        <v>11865</v>
      </c>
      <c r="O2699" s="10">
        <f>IFERROR(__xludf.DUMMYFUNCTION("VALUE(REGEXEXTRACT(A2699, ""\d+""))"),3125.0)</f>
        <v>3125</v>
      </c>
    </row>
    <row r="2700">
      <c r="A2700" s="9" t="s">
        <v>11866</v>
      </c>
      <c r="B2700" s="9" t="s">
        <v>11867</v>
      </c>
      <c r="G2700" s="6" t="s">
        <v>11868</v>
      </c>
      <c r="O2700" s="10">
        <f>IFERROR(__xludf.DUMMYFUNCTION("VALUE(REGEXEXTRACT(A2700, ""\d+""))"),3127.0)</f>
        <v>3127</v>
      </c>
    </row>
    <row r="2701">
      <c r="A2701" s="9" t="s">
        <v>11869</v>
      </c>
      <c r="B2701" s="9" t="s">
        <v>11870</v>
      </c>
      <c r="D2701" s="9" t="s">
        <v>11871</v>
      </c>
      <c r="G2701" s="6" t="s">
        <v>11872</v>
      </c>
      <c r="J2701" s="9" t="s">
        <v>11873</v>
      </c>
      <c r="O2701" s="10">
        <f>IFERROR(__xludf.DUMMYFUNCTION("VALUE(REGEXEXTRACT(A2701, ""\d+""))"),3128.0)</f>
        <v>3128</v>
      </c>
    </row>
    <row r="2702">
      <c r="A2702" s="9" t="s">
        <v>11874</v>
      </c>
      <c r="B2702" s="9" t="s">
        <v>11875</v>
      </c>
      <c r="G2702" s="6" t="s">
        <v>11876</v>
      </c>
      <c r="O2702" s="10">
        <f>IFERROR(__xludf.DUMMYFUNCTION("VALUE(REGEXEXTRACT(A2702, ""\d+""))"),3129.0)</f>
        <v>3129</v>
      </c>
    </row>
    <row r="2703">
      <c r="A2703" s="9" t="s">
        <v>11877</v>
      </c>
      <c r="B2703" s="9" t="s">
        <v>11878</v>
      </c>
      <c r="D2703" s="9" t="s">
        <v>11879</v>
      </c>
      <c r="G2703" s="6" t="s">
        <v>11880</v>
      </c>
      <c r="J2703" s="9" t="s">
        <v>11881</v>
      </c>
      <c r="O2703" s="10">
        <f>IFERROR(__xludf.DUMMYFUNCTION("VALUE(REGEXEXTRACT(A2703, ""\d+""))"),3130.0)</f>
        <v>3130</v>
      </c>
    </row>
    <row r="2704">
      <c r="A2704" s="9" t="s">
        <v>11882</v>
      </c>
      <c r="B2704" s="9" t="s">
        <v>11883</v>
      </c>
      <c r="G2704" s="6" t="s">
        <v>11884</v>
      </c>
      <c r="O2704" s="10">
        <f>IFERROR(__xludf.DUMMYFUNCTION("VALUE(REGEXEXTRACT(A2704, ""\d+""))"),3131.0)</f>
        <v>3131</v>
      </c>
    </row>
    <row r="2705">
      <c r="A2705" s="9" t="s">
        <v>11885</v>
      </c>
      <c r="B2705" s="9" t="s">
        <v>11886</v>
      </c>
      <c r="D2705" s="9" t="s">
        <v>11887</v>
      </c>
      <c r="G2705" s="6" t="s">
        <v>11888</v>
      </c>
      <c r="J2705" s="9" t="s">
        <v>11889</v>
      </c>
      <c r="O2705" s="10">
        <f>IFERROR(__xludf.DUMMYFUNCTION("VALUE(REGEXEXTRACT(A2705, ""\d+""))"),3132.0)</f>
        <v>3132</v>
      </c>
    </row>
    <row r="2706">
      <c r="A2706" s="9" t="s">
        <v>11890</v>
      </c>
      <c r="B2706" s="9" t="s">
        <v>11891</v>
      </c>
      <c r="G2706" s="6" t="s">
        <v>11892</v>
      </c>
      <c r="O2706" s="10">
        <f>IFERROR(__xludf.DUMMYFUNCTION("VALUE(REGEXEXTRACT(A2706, ""\d+""))"),3145.0)</f>
        <v>3145</v>
      </c>
    </row>
    <row r="2707">
      <c r="A2707" s="9" t="s">
        <v>11893</v>
      </c>
      <c r="B2707" s="9" t="s">
        <v>11894</v>
      </c>
      <c r="D2707" s="9" t="s">
        <v>11895</v>
      </c>
      <c r="G2707" s="6" t="s">
        <v>11896</v>
      </c>
      <c r="J2707" s="9" t="s">
        <v>11897</v>
      </c>
      <c r="O2707" s="10">
        <f>IFERROR(__xludf.DUMMYFUNCTION("VALUE(REGEXEXTRACT(A2707, ""\d+""))"),3181.0)</f>
        <v>3181</v>
      </c>
    </row>
    <row r="2708">
      <c r="A2708" s="9" t="s">
        <v>11898</v>
      </c>
      <c r="B2708" s="9" t="s">
        <v>11899</v>
      </c>
      <c r="D2708" s="9" t="s">
        <v>11900</v>
      </c>
      <c r="G2708" s="6" t="s">
        <v>11901</v>
      </c>
      <c r="J2708" s="9" t="s">
        <v>11902</v>
      </c>
      <c r="O2708" s="10">
        <f>IFERROR(__xludf.DUMMYFUNCTION("VALUE(REGEXEXTRACT(A2708, ""\d+""))"),3182.0)</f>
        <v>3182</v>
      </c>
    </row>
    <row r="2709">
      <c r="A2709" s="9" t="s">
        <v>11903</v>
      </c>
      <c r="B2709" s="9" t="s">
        <v>11904</v>
      </c>
      <c r="D2709" s="9" t="s">
        <v>11905</v>
      </c>
      <c r="G2709" s="6" t="s">
        <v>11906</v>
      </c>
      <c r="J2709" s="9" t="s">
        <v>11907</v>
      </c>
      <c r="O2709" s="10">
        <f>IFERROR(__xludf.DUMMYFUNCTION("VALUE(REGEXEXTRACT(A2709, ""\d+""))"),3183.0)</f>
        <v>3183</v>
      </c>
    </row>
    <row r="2710">
      <c r="A2710" s="9" t="s">
        <v>11908</v>
      </c>
      <c r="B2710" s="9" t="s">
        <v>11909</v>
      </c>
      <c r="D2710" s="9" t="s">
        <v>11910</v>
      </c>
      <c r="G2710" s="6" t="s">
        <v>11911</v>
      </c>
      <c r="J2710" s="9" t="s">
        <v>11912</v>
      </c>
      <c r="O2710" s="10">
        <f>IFERROR(__xludf.DUMMYFUNCTION("VALUE(REGEXEXTRACT(A2710, ""\d+""))"),3184.0)</f>
        <v>3184</v>
      </c>
    </row>
    <row r="2711">
      <c r="A2711" s="9" t="s">
        <v>11913</v>
      </c>
      <c r="B2711" s="9" t="s">
        <v>11914</v>
      </c>
      <c r="G2711" s="6" t="s">
        <v>11915</v>
      </c>
      <c r="O2711" s="10">
        <f>IFERROR(__xludf.DUMMYFUNCTION("VALUE(REGEXEXTRACT(A2711, ""\d+""))"),3185.0)</f>
        <v>3185</v>
      </c>
    </row>
    <row r="2712">
      <c r="A2712" s="9" t="s">
        <v>11916</v>
      </c>
      <c r="B2712" s="9" t="s">
        <v>11917</v>
      </c>
      <c r="D2712" s="9" t="s">
        <v>11918</v>
      </c>
      <c r="G2712" s="6" t="s">
        <v>11919</v>
      </c>
      <c r="J2712" s="9" t="s">
        <v>11920</v>
      </c>
      <c r="O2712" s="10">
        <f>IFERROR(__xludf.DUMMYFUNCTION("VALUE(REGEXEXTRACT(A2712, ""\d+""))"),3186.0)</f>
        <v>3186</v>
      </c>
    </row>
    <row r="2713">
      <c r="A2713" s="9" t="s">
        <v>11921</v>
      </c>
      <c r="B2713" s="9" t="s">
        <v>11922</v>
      </c>
      <c r="G2713" s="6" t="s">
        <v>11923</v>
      </c>
      <c r="O2713" s="10">
        <f>IFERROR(__xludf.DUMMYFUNCTION("VALUE(REGEXEXTRACT(A2713, ""\d+""))"),3188.0)</f>
        <v>3188</v>
      </c>
    </row>
    <row r="2714">
      <c r="A2714" s="9" t="s">
        <v>11924</v>
      </c>
      <c r="B2714" s="9" t="s">
        <v>11925</v>
      </c>
      <c r="D2714" s="9" t="s">
        <v>11926</v>
      </c>
      <c r="G2714" s="6" t="s">
        <v>11927</v>
      </c>
      <c r="J2714" s="9" t="s">
        <v>11928</v>
      </c>
      <c r="O2714" s="10">
        <f>IFERROR(__xludf.DUMMYFUNCTION("VALUE(REGEXEXTRACT(A2714, ""\d+""))"),3211.0)</f>
        <v>3211</v>
      </c>
    </row>
    <row r="2715">
      <c r="A2715" s="9" t="s">
        <v>11929</v>
      </c>
      <c r="B2715" s="9" t="s">
        <v>11930</v>
      </c>
      <c r="G2715" s="6" t="s">
        <v>11931</v>
      </c>
      <c r="O2715" s="10">
        <f>IFERROR(__xludf.DUMMYFUNCTION("VALUE(REGEXEXTRACT(A2715, ""\d+""))"),3219.0)</f>
        <v>3219</v>
      </c>
    </row>
    <row r="2716">
      <c r="A2716" s="9" t="s">
        <v>11932</v>
      </c>
      <c r="B2716" s="9" t="s">
        <v>11933</v>
      </c>
      <c r="D2716" s="9" t="s">
        <v>11934</v>
      </c>
      <c r="G2716" s="6" t="s">
        <v>11935</v>
      </c>
      <c r="J2716" s="9" t="s">
        <v>11936</v>
      </c>
      <c r="O2716" s="10">
        <f>IFERROR(__xludf.DUMMYFUNCTION("VALUE(REGEXEXTRACT(A2716, ""\d+""))"),3220.0)</f>
        <v>3220</v>
      </c>
    </row>
    <row r="2717">
      <c r="A2717" s="9" t="s">
        <v>11937</v>
      </c>
      <c r="B2717" s="9" t="s">
        <v>11938</v>
      </c>
      <c r="D2717" s="9" t="s">
        <v>11939</v>
      </c>
      <c r="G2717" s="6" t="s">
        <v>11940</v>
      </c>
      <c r="J2717" s="9" t="s">
        <v>11941</v>
      </c>
      <c r="O2717" s="10">
        <f>IFERROR(__xludf.DUMMYFUNCTION("VALUE(REGEXEXTRACT(A2717, ""\d+""))"),3221.0)</f>
        <v>3221</v>
      </c>
    </row>
    <row r="2718">
      <c r="A2718" s="9" t="s">
        <v>11942</v>
      </c>
      <c r="B2718" s="9" t="s">
        <v>11943</v>
      </c>
      <c r="D2718" s="9" t="s">
        <v>11944</v>
      </c>
      <c r="G2718" s="6" t="s">
        <v>11945</v>
      </c>
      <c r="J2718" s="9" t="s">
        <v>11946</v>
      </c>
      <c r="O2718" s="10">
        <f>IFERROR(__xludf.DUMMYFUNCTION("VALUE(REGEXEXTRACT(A2718, ""\d+""))"),3222.0)</f>
        <v>3222</v>
      </c>
    </row>
    <row r="2719">
      <c r="A2719" s="9" t="s">
        <v>11947</v>
      </c>
      <c r="B2719" s="9" t="s">
        <v>11948</v>
      </c>
      <c r="D2719" s="9" t="s">
        <v>11949</v>
      </c>
      <c r="G2719" s="6" t="s">
        <v>11950</v>
      </c>
      <c r="J2719" s="9" t="s">
        <v>11951</v>
      </c>
      <c r="O2719" s="10">
        <f>IFERROR(__xludf.DUMMYFUNCTION("VALUE(REGEXEXTRACT(A2719, ""\d+""))"),3224.0)</f>
        <v>3224</v>
      </c>
    </row>
    <row r="2720">
      <c r="A2720" s="9" t="s">
        <v>11952</v>
      </c>
      <c r="B2720" s="9" t="s">
        <v>11953</v>
      </c>
      <c r="G2720" s="6" t="s">
        <v>11954</v>
      </c>
      <c r="O2720" s="10">
        <f>IFERROR(__xludf.DUMMYFUNCTION("VALUE(REGEXEXTRACT(A2720, ""\d+""))"),3225.0)</f>
        <v>3225</v>
      </c>
    </row>
    <row r="2721">
      <c r="A2721" s="9" t="s">
        <v>11955</v>
      </c>
      <c r="B2721" s="9" t="s">
        <v>11956</v>
      </c>
      <c r="D2721" s="9" t="s">
        <v>11957</v>
      </c>
      <c r="G2721" s="6" t="s">
        <v>11958</v>
      </c>
      <c r="J2721" s="9" t="s">
        <v>11959</v>
      </c>
      <c r="O2721" s="10">
        <f>IFERROR(__xludf.DUMMYFUNCTION("VALUE(REGEXEXTRACT(A2721, ""\d+""))"),3226.0)</f>
        <v>3226</v>
      </c>
    </row>
    <row r="2722">
      <c r="A2722" s="9" t="s">
        <v>11960</v>
      </c>
      <c r="B2722" s="9" t="s">
        <v>11961</v>
      </c>
      <c r="D2722" s="9" t="s">
        <v>11962</v>
      </c>
      <c r="G2722" s="6" t="s">
        <v>11963</v>
      </c>
      <c r="J2722" s="9" t="s">
        <v>11964</v>
      </c>
      <c r="O2722" s="10">
        <f>IFERROR(__xludf.DUMMYFUNCTION("VALUE(REGEXEXTRACT(A2722, ""\d+""))"),3228.0)</f>
        <v>3228</v>
      </c>
    </row>
    <row r="2723">
      <c r="A2723" s="9" t="s">
        <v>11965</v>
      </c>
      <c r="B2723" s="9" t="s">
        <v>11966</v>
      </c>
      <c r="D2723" s="9" t="s">
        <v>11967</v>
      </c>
      <c r="G2723" s="6" t="s">
        <v>11968</v>
      </c>
      <c r="J2723" s="9" t="s">
        <v>11969</v>
      </c>
      <c r="O2723" s="10">
        <f>IFERROR(__xludf.DUMMYFUNCTION("VALUE(REGEXEXTRACT(A2723, ""\d+""))"),3229.0)</f>
        <v>3229</v>
      </c>
    </row>
    <row r="2724">
      <c r="A2724" s="9" t="s">
        <v>11970</v>
      </c>
      <c r="B2724" s="9" t="s">
        <v>11971</v>
      </c>
      <c r="D2724" s="9" t="s">
        <v>11972</v>
      </c>
      <c r="G2724" s="6" t="s">
        <v>11972</v>
      </c>
      <c r="J2724" s="9" t="s">
        <v>11973</v>
      </c>
      <c r="O2724" s="10">
        <f>IFERROR(__xludf.DUMMYFUNCTION("VALUE(REGEXEXTRACT(A2724, ""\d+""))"),3230.0)</f>
        <v>3230</v>
      </c>
    </row>
    <row r="2725">
      <c r="A2725" s="9" t="s">
        <v>11974</v>
      </c>
      <c r="B2725" s="9" t="s">
        <v>11975</v>
      </c>
      <c r="D2725" s="9" t="s">
        <v>11976</v>
      </c>
      <c r="G2725" s="6" t="s">
        <v>11977</v>
      </c>
      <c r="J2725" s="9" t="s">
        <v>11978</v>
      </c>
      <c r="O2725" s="10">
        <f>IFERROR(__xludf.DUMMYFUNCTION("VALUE(REGEXEXTRACT(A2725, ""\d+""))"),3231.0)</f>
        <v>3231</v>
      </c>
    </row>
    <row r="2726">
      <c r="A2726" s="9" t="s">
        <v>11979</v>
      </c>
      <c r="B2726" s="9" t="s">
        <v>11980</v>
      </c>
      <c r="D2726" s="9" t="s">
        <v>11981</v>
      </c>
      <c r="G2726" s="6" t="s">
        <v>11982</v>
      </c>
      <c r="J2726" s="9" t="s">
        <v>11983</v>
      </c>
      <c r="O2726" s="10">
        <f>IFERROR(__xludf.DUMMYFUNCTION("VALUE(REGEXEXTRACT(A2726, ""\d+""))"),3232.0)</f>
        <v>3232</v>
      </c>
    </row>
    <row r="2727">
      <c r="A2727" s="9" t="s">
        <v>11984</v>
      </c>
      <c r="B2727" s="9" t="s">
        <v>11985</v>
      </c>
      <c r="D2727" s="9" t="s">
        <v>11986</v>
      </c>
      <c r="G2727" s="6" t="s">
        <v>11987</v>
      </c>
      <c r="J2727" s="9" t="s">
        <v>368</v>
      </c>
      <c r="O2727" s="10">
        <f>IFERROR(__xludf.DUMMYFUNCTION("VALUE(REGEXEXTRACT(A2727, ""\d+""))"),3233.0)</f>
        <v>3233</v>
      </c>
    </row>
    <row r="2728">
      <c r="A2728" s="9" t="s">
        <v>11988</v>
      </c>
      <c r="B2728" s="9" t="s">
        <v>11989</v>
      </c>
      <c r="D2728" s="9" t="s">
        <v>11990</v>
      </c>
      <c r="G2728" s="6" t="s">
        <v>11991</v>
      </c>
      <c r="J2728" s="9" t="s">
        <v>11992</v>
      </c>
      <c r="O2728" s="10">
        <f>IFERROR(__xludf.DUMMYFUNCTION("VALUE(REGEXEXTRACT(A2728, ""\d+""))"),3234.0)</f>
        <v>3234</v>
      </c>
    </row>
    <row r="2729">
      <c r="A2729" s="9" t="s">
        <v>11993</v>
      </c>
      <c r="B2729" s="9" t="s">
        <v>11994</v>
      </c>
      <c r="D2729" s="9" t="s">
        <v>11995</v>
      </c>
      <c r="G2729" s="6" t="s">
        <v>11996</v>
      </c>
      <c r="J2729" s="9" t="s">
        <v>11997</v>
      </c>
      <c r="O2729" s="10">
        <f>IFERROR(__xludf.DUMMYFUNCTION("VALUE(REGEXEXTRACT(A2729, ""\d+""))"),3235.0)</f>
        <v>3235</v>
      </c>
    </row>
    <row r="2730">
      <c r="A2730" s="9" t="s">
        <v>11998</v>
      </c>
      <c r="B2730" s="9" t="s">
        <v>11999</v>
      </c>
      <c r="D2730" s="9" t="s">
        <v>12000</v>
      </c>
      <c r="G2730" s="6" t="s">
        <v>12001</v>
      </c>
      <c r="J2730" s="9" t="s">
        <v>12002</v>
      </c>
      <c r="O2730" s="10">
        <f>IFERROR(__xludf.DUMMYFUNCTION("VALUE(REGEXEXTRACT(A2730, ""\d+""))"),3255.0)</f>
        <v>3255</v>
      </c>
    </row>
    <row r="2731">
      <c r="A2731" s="9" t="s">
        <v>12003</v>
      </c>
      <c r="B2731" s="9" t="s">
        <v>12004</v>
      </c>
      <c r="D2731" s="9" t="s">
        <v>12005</v>
      </c>
      <c r="G2731" s="6" t="s">
        <v>12006</v>
      </c>
      <c r="J2731" s="9" t="s">
        <v>12007</v>
      </c>
      <c r="O2731" s="10">
        <f>IFERROR(__xludf.DUMMYFUNCTION("VALUE(REGEXEXTRACT(A2731, ""\d+""))"),3256.0)</f>
        <v>3256</v>
      </c>
    </row>
    <row r="2732">
      <c r="A2732" s="9" t="s">
        <v>12008</v>
      </c>
      <c r="B2732" s="9" t="s">
        <v>12009</v>
      </c>
      <c r="G2732" s="6" t="s">
        <v>12010</v>
      </c>
      <c r="O2732" s="10">
        <f>IFERROR(__xludf.DUMMYFUNCTION("VALUE(REGEXEXTRACT(A2732, ""\d+""))"),3266.0)</f>
        <v>3266</v>
      </c>
    </row>
    <row r="2733">
      <c r="A2733" s="9" t="s">
        <v>12011</v>
      </c>
      <c r="B2733" s="9" t="s">
        <v>12009</v>
      </c>
      <c r="G2733" s="6" t="s">
        <v>12010</v>
      </c>
      <c r="O2733" s="10">
        <f>IFERROR(__xludf.DUMMYFUNCTION("VALUE(REGEXEXTRACT(A2733, ""\d+""))"),3267.0)</f>
        <v>3267</v>
      </c>
    </row>
    <row r="2734">
      <c r="A2734" s="9" t="s">
        <v>12012</v>
      </c>
      <c r="B2734" s="9" t="s">
        <v>12009</v>
      </c>
      <c r="G2734" s="6" t="s">
        <v>12010</v>
      </c>
      <c r="O2734" s="10">
        <f>IFERROR(__xludf.DUMMYFUNCTION("VALUE(REGEXEXTRACT(A2734, ""\d+""))"),3268.0)</f>
        <v>3268</v>
      </c>
    </row>
    <row r="2735">
      <c r="A2735" s="9" t="s">
        <v>12013</v>
      </c>
      <c r="B2735" s="9" t="s">
        <v>12014</v>
      </c>
      <c r="G2735" s="6" t="s">
        <v>12015</v>
      </c>
      <c r="O2735" s="10">
        <f>IFERROR(__xludf.DUMMYFUNCTION("VALUE(REGEXEXTRACT(A2735, ""\d+""))"),3269.0)</f>
        <v>3269</v>
      </c>
    </row>
    <row r="2736">
      <c r="A2736" s="9" t="s">
        <v>12016</v>
      </c>
      <c r="B2736" s="9" t="s">
        <v>12017</v>
      </c>
      <c r="G2736" s="6" t="s">
        <v>12018</v>
      </c>
      <c r="O2736" s="10">
        <f>IFERROR(__xludf.DUMMYFUNCTION("VALUE(REGEXEXTRACT(A2736, ""\d+""))"),3270.0)</f>
        <v>3270</v>
      </c>
    </row>
    <row r="2737">
      <c r="A2737" s="9" t="s">
        <v>12019</v>
      </c>
      <c r="B2737" s="9" t="s">
        <v>12020</v>
      </c>
      <c r="G2737" s="6" t="s">
        <v>12021</v>
      </c>
      <c r="O2737" s="10">
        <f>IFERROR(__xludf.DUMMYFUNCTION("VALUE(REGEXEXTRACT(A2737, ""\d+""))"),3271.0)</f>
        <v>3271</v>
      </c>
    </row>
    <row r="2738">
      <c r="A2738" s="9" t="s">
        <v>12022</v>
      </c>
      <c r="B2738" s="9" t="s">
        <v>12023</v>
      </c>
      <c r="D2738" s="9" t="s">
        <v>12024</v>
      </c>
      <c r="G2738" s="6" t="s">
        <v>12025</v>
      </c>
      <c r="J2738" s="9" t="s">
        <v>12026</v>
      </c>
      <c r="O2738" s="10">
        <f>IFERROR(__xludf.DUMMYFUNCTION("VALUE(REGEXEXTRACT(A2738, ""\d+""))"),3336.0)</f>
        <v>3336</v>
      </c>
    </row>
    <row r="2739">
      <c r="A2739" s="9" t="s">
        <v>12027</v>
      </c>
      <c r="B2739" s="9" t="s">
        <v>12028</v>
      </c>
      <c r="D2739" s="9" t="s">
        <v>12029</v>
      </c>
      <c r="G2739" s="6" t="s">
        <v>12030</v>
      </c>
      <c r="J2739" s="9" t="s">
        <v>12031</v>
      </c>
      <c r="O2739" s="10">
        <f>IFERROR(__xludf.DUMMYFUNCTION("VALUE(REGEXEXTRACT(A2739, ""\d+""))"),3337.0)</f>
        <v>3337</v>
      </c>
    </row>
    <row r="2740">
      <c r="A2740" s="9" t="s">
        <v>12032</v>
      </c>
      <c r="B2740" s="9" t="s">
        <v>12033</v>
      </c>
      <c r="G2740" s="6" t="s">
        <v>12034</v>
      </c>
      <c r="O2740" s="10">
        <f>IFERROR(__xludf.DUMMYFUNCTION("VALUE(REGEXEXTRACT(A2740, ""\d+""))"),3338.0)</f>
        <v>3338</v>
      </c>
    </row>
    <row r="2741">
      <c r="A2741" s="9" t="s">
        <v>12035</v>
      </c>
      <c r="B2741" s="9" t="s">
        <v>12036</v>
      </c>
      <c r="D2741" s="9" t="s">
        <v>12037</v>
      </c>
      <c r="G2741" s="6" t="s">
        <v>12038</v>
      </c>
      <c r="J2741" s="9" t="s">
        <v>12039</v>
      </c>
      <c r="O2741" s="10">
        <f>IFERROR(__xludf.DUMMYFUNCTION("VALUE(REGEXEXTRACT(A2741, ""\d+""))"),3339.0)</f>
        <v>3339</v>
      </c>
    </row>
    <row r="2742">
      <c r="A2742" s="9" t="s">
        <v>12040</v>
      </c>
      <c r="B2742" s="9" t="s">
        <v>12041</v>
      </c>
      <c r="D2742" s="9" t="s">
        <v>12042</v>
      </c>
      <c r="G2742" s="6" t="s">
        <v>12043</v>
      </c>
      <c r="J2742" s="9" t="s">
        <v>12044</v>
      </c>
      <c r="O2742" s="10">
        <f>IFERROR(__xludf.DUMMYFUNCTION("VALUE(REGEXEXTRACT(A2742, ""\d+""))"),3340.0)</f>
        <v>3340</v>
      </c>
    </row>
    <row r="2743">
      <c r="A2743" s="9" t="s">
        <v>12045</v>
      </c>
      <c r="B2743" s="9" t="s">
        <v>12046</v>
      </c>
      <c r="G2743" s="6" t="s">
        <v>12047</v>
      </c>
      <c r="O2743" s="10">
        <f>IFERROR(__xludf.DUMMYFUNCTION("VALUE(REGEXEXTRACT(A2743, ""\d+""))"),3341.0)</f>
        <v>3341</v>
      </c>
    </row>
    <row r="2744">
      <c r="A2744" s="9" t="s">
        <v>12048</v>
      </c>
      <c r="B2744" s="9" t="s">
        <v>12049</v>
      </c>
      <c r="D2744" s="9" t="s">
        <v>12050</v>
      </c>
      <c r="G2744" s="6" t="s">
        <v>12051</v>
      </c>
      <c r="J2744" s="9" t="s">
        <v>12052</v>
      </c>
      <c r="O2744" s="10">
        <f>IFERROR(__xludf.DUMMYFUNCTION("VALUE(REGEXEXTRACT(A2744, ""\d+""))"),3342.0)</f>
        <v>3342</v>
      </c>
    </row>
    <row r="2745">
      <c r="A2745" s="9" t="s">
        <v>12053</v>
      </c>
      <c r="B2745" s="9" t="s">
        <v>12054</v>
      </c>
      <c r="D2745" s="9" t="s">
        <v>12055</v>
      </c>
      <c r="G2745" s="6" t="s">
        <v>12056</v>
      </c>
      <c r="J2745" s="9" t="s">
        <v>12057</v>
      </c>
      <c r="O2745" s="10">
        <f>IFERROR(__xludf.DUMMYFUNCTION("VALUE(REGEXEXTRACT(A2745, ""\d+""))"),3343.0)</f>
        <v>3343</v>
      </c>
    </row>
    <row r="2746">
      <c r="A2746" s="9" t="s">
        <v>12058</v>
      </c>
      <c r="B2746" s="9" t="s">
        <v>12059</v>
      </c>
      <c r="D2746" s="9" t="s">
        <v>12060</v>
      </c>
      <c r="G2746" s="6" t="s">
        <v>12060</v>
      </c>
      <c r="J2746" s="9" t="s">
        <v>12061</v>
      </c>
      <c r="O2746" s="10">
        <f>IFERROR(__xludf.DUMMYFUNCTION("VALUE(REGEXEXTRACT(A2746, ""\d+""))"),3344.0)</f>
        <v>3344</v>
      </c>
    </row>
    <row r="2747">
      <c r="A2747" s="9" t="s">
        <v>12062</v>
      </c>
      <c r="B2747" s="9" t="s">
        <v>12063</v>
      </c>
      <c r="D2747" s="9" t="s">
        <v>12064</v>
      </c>
      <c r="G2747" s="6" t="s">
        <v>12065</v>
      </c>
      <c r="J2747" s="9" t="s">
        <v>12066</v>
      </c>
      <c r="O2747" s="10">
        <f>IFERROR(__xludf.DUMMYFUNCTION("VALUE(REGEXEXTRACT(A2747, ""\d+""))"),3348.0)</f>
        <v>3348</v>
      </c>
    </row>
    <row r="2748">
      <c r="A2748" s="9" t="s">
        <v>12067</v>
      </c>
      <c r="B2748" s="9" t="s">
        <v>12068</v>
      </c>
      <c r="D2748" s="9" t="s">
        <v>12069</v>
      </c>
      <c r="G2748" s="6" t="s">
        <v>12070</v>
      </c>
      <c r="J2748" s="9" t="s">
        <v>12071</v>
      </c>
      <c r="O2748" s="10">
        <f>IFERROR(__xludf.DUMMYFUNCTION("VALUE(REGEXEXTRACT(A2748, ""\d+""))"),3349.0)</f>
        <v>3349</v>
      </c>
    </row>
    <row r="2749">
      <c r="A2749" s="9" t="s">
        <v>12072</v>
      </c>
      <c r="B2749" s="9" t="s">
        <v>12073</v>
      </c>
      <c r="D2749" s="9" t="s">
        <v>12074</v>
      </c>
      <c r="G2749" s="6" t="s">
        <v>12075</v>
      </c>
      <c r="J2749" s="9" t="s">
        <v>12076</v>
      </c>
      <c r="O2749" s="10">
        <f>IFERROR(__xludf.DUMMYFUNCTION("VALUE(REGEXEXTRACT(A2749, ""\d+""))"),3350.0)</f>
        <v>3350</v>
      </c>
    </row>
    <row r="2750">
      <c r="A2750" s="9" t="s">
        <v>12077</v>
      </c>
      <c r="B2750" s="9" t="s">
        <v>12078</v>
      </c>
      <c r="G2750" s="6" t="s">
        <v>12079</v>
      </c>
      <c r="O2750" s="10">
        <f>IFERROR(__xludf.DUMMYFUNCTION("VALUE(REGEXEXTRACT(A2750, ""\d+""))"),3351.0)</f>
        <v>3351</v>
      </c>
    </row>
    <row r="2751">
      <c r="A2751" s="9" t="s">
        <v>12080</v>
      </c>
      <c r="B2751" s="9" t="s">
        <v>12081</v>
      </c>
      <c r="D2751" s="9" t="s">
        <v>12082</v>
      </c>
      <c r="G2751" s="6" t="s">
        <v>12083</v>
      </c>
      <c r="J2751" s="9" t="s">
        <v>12084</v>
      </c>
      <c r="O2751" s="10">
        <f>IFERROR(__xludf.DUMMYFUNCTION("VALUE(REGEXEXTRACT(A2751, ""\d+""))"),3352.0)</f>
        <v>3352</v>
      </c>
    </row>
    <row r="2752">
      <c r="A2752" s="9" t="s">
        <v>12085</v>
      </c>
      <c r="B2752" s="9" t="s">
        <v>12086</v>
      </c>
      <c r="D2752" s="9" t="s">
        <v>12087</v>
      </c>
      <c r="G2752" s="6" t="s">
        <v>12088</v>
      </c>
      <c r="J2752" s="9" t="s">
        <v>12089</v>
      </c>
      <c r="O2752" s="10">
        <f>IFERROR(__xludf.DUMMYFUNCTION("VALUE(REGEXEXTRACT(A2752, ""\d+""))"),3353.0)</f>
        <v>3353</v>
      </c>
    </row>
    <row r="2753">
      <c r="A2753" s="9" t="s">
        <v>12090</v>
      </c>
      <c r="B2753" s="9" t="s">
        <v>12091</v>
      </c>
      <c r="D2753" s="9" t="s">
        <v>12092</v>
      </c>
      <c r="G2753" s="6" t="s">
        <v>12093</v>
      </c>
      <c r="J2753" s="9" t="s">
        <v>12094</v>
      </c>
      <c r="O2753" s="10">
        <f>IFERROR(__xludf.DUMMYFUNCTION("VALUE(REGEXEXTRACT(A2753, ""\d+""))"),3354.0)</f>
        <v>3354</v>
      </c>
    </row>
    <row r="2754">
      <c r="A2754" s="9" t="s">
        <v>12095</v>
      </c>
      <c r="B2754" s="9" t="s">
        <v>12096</v>
      </c>
      <c r="D2754" s="9" t="s">
        <v>12097</v>
      </c>
      <c r="G2754" s="6" t="s">
        <v>12098</v>
      </c>
      <c r="J2754" s="9" t="s">
        <v>12099</v>
      </c>
      <c r="O2754" s="10">
        <f>IFERROR(__xludf.DUMMYFUNCTION("VALUE(REGEXEXTRACT(A2754, ""\d+""))"),3359.0)</f>
        <v>3359</v>
      </c>
    </row>
    <row r="2755">
      <c r="A2755" s="9" t="s">
        <v>12100</v>
      </c>
      <c r="B2755" s="9" t="s">
        <v>12101</v>
      </c>
      <c r="D2755" s="9" t="s">
        <v>12102</v>
      </c>
      <c r="G2755" s="6" t="s">
        <v>12103</v>
      </c>
      <c r="J2755" s="9" t="s">
        <v>12104</v>
      </c>
      <c r="O2755" s="10">
        <f>IFERROR(__xludf.DUMMYFUNCTION("VALUE(REGEXEXTRACT(A2755, ""\d+""))"),3360.0)</f>
        <v>3360</v>
      </c>
    </row>
    <row r="2756">
      <c r="A2756" s="9" t="s">
        <v>12105</v>
      </c>
      <c r="B2756" s="9" t="s">
        <v>12106</v>
      </c>
      <c r="G2756" s="6" t="s">
        <v>12107</v>
      </c>
      <c r="O2756" s="10">
        <f>IFERROR(__xludf.DUMMYFUNCTION("VALUE(REGEXEXTRACT(A2756, ""\d+""))"),3361.0)</f>
        <v>3361</v>
      </c>
    </row>
    <row r="2757">
      <c r="A2757" s="9" t="s">
        <v>12108</v>
      </c>
      <c r="B2757" s="9" t="s">
        <v>12109</v>
      </c>
      <c r="G2757" s="6" t="s">
        <v>12110</v>
      </c>
      <c r="O2757" s="10">
        <f>IFERROR(__xludf.DUMMYFUNCTION("VALUE(REGEXEXTRACT(A2757, ""\d+""))"),3362.0)</f>
        <v>3362</v>
      </c>
    </row>
    <row r="2758">
      <c r="A2758" s="9" t="s">
        <v>12111</v>
      </c>
      <c r="B2758" s="9" t="s">
        <v>12112</v>
      </c>
      <c r="G2758" s="6" t="s">
        <v>12113</v>
      </c>
      <c r="O2758" s="10">
        <f>IFERROR(__xludf.DUMMYFUNCTION("VALUE(REGEXEXTRACT(A2758, ""\d+""))"),3363.0)</f>
        <v>3363</v>
      </c>
    </row>
    <row r="2759">
      <c r="A2759" s="9" t="s">
        <v>12114</v>
      </c>
      <c r="B2759" s="9" t="s">
        <v>12115</v>
      </c>
      <c r="D2759" s="9" t="s">
        <v>12116</v>
      </c>
      <c r="G2759" s="6" t="s">
        <v>12117</v>
      </c>
      <c r="J2759" s="9" t="s">
        <v>12118</v>
      </c>
      <c r="O2759" s="10">
        <f>IFERROR(__xludf.DUMMYFUNCTION("VALUE(REGEXEXTRACT(A2759, ""\d+""))"),3364.0)</f>
        <v>3364</v>
      </c>
    </row>
    <row r="2760">
      <c r="A2760" s="9" t="s">
        <v>12119</v>
      </c>
      <c r="B2760" s="9" t="s">
        <v>12120</v>
      </c>
      <c r="D2760" s="9" t="s">
        <v>12121</v>
      </c>
      <c r="G2760" s="6" t="s">
        <v>12121</v>
      </c>
      <c r="J2760" s="9" t="s">
        <v>12122</v>
      </c>
      <c r="O2760" s="10">
        <f>IFERROR(__xludf.DUMMYFUNCTION("VALUE(REGEXEXTRACT(A2760, ""\d+""))"),3365.0)</f>
        <v>3365</v>
      </c>
    </row>
    <row r="2761">
      <c r="A2761" s="9" t="s">
        <v>12123</v>
      </c>
      <c r="B2761" s="9" t="s">
        <v>12124</v>
      </c>
      <c r="D2761" s="9" t="s">
        <v>12125</v>
      </c>
      <c r="G2761" s="6" t="s">
        <v>12125</v>
      </c>
      <c r="J2761" s="9" t="s">
        <v>12126</v>
      </c>
      <c r="O2761" s="10">
        <f>IFERROR(__xludf.DUMMYFUNCTION("VALUE(REGEXEXTRACT(A2761, ""\d+""))"),3366.0)</f>
        <v>3366</v>
      </c>
    </row>
    <row r="2762">
      <c r="A2762" s="9" t="s">
        <v>12127</v>
      </c>
      <c r="B2762" s="9" t="s">
        <v>12128</v>
      </c>
      <c r="D2762" s="9" t="s">
        <v>12129</v>
      </c>
      <c r="G2762" s="6" t="s">
        <v>12130</v>
      </c>
      <c r="J2762" s="9" t="s">
        <v>12131</v>
      </c>
      <c r="O2762" s="10">
        <f>IFERROR(__xludf.DUMMYFUNCTION("VALUE(REGEXEXTRACT(A2762, ""\d+""))"),3367.0)</f>
        <v>3367</v>
      </c>
    </row>
    <row r="2763">
      <c r="A2763" s="9" t="s">
        <v>12132</v>
      </c>
      <c r="B2763" s="9" t="s">
        <v>12133</v>
      </c>
      <c r="D2763" s="9" t="s">
        <v>12134</v>
      </c>
      <c r="G2763" s="6" t="s">
        <v>12135</v>
      </c>
      <c r="J2763" s="9" t="s">
        <v>12136</v>
      </c>
      <c r="O2763" s="10">
        <f>IFERROR(__xludf.DUMMYFUNCTION("VALUE(REGEXEXTRACT(A2763, ""\d+""))"),3368.0)</f>
        <v>3368</v>
      </c>
    </row>
    <row r="2764">
      <c r="A2764" s="9" t="s">
        <v>12137</v>
      </c>
      <c r="B2764" s="9" t="s">
        <v>12138</v>
      </c>
      <c r="G2764" s="6" t="s">
        <v>12139</v>
      </c>
      <c r="O2764" s="10">
        <f>IFERROR(__xludf.DUMMYFUNCTION("VALUE(REGEXEXTRACT(A2764, ""\d+""))"),3369.0)</f>
        <v>3369</v>
      </c>
    </row>
    <row r="2765">
      <c r="A2765" s="9" t="s">
        <v>12140</v>
      </c>
      <c r="B2765" s="9" t="s">
        <v>12141</v>
      </c>
      <c r="G2765" s="6" t="s">
        <v>12142</v>
      </c>
      <c r="O2765" s="10">
        <f>IFERROR(__xludf.DUMMYFUNCTION("VALUE(REGEXEXTRACT(A2765, ""\d+""))"),3370.0)</f>
        <v>3370</v>
      </c>
    </row>
    <row r="2766">
      <c r="A2766" s="9" t="s">
        <v>12143</v>
      </c>
      <c r="B2766" s="9" t="s">
        <v>12144</v>
      </c>
      <c r="G2766" s="6" t="s">
        <v>12145</v>
      </c>
      <c r="O2766" s="10">
        <f>IFERROR(__xludf.DUMMYFUNCTION("VALUE(REGEXEXTRACT(A2766, ""\d+""))"),3371.0)</f>
        <v>3371</v>
      </c>
    </row>
    <row r="2767">
      <c r="A2767" s="9" t="s">
        <v>12146</v>
      </c>
      <c r="B2767" s="9" t="s">
        <v>12147</v>
      </c>
      <c r="D2767" s="9" t="s">
        <v>12148</v>
      </c>
      <c r="G2767" s="6" t="s">
        <v>12149</v>
      </c>
      <c r="J2767" s="9" t="s">
        <v>12150</v>
      </c>
      <c r="O2767" s="10">
        <f>IFERROR(__xludf.DUMMYFUNCTION("VALUE(REGEXEXTRACT(A2767, ""\d+""))"),3390.0)</f>
        <v>3390</v>
      </c>
    </row>
    <row r="2768">
      <c r="A2768" s="9" t="s">
        <v>12151</v>
      </c>
      <c r="B2768" s="9" t="s">
        <v>12152</v>
      </c>
      <c r="D2768" s="9" t="s">
        <v>12153</v>
      </c>
      <c r="G2768" s="6" t="s">
        <v>12154</v>
      </c>
      <c r="J2768" s="9" t="s">
        <v>5739</v>
      </c>
      <c r="O2768" s="10">
        <f>IFERROR(__xludf.DUMMYFUNCTION("VALUE(REGEXEXTRACT(A2768, ""\d+""))"),3461.0)</f>
        <v>3461</v>
      </c>
    </row>
    <row r="2769">
      <c r="A2769" s="9" t="s">
        <v>12155</v>
      </c>
      <c r="B2769" s="9" t="s">
        <v>12156</v>
      </c>
      <c r="D2769" s="9" t="s">
        <v>12157</v>
      </c>
      <c r="G2769" s="6" t="s">
        <v>12158</v>
      </c>
      <c r="J2769" s="9" t="s">
        <v>5743</v>
      </c>
      <c r="O2769" s="10">
        <f>IFERROR(__xludf.DUMMYFUNCTION("VALUE(REGEXEXTRACT(A2769, ""\d+""))"),3462.0)</f>
        <v>3462</v>
      </c>
    </row>
    <row r="2770">
      <c r="A2770" s="9" t="s">
        <v>12159</v>
      </c>
      <c r="B2770" s="9" t="s">
        <v>12160</v>
      </c>
      <c r="D2770" s="9" t="s">
        <v>12161</v>
      </c>
      <c r="G2770" s="6" t="s">
        <v>12162</v>
      </c>
      <c r="J2770" s="9" t="s">
        <v>5747</v>
      </c>
      <c r="O2770" s="10">
        <f>IFERROR(__xludf.DUMMYFUNCTION("VALUE(REGEXEXTRACT(A2770, ""\d+""))"),3463.0)</f>
        <v>3463</v>
      </c>
    </row>
    <row r="2771">
      <c r="A2771" s="9" t="s">
        <v>12163</v>
      </c>
      <c r="B2771" s="9" t="s">
        <v>12164</v>
      </c>
      <c r="D2771" s="9" t="s">
        <v>12165</v>
      </c>
      <c r="G2771" s="6" t="s">
        <v>12166</v>
      </c>
      <c r="J2771" s="9" t="s">
        <v>5751</v>
      </c>
      <c r="O2771" s="10">
        <f>IFERROR(__xludf.DUMMYFUNCTION("VALUE(REGEXEXTRACT(A2771, ""\d+""))"),3464.0)</f>
        <v>3464</v>
      </c>
    </row>
    <row r="2772">
      <c r="A2772" s="9" t="s">
        <v>12167</v>
      </c>
      <c r="B2772" s="9" t="s">
        <v>12168</v>
      </c>
      <c r="D2772" s="9" t="s">
        <v>12169</v>
      </c>
      <c r="G2772" s="6" t="s">
        <v>12170</v>
      </c>
      <c r="J2772" s="9" t="s">
        <v>12171</v>
      </c>
      <c r="O2772" s="10">
        <f>IFERROR(__xludf.DUMMYFUNCTION("VALUE(REGEXEXTRACT(A2772, ""\d+""))"),3465.0)</f>
        <v>3465</v>
      </c>
    </row>
    <row r="2773">
      <c r="A2773" s="9" t="s">
        <v>12172</v>
      </c>
      <c r="B2773" s="9" t="s">
        <v>12173</v>
      </c>
      <c r="D2773" s="9" t="s">
        <v>12174</v>
      </c>
      <c r="G2773" s="6" t="s">
        <v>12175</v>
      </c>
      <c r="J2773" s="9" t="s">
        <v>12176</v>
      </c>
      <c r="O2773" s="10">
        <f>IFERROR(__xludf.DUMMYFUNCTION("VALUE(REGEXEXTRACT(A2773, ""\d+""))"),3466.0)</f>
        <v>3466</v>
      </c>
    </row>
    <row r="2774">
      <c r="A2774" s="9" t="s">
        <v>12177</v>
      </c>
      <c r="B2774" s="9" t="s">
        <v>12178</v>
      </c>
      <c r="D2774" s="9" t="s">
        <v>12179</v>
      </c>
      <c r="G2774" s="6" t="s">
        <v>12180</v>
      </c>
      <c r="J2774" s="9" t="s">
        <v>5755</v>
      </c>
      <c r="O2774" s="10">
        <f>IFERROR(__xludf.DUMMYFUNCTION("VALUE(REGEXEXTRACT(A2774, ""\d+""))"),3467.0)</f>
        <v>3467</v>
      </c>
    </row>
    <row r="2775">
      <c r="A2775" s="9" t="s">
        <v>12181</v>
      </c>
      <c r="B2775" s="9" t="s">
        <v>12182</v>
      </c>
      <c r="D2775" s="9" t="s">
        <v>12183</v>
      </c>
      <c r="G2775" s="6" t="s">
        <v>12184</v>
      </c>
      <c r="J2775" s="9" t="s">
        <v>12185</v>
      </c>
      <c r="O2775" s="10">
        <f>IFERROR(__xludf.DUMMYFUNCTION("VALUE(REGEXEXTRACT(A2775, ""\d+""))"),3468.0)</f>
        <v>3468</v>
      </c>
    </row>
    <row r="2776">
      <c r="A2776" s="9" t="s">
        <v>12186</v>
      </c>
      <c r="B2776" s="9" t="s">
        <v>12187</v>
      </c>
      <c r="D2776" s="9" t="s">
        <v>12188</v>
      </c>
      <c r="G2776" s="6" t="s">
        <v>12189</v>
      </c>
      <c r="J2776" s="9" t="s">
        <v>12190</v>
      </c>
      <c r="O2776" s="10">
        <f>IFERROR(__xludf.DUMMYFUNCTION("VALUE(REGEXEXTRACT(A2776, ""\d+""))"),3469.0)</f>
        <v>3469</v>
      </c>
    </row>
    <row r="2777">
      <c r="A2777" s="9" t="s">
        <v>12191</v>
      </c>
      <c r="B2777" s="9" t="s">
        <v>12192</v>
      </c>
      <c r="D2777" s="9" t="s">
        <v>12193</v>
      </c>
      <c r="G2777" s="6" t="s">
        <v>12194</v>
      </c>
      <c r="J2777" s="9" t="s">
        <v>5759</v>
      </c>
      <c r="O2777" s="10">
        <f>IFERROR(__xludf.DUMMYFUNCTION("VALUE(REGEXEXTRACT(A2777, ""\d+""))"),3470.0)</f>
        <v>3470</v>
      </c>
    </row>
    <row r="2778">
      <c r="A2778" s="9" t="s">
        <v>12195</v>
      </c>
      <c r="B2778" s="9" t="s">
        <v>12196</v>
      </c>
      <c r="D2778" s="9" t="s">
        <v>12197</v>
      </c>
      <c r="G2778" s="6" t="s">
        <v>12198</v>
      </c>
      <c r="J2778" s="9" t="s">
        <v>5763</v>
      </c>
      <c r="O2778" s="10">
        <f>IFERROR(__xludf.DUMMYFUNCTION("VALUE(REGEXEXTRACT(A2778, ""\d+""))"),3471.0)</f>
        <v>3471</v>
      </c>
    </row>
    <row r="2779">
      <c r="A2779" s="9" t="s">
        <v>12199</v>
      </c>
      <c r="B2779" s="9" t="s">
        <v>12200</v>
      </c>
      <c r="D2779" s="9" t="s">
        <v>12201</v>
      </c>
      <c r="G2779" s="6" t="s">
        <v>12202</v>
      </c>
      <c r="J2779" s="9" t="s">
        <v>5767</v>
      </c>
      <c r="O2779" s="10">
        <f>IFERROR(__xludf.DUMMYFUNCTION("VALUE(REGEXEXTRACT(A2779, ""\d+""))"),3472.0)</f>
        <v>3472</v>
      </c>
    </row>
    <row r="2780">
      <c r="A2780" s="9" t="s">
        <v>12203</v>
      </c>
      <c r="B2780" s="9" t="s">
        <v>12204</v>
      </c>
      <c r="D2780" s="9" t="s">
        <v>12205</v>
      </c>
      <c r="G2780" s="6" t="s">
        <v>12206</v>
      </c>
      <c r="J2780" s="9" t="s">
        <v>5771</v>
      </c>
      <c r="O2780" s="10">
        <f>IFERROR(__xludf.DUMMYFUNCTION("VALUE(REGEXEXTRACT(A2780, ""\d+""))"),3473.0)</f>
        <v>3473</v>
      </c>
    </row>
    <row r="2781">
      <c r="A2781" s="9" t="s">
        <v>12207</v>
      </c>
      <c r="B2781" s="9" t="s">
        <v>12208</v>
      </c>
      <c r="D2781" s="9" t="s">
        <v>12209</v>
      </c>
      <c r="G2781" s="6" t="s">
        <v>12210</v>
      </c>
      <c r="J2781" s="9" t="s">
        <v>5775</v>
      </c>
      <c r="O2781" s="10">
        <f>IFERROR(__xludf.DUMMYFUNCTION("VALUE(REGEXEXTRACT(A2781, ""\d+""))"),3474.0)</f>
        <v>3474</v>
      </c>
    </row>
    <row r="2782">
      <c r="A2782" s="9" t="s">
        <v>12211</v>
      </c>
      <c r="B2782" s="9" t="s">
        <v>12212</v>
      </c>
      <c r="D2782" s="9" t="s">
        <v>12213</v>
      </c>
      <c r="G2782" s="6" t="s">
        <v>12214</v>
      </c>
      <c r="J2782" s="9" t="s">
        <v>5779</v>
      </c>
      <c r="O2782" s="10">
        <f>IFERROR(__xludf.DUMMYFUNCTION("VALUE(REGEXEXTRACT(A2782, ""\d+""))"),3475.0)</f>
        <v>3475</v>
      </c>
    </row>
    <row r="2783">
      <c r="A2783" s="9" t="s">
        <v>12215</v>
      </c>
      <c r="B2783" s="9" t="s">
        <v>12216</v>
      </c>
      <c r="D2783" s="9" t="s">
        <v>12217</v>
      </c>
      <c r="G2783" s="6" t="s">
        <v>12218</v>
      </c>
      <c r="J2783" s="9" t="s">
        <v>5783</v>
      </c>
      <c r="O2783" s="10">
        <f>IFERROR(__xludf.DUMMYFUNCTION("VALUE(REGEXEXTRACT(A2783, ""\d+""))"),3476.0)</f>
        <v>3476</v>
      </c>
    </row>
    <row r="2784">
      <c r="A2784" s="9" t="s">
        <v>12219</v>
      </c>
      <c r="B2784" s="9" t="s">
        <v>12220</v>
      </c>
      <c r="D2784" s="9" t="s">
        <v>12221</v>
      </c>
      <c r="G2784" s="6" t="s">
        <v>12222</v>
      </c>
      <c r="J2784" s="9" t="s">
        <v>5787</v>
      </c>
      <c r="O2784" s="10">
        <f>IFERROR(__xludf.DUMMYFUNCTION("VALUE(REGEXEXTRACT(A2784, ""\d+""))"),3477.0)</f>
        <v>3477</v>
      </c>
    </row>
    <row r="2785">
      <c r="A2785" s="9" t="s">
        <v>12223</v>
      </c>
      <c r="B2785" s="9" t="s">
        <v>12224</v>
      </c>
      <c r="D2785" s="9" t="s">
        <v>12225</v>
      </c>
      <c r="G2785" s="6" t="s">
        <v>12226</v>
      </c>
      <c r="J2785" s="9" t="s">
        <v>12227</v>
      </c>
      <c r="O2785" s="10">
        <f>IFERROR(__xludf.DUMMYFUNCTION("VALUE(REGEXEXTRACT(A2785, ""\d+""))"),3478.0)</f>
        <v>3478</v>
      </c>
    </row>
    <row r="2786">
      <c r="A2786" s="9" t="s">
        <v>12228</v>
      </c>
      <c r="B2786" s="9" t="s">
        <v>12229</v>
      </c>
      <c r="D2786" s="9" t="s">
        <v>12230</v>
      </c>
      <c r="G2786" s="6" t="s">
        <v>12231</v>
      </c>
      <c r="J2786" s="9" t="s">
        <v>5796</v>
      </c>
      <c r="O2786" s="10">
        <f>IFERROR(__xludf.DUMMYFUNCTION("VALUE(REGEXEXTRACT(A2786, ""\d+""))"),3479.0)</f>
        <v>3479</v>
      </c>
    </row>
    <row r="2787">
      <c r="A2787" s="9" t="s">
        <v>12232</v>
      </c>
      <c r="B2787" s="9" t="s">
        <v>12233</v>
      </c>
      <c r="D2787" s="9" t="s">
        <v>12234</v>
      </c>
      <c r="G2787" s="6" t="s">
        <v>12235</v>
      </c>
      <c r="J2787" s="9" t="s">
        <v>5800</v>
      </c>
      <c r="O2787" s="10">
        <f>IFERROR(__xludf.DUMMYFUNCTION("VALUE(REGEXEXTRACT(A2787, ""\d+""))"),3480.0)</f>
        <v>3480</v>
      </c>
    </row>
    <row r="2788">
      <c r="A2788" s="9" t="s">
        <v>12236</v>
      </c>
      <c r="B2788" s="9" t="s">
        <v>12237</v>
      </c>
      <c r="D2788" s="9" t="s">
        <v>12238</v>
      </c>
      <c r="G2788" s="6" t="s">
        <v>12239</v>
      </c>
      <c r="J2788" s="9" t="s">
        <v>5804</v>
      </c>
      <c r="O2788" s="10">
        <f>IFERROR(__xludf.DUMMYFUNCTION("VALUE(REGEXEXTRACT(A2788, ""\d+""))"),3481.0)</f>
        <v>3481</v>
      </c>
    </row>
    <row r="2789">
      <c r="A2789" s="9" t="s">
        <v>12240</v>
      </c>
      <c r="B2789" s="9" t="s">
        <v>12241</v>
      </c>
      <c r="D2789" s="9" t="s">
        <v>12242</v>
      </c>
      <c r="G2789" s="6" t="s">
        <v>12243</v>
      </c>
      <c r="J2789" s="9" t="s">
        <v>5808</v>
      </c>
      <c r="O2789" s="10">
        <f>IFERROR(__xludf.DUMMYFUNCTION("VALUE(REGEXEXTRACT(A2789, ""\d+""))"),3482.0)</f>
        <v>3482</v>
      </c>
    </row>
    <row r="2790">
      <c r="A2790" s="9" t="s">
        <v>12244</v>
      </c>
      <c r="B2790" s="9" t="s">
        <v>12245</v>
      </c>
      <c r="D2790" s="9" t="s">
        <v>12246</v>
      </c>
      <c r="G2790" s="6" t="s">
        <v>12247</v>
      </c>
      <c r="J2790" s="9" t="s">
        <v>5812</v>
      </c>
      <c r="O2790" s="10">
        <f>IFERROR(__xludf.DUMMYFUNCTION("VALUE(REGEXEXTRACT(A2790, ""\d+""))"),3483.0)</f>
        <v>3483</v>
      </c>
    </row>
    <row r="2791">
      <c r="A2791" s="9" t="s">
        <v>12248</v>
      </c>
      <c r="B2791" s="9" t="s">
        <v>12249</v>
      </c>
      <c r="D2791" s="9" t="s">
        <v>12250</v>
      </c>
      <c r="G2791" s="6" t="s">
        <v>12251</v>
      </c>
      <c r="J2791" s="9" t="s">
        <v>12252</v>
      </c>
      <c r="O2791" s="10">
        <f>IFERROR(__xludf.DUMMYFUNCTION("VALUE(REGEXEXTRACT(A2791, ""\d+""))"),3484.0)</f>
        <v>3484</v>
      </c>
    </row>
    <row r="2792">
      <c r="A2792" s="9" t="s">
        <v>12253</v>
      </c>
      <c r="B2792" s="9" t="s">
        <v>12254</v>
      </c>
      <c r="D2792" s="9" t="s">
        <v>12255</v>
      </c>
      <c r="G2792" s="6" t="s">
        <v>12256</v>
      </c>
      <c r="J2792" s="9" t="s">
        <v>12257</v>
      </c>
      <c r="O2792" s="10">
        <f>IFERROR(__xludf.DUMMYFUNCTION("VALUE(REGEXEXTRACT(A2792, ""\d+""))"),3485.0)</f>
        <v>3485</v>
      </c>
    </row>
    <row r="2793">
      <c r="A2793" s="9" t="s">
        <v>12258</v>
      </c>
      <c r="B2793" s="9" t="s">
        <v>12259</v>
      </c>
      <c r="D2793" s="9" t="s">
        <v>12260</v>
      </c>
      <c r="G2793" s="6" t="s">
        <v>12261</v>
      </c>
      <c r="J2793" s="9" t="s">
        <v>12262</v>
      </c>
      <c r="O2793" s="10">
        <f>IFERROR(__xludf.DUMMYFUNCTION("VALUE(REGEXEXTRACT(A2793, ""\d+""))"),3487.0)</f>
        <v>3487</v>
      </c>
    </row>
    <row r="2794">
      <c r="A2794" s="9" t="s">
        <v>12263</v>
      </c>
      <c r="B2794" s="9" t="s">
        <v>12264</v>
      </c>
      <c r="D2794" s="9" t="s">
        <v>12265</v>
      </c>
      <c r="G2794" s="6" t="s">
        <v>12266</v>
      </c>
      <c r="J2794" s="9" t="s">
        <v>12267</v>
      </c>
      <c r="O2794" s="10">
        <f>IFERROR(__xludf.DUMMYFUNCTION("VALUE(REGEXEXTRACT(A2794, ""\d+""))"),3488.0)</f>
        <v>3488</v>
      </c>
    </row>
    <row r="2795">
      <c r="A2795" s="9" t="s">
        <v>12268</v>
      </c>
      <c r="B2795" s="9" t="s">
        <v>12269</v>
      </c>
      <c r="D2795" s="9" t="s">
        <v>12270</v>
      </c>
      <c r="G2795" s="6" t="s">
        <v>12271</v>
      </c>
      <c r="J2795" s="9" t="s">
        <v>12272</v>
      </c>
      <c r="O2795" s="10">
        <f>IFERROR(__xludf.DUMMYFUNCTION("VALUE(REGEXEXTRACT(A2795, ""\d+""))"),3489.0)</f>
        <v>3489</v>
      </c>
    </row>
    <row r="2796">
      <c r="A2796" s="9" t="s">
        <v>12273</v>
      </c>
      <c r="B2796" s="9" t="s">
        <v>12274</v>
      </c>
      <c r="D2796" s="9" t="s">
        <v>12275</v>
      </c>
      <c r="G2796" s="6" t="s">
        <v>12276</v>
      </c>
      <c r="J2796" s="9" t="s">
        <v>12277</v>
      </c>
      <c r="O2796" s="10">
        <f>IFERROR(__xludf.DUMMYFUNCTION("VALUE(REGEXEXTRACT(A2796, ""\d+""))"),3490.0)</f>
        <v>3490</v>
      </c>
    </row>
    <row r="2797">
      <c r="A2797" s="9" t="s">
        <v>12278</v>
      </c>
      <c r="B2797" s="9" t="s">
        <v>12279</v>
      </c>
      <c r="D2797" s="9" t="s">
        <v>12280</v>
      </c>
      <c r="G2797" s="6" t="s">
        <v>12281</v>
      </c>
      <c r="J2797" s="9" t="s">
        <v>12282</v>
      </c>
      <c r="O2797" s="10">
        <f>IFERROR(__xludf.DUMMYFUNCTION("VALUE(REGEXEXTRACT(A2797, ""\d+""))"),3492.0)</f>
        <v>3492</v>
      </c>
    </row>
    <row r="2798">
      <c r="A2798" s="9" t="s">
        <v>12283</v>
      </c>
      <c r="B2798" s="9" t="s">
        <v>12284</v>
      </c>
      <c r="D2798" s="9" t="s">
        <v>12285</v>
      </c>
      <c r="G2798" s="6" t="s">
        <v>12286</v>
      </c>
      <c r="J2798" s="9" t="s">
        <v>12287</v>
      </c>
      <c r="O2798" s="10">
        <f>IFERROR(__xludf.DUMMYFUNCTION("VALUE(REGEXEXTRACT(A2798, ""\d+""))"),3493.0)</f>
        <v>3493</v>
      </c>
    </row>
    <row r="2799">
      <c r="A2799" s="9" t="s">
        <v>12288</v>
      </c>
      <c r="B2799" s="9" t="s">
        <v>12289</v>
      </c>
      <c r="D2799" s="9" t="s">
        <v>12290</v>
      </c>
      <c r="G2799" s="6" t="s">
        <v>12291</v>
      </c>
      <c r="J2799" s="9" t="s">
        <v>12292</v>
      </c>
      <c r="O2799" s="10">
        <f>IFERROR(__xludf.DUMMYFUNCTION("VALUE(REGEXEXTRACT(A2799, ""\d+""))"),3494.0)</f>
        <v>3494</v>
      </c>
    </row>
    <row r="2800">
      <c r="A2800" s="9" t="s">
        <v>12293</v>
      </c>
      <c r="B2800" s="9" t="s">
        <v>12294</v>
      </c>
      <c r="D2800" s="9" t="s">
        <v>12295</v>
      </c>
      <c r="G2800" s="6" t="s">
        <v>12296</v>
      </c>
      <c r="J2800" s="9" t="s">
        <v>12297</v>
      </c>
      <c r="O2800" s="10">
        <f>IFERROR(__xludf.DUMMYFUNCTION("VALUE(REGEXEXTRACT(A2800, ""\d+""))"),3495.0)</f>
        <v>3495</v>
      </c>
    </row>
    <row r="2801">
      <c r="A2801" s="9" t="s">
        <v>12298</v>
      </c>
      <c r="B2801" s="9" t="s">
        <v>12299</v>
      </c>
      <c r="D2801" s="9" t="s">
        <v>12300</v>
      </c>
      <c r="G2801" s="6" t="s">
        <v>12301</v>
      </c>
      <c r="J2801" s="9" t="s">
        <v>12302</v>
      </c>
      <c r="O2801" s="10">
        <f>IFERROR(__xludf.DUMMYFUNCTION("VALUE(REGEXEXTRACT(A2801, ""\d+""))"),3496.0)</f>
        <v>3496</v>
      </c>
    </row>
    <row r="2802">
      <c r="A2802" s="9" t="s">
        <v>12303</v>
      </c>
      <c r="B2802" s="9" t="s">
        <v>12304</v>
      </c>
      <c r="D2802" s="9" t="s">
        <v>12305</v>
      </c>
      <c r="G2802" s="6" t="s">
        <v>12306</v>
      </c>
      <c r="J2802" s="9" t="s">
        <v>12307</v>
      </c>
      <c r="O2802" s="10">
        <f>IFERROR(__xludf.DUMMYFUNCTION("VALUE(REGEXEXTRACT(A2802, ""\d+""))"),3497.0)</f>
        <v>3497</v>
      </c>
    </row>
    <row r="2803">
      <c r="A2803" s="9" t="s">
        <v>12308</v>
      </c>
      <c r="B2803" s="9" t="s">
        <v>12309</v>
      </c>
      <c r="D2803" s="9" t="s">
        <v>12217</v>
      </c>
      <c r="G2803" s="6" t="s">
        <v>12218</v>
      </c>
      <c r="J2803" s="9" t="s">
        <v>12310</v>
      </c>
      <c r="O2803" s="10">
        <f>IFERROR(__xludf.DUMMYFUNCTION("VALUE(REGEXEXTRACT(A2803, ""\d+""))"),3498.0)</f>
        <v>3498</v>
      </c>
    </row>
    <row r="2804">
      <c r="A2804" s="9" t="s">
        <v>12311</v>
      </c>
      <c r="B2804" s="9" t="s">
        <v>12312</v>
      </c>
      <c r="D2804" s="9" t="s">
        <v>12313</v>
      </c>
      <c r="G2804" s="6" t="s">
        <v>12314</v>
      </c>
      <c r="J2804" s="9" t="s">
        <v>12315</v>
      </c>
      <c r="O2804" s="10">
        <f>IFERROR(__xludf.DUMMYFUNCTION("VALUE(REGEXEXTRACT(A2804, ""\d+""))"),3499.0)</f>
        <v>3499</v>
      </c>
    </row>
    <row r="2805">
      <c r="A2805" s="9" t="s">
        <v>12316</v>
      </c>
      <c r="B2805" s="9" t="s">
        <v>12317</v>
      </c>
      <c r="D2805" s="9" t="s">
        <v>12225</v>
      </c>
      <c r="G2805" s="6" t="s">
        <v>12226</v>
      </c>
      <c r="J2805" s="9" t="s">
        <v>12318</v>
      </c>
      <c r="O2805" s="10">
        <f>IFERROR(__xludf.DUMMYFUNCTION("VALUE(REGEXEXTRACT(A2805, ""\d+""))"),3500.0)</f>
        <v>3500</v>
      </c>
    </row>
    <row r="2806">
      <c r="A2806" s="9" t="s">
        <v>12319</v>
      </c>
      <c r="B2806" s="9" t="s">
        <v>12320</v>
      </c>
      <c r="D2806" s="9" t="s">
        <v>12321</v>
      </c>
      <c r="G2806" s="6" t="s">
        <v>12322</v>
      </c>
      <c r="J2806" s="9" t="s">
        <v>12323</v>
      </c>
      <c r="O2806" s="10">
        <f>IFERROR(__xludf.DUMMYFUNCTION("VALUE(REGEXEXTRACT(A2806, ""\d+""))"),3501.0)</f>
        <v>3501</v>
      </c>
    </row>
    <row r="2807">
      <c r="A2807" s="9" t="s">
        <v>12324</v>
      </c>
      <c r="B2807" s="9" t="s">
        <v>12325</v>
      </c>
      <c r="D2807" s="9" t="s">
        <v>12326</v>
      </c>
      <c r="G2807" s="6" t="s">
        <v>12327</v>
      </c>
      <c r="J2807" s="9" t="s">
        <v>12328</v>
      </c>
      <c r="O2807" s="10">
        <f>IFERROR(__xludf.DUMMYFUNCTION("VALUE(REGEXEXTRACT(A2807, ""\d+""))"),3502.0)</f>
        <v>3502</v>
      </c>
    </row>
    <row r="2808">
      <c r="A2808" s="9" t="s">
        <v>12329</v>
      </c>
      <c r="B2808" s="9" t="s">
        <v>12330</v>
      </c>
      <c r="D2808" s="9" t="s">
        <v>12238</v>
      </c>
      <c r="G2808" s="6" t="s">
        <v>12239</v>
      </c>
      <c r="J2808" s="9" t="s">
        <v>12331</v>
      </c>
      <c r="O2808" s="10">
        <f>IFERROR(__xludf.DUMMYFUNCTION("VALUE(REGEXEXTRACT(A2808, ""\d+""))"),3503.0)</f>
        <v>3503</v>
      </c>
    </row>
    <row r="2809">
      <c r="A2809" s="9" t="s">
        <v>12332</v>
      </c>
      <c r="B2809" s="9" t="s">
        <v>12333</v>
      </c>
      <c r="D2809" s="9" t="s">
        <v>12242</v>
      </c>
      <c r="G2809" s="6" t="s">
        <v>12243</v>
      </c>
      <c r="J2809" s="9" t="s">
        <v>12334</v>
      </c>
      <c r="O2809" s="10">
        <f>IFERROR(__xludf.DUMMYFUNCTION("VALUE(REGEXEXTRACT(A2809, ""\d+""))"),3504.0)</f>
        <v>3504</v>
      </c>
    </row>
    <row r="2810">
      <c r="A2810" s="9" t="s">
        <v>12335</v>
      </c>
      <c r="B2810" s="9" t="s">
        <v>12336</v>
      </c>
      <c r="D2810" s="9" t="s">
        <v>12337</v>
      </c>
      <c r="G2810" s="6" t="s">
        <v>12338</v>
      </c>
      <c r="J2810" s="9" t="s">
        <v>12339</v>
      </c>
      <c r="O2810" s="10">
        <f>IFERROR(__xludf.DUMMYFUNCTION("VALUE(REGEXEXTRACT(A2810, ""\d+""))"),3505.0)</f>
        <v>3505</v>
      </c>
    </row>
    <row r="2811">
      <c r="A2811" s="9" t="s">
        <v>12340</v>
      </c>
      <c r="B2811" s="9" t="s">
        <v>12341</v>
      </c>
      <c r="D2811" s="9" t="s">
        <v>12250</v>
      </c>
      <c r="G2811" s="6" t="s">
        <v>12251</v>
      </c>
      <c r="J2811" s="9" t="s">
        <v>12342</v>
      </c>
      <c r="O2811" s="10">
        <f>IFERROR(__xludf.DUMMYFUNCTION("VALUE(REGEXEXTRACT(A2811, ""\d+""))"),3506.0)</f>
        <v>3506</v>
      </c>
    </row>
    <row r="2812">
      <c r="A2812" s="9" t="s">
        <v>12343</v>
      </c>
      <c r="B2812" s="9" t="s">
        <v>12344</v>
      </c>
      <c r="D2812" s="9" t="s">
        <v>5885</v>
      </c>
      <c r="G2812" s="6" t="s">
        <v>5886</v>
      </c>
      <c r="J2812" s="9" t="s">
        <v>5887</v>
      </c>
      <c r="O2812" s="10">
        <f>IFERROR(__xludf.DUMMYFUNCTION("VALUE(REGEXEXTRACT(A2812, ""\d+""))"),3507.0)</f>
        <v>3507</v>
      </c>
    </row>
    <row r="2813">
      <c r="A2813" s="9" t="s">
        <v>12345</v>
      </c>
      <c r="B2813" s="9" t="s">
        <v>12346</v>
      </c>
      <c r="D2813" s="9" t="s">
        <v>12347</v>
      </c>
      <c r="G2813" s="6" t="s">
        <v>12348</v>
      </c>
      <c r="J2813" s="9" t="s">
        <v>12349</v>
      </c>
      <c r="O2813" s="10">
        <f>IFERROR(__xludf.DUMMYFUNCTION("VALUE(REGEXEXTRACT(A2813, ""\d+""))"),3508.0)</f>
        <v>3508</v>
      </c>
    </row>
    <row r="2814">
      <c r="A2814" s="9" t="s">
        <v>12350</v>
      </c>
      <c r="B2814" s="9" t="s">
        <v>12351</v>
      </c>
      <c r="D2814" s="9" t="s">
        <v>12352</v>
      </c>
      <c r="G2814" s="6" t="s">
        <v>12353</v>
      </c>
      <c r="J2814" s="9" t="s">
        <v>12354</v>
      </c>
      <c r="O2814" s="10">
        <f>IFERROR(__xludf.DUMMYFUNCTION("VALUE(REGEXEXTRACT(A2814, ""\d+""))"),3509.0)</f>
        <v>3509</v>
      </c>
    </row>
    <row r="2815">
      <c r="A2815" s="9" t="s">
        <v>12355</v>
      </c>
      <c r="B2815" s="9" t="s">
        <v>12356</v>
      </c>
      <c r="D2815" s="9" t="s">
        <v>12357</v>
      </c>
      <c r="G2815" s="6" t="s">
        <v>12358</v>
      </c>
      <c r="J2815" s="9" t="s">
        <v>12359</v>
      </c>
      <c r="O2815" s="10">
        <f>IFERROR(__xludf.DUMMYFUNCTION("VALUE(REGEXEXTRACT(A2815, ""\d+""))"),3510.0)</f>
        <v>3510</v>
      </c>
    </row>
    <row r="2816">
      <c r="A2816" s="9" t="s">
        <v>12360</v>
      </c>
      <c r="B2816" s="9" t="s">
        <v>12361</v>
      </c>
      <c r="G2816" s="11" t="s">
        <v>12361</v>
      </c>
      <c r="O2816" s="10">
        <f>IFERROR(__xludf.DUMMYFUNCTION("VALUE(REGEXEXTRACT(A2816, ""\d+""))"),3516.0)</f>
        <v>3516</v>
      </c>
    </row>
    <row r="2817">
      <c r="A2817" s="9" t="s">
        <v>12362</v>
      </c>
      <c r="B2817" s="9" t="s">
        <v>12363</v>
      </c>
      <c r="D2817" s="9" t="s">
        <v>12363</v>
      </c>
      <c r="G2817" s="6" t="s">
        <v>12363</v>
      </c>
      <c r="J2817" s="9" t="s">
        <v>12364</v>
      </c>
      <c r="O2817" s="10">
        <f>IFERROR(__xludf.DUMMYFUNCTION("VALUE(REGEXEXTRACT(A2817, ""\d+""))"),3519.0)</f>
        <v>3519</v>
      </c>
    </row>
    <row r="2818">
      <c r="A2818" s="9" t="s">
        <v>12365</v>
      </c>
      <c r="B2818" s="9" t="s">
        <v>12366</v>
      </c>
      <c r="D2818" s="9" t="s">
        <v>5915</v>
      </c>
      <c r="G2818" s="6" t="s">
        <v>5915</v>
      </c>
      <c r="J2818" s="9" t="s">
        <v>5916</v>
      </c>
      <c r="O2818" s="10">
        <f>IFERROR(__xludf.DUMMYFUNCTION("VALUE(REGEXEXTRACT(A2818, ""\d+""))"),3523.0)</f>
        <v>3523</v>
      </c>
    </row>
    <row r="2819">
      <c r="A2819" s="9" t="s">
        <v>12367</v>
      </c>
      <c r="B2819" s="9" t="s">
        <v>12368</v>
      </c>
      <c r="D2819" s="9" t="s">
        <v>12369</v>
      </c>
      <c r="G2819" s="6" t="s">
        <v>12370</v>
      </c>
      <c r="J2819" s="9" t="s">
        <v>12371</v>
      </c>
      <c r="O2819" s="10">
        <f>IFERROR(__xludf.DUMMYFUNCTION("VALUE(REGEXEXTRACT(A2819, ""\d+""))"),3524.0)</f>
        <v>3524</v>
      </c>
    </row>
    <row r="2820">
      <c r="A2820" s="9" t="s">
        <v>12372</v>
      </c>
      <c r="B2820" s="9" t="s">
        <v>12373</v>
      </c>
      <c r="D2820" s="9" t="s">
        <v>12374</v>
      </c>
      <c r="G2820" s="6" t="s">
        <v>12375</v>
      </c>
      <c r="J2820" s="9" t="s">
        <v>12376</v>
      </c>
      <c r="O2820" s="10">
        <f>IFERROR(__xludf.DUMMYFUNCTION("VALUE(REGEXEXTRACT(A2820, ""\d+""))"),3525.0)</f>
        <v>3525</v>
      </c>
    </row>
    <row r="2821">
      <c r="A2821" s="9" t="s">
        <v>12377</v>
      </c>
      <c r="B2821" s="9" t="s">
        <v>12378</v>
      </c>
      <c r="D2821" s="9" t="s">
        <v>12379</v>
      </c>
      <c r="G2821" s="6" t="s">
        <v>12380</v>
      </c>
      <c r="J2821" s="9" t="s">
        <v>12381</v>
      </c>
      <c r="O2821" s="10">
        <f>IFERROR(__xludf.DUMMYFUNCTION("VALUE(REGEXEXTRACT(A2821, ""\d+""))"),3526.0)</f>
        <v>3526</v>
      </c>
    </row>
    <row r="2822">
      <c r="A2822" s="9" t="s">
        <v>12382</v>
      </c>
      <c r="B2822" s="9" t="s">
        <v>12383</v>
      </c>
      <c r="D2822" s="9" t="s">
        <v>12384</v>
      </c>
      <c r="G2822" s="6" t="s">
        <v>12385</v>
      </c>
      <c r="J2822" s="9" t="s">
        <v>12386</v>
      </c>
      <c r="O2822" s="10">
        <f>IFERROR(__xludf.DUMMYFUNCTION("VALUE(REGEXEXTRACT(A2822, ""\d+""))"),3527.0)</f>
        <v>3527</v>
      </c>
    </row>
    <row r="2823">
      <c r="A2823" s="9" t="s">
        <v>12387</v>
      </c>
      <c r="B2823" s="9" t="s">
        <v>12388</v>
      </c>
      <c r="D2823" s="9" t="s">
        <v>12389</v>
      </c>
      <c r="G2823" s="6" t="s">
        <v>12390</v>
      </c>
      <c r="J2823" s="9" t="s">
        <v>12391</v>
      </c>
      <c r="O2823" s="10">
        <f>IFERROR(__xludf.DUMMYFUNCTION("VALUE(REGEXEXTRACT(A2823, ""\d+""))"),3528.0)</f>
        <v>3528</v>
      </c>
    </row>
    <row r="2824">
      <c r="A2824" s="9" t="s">
        <v>12392</v>
      </c>
      <c r="B2824" s="9" t="s">
        <v>12393</v>
      </c>
      <c r="D2824" s="9" t="s">
        <v>5943</v>
      </c>
      <c r="G2824" s="6" t="s">
        <v>5944</v>
      </c>
      <c r="J2824" s="9" t="s">
        <v>5945</v>
      </c>
      <c r="O2824" s="10">
        <f>IFERROR(__xludf.DUMMYFUNCTION("VALUE(REGEXEXTRACT(A2824, ""\d+""))"),3529.0)</f>
        <v>3529</v>
      </c>
    </row>
    <row r="2825">
      <c r="A2825" s="9" t="s">
        <v>12394</v>
      </c>
      <c r="B2825" s="9" t="s">
        <v>12395</v>
      </c>
      <c r="D2825" s="9" t="s">
        <v>12396</v>
      </c>
      <c r="G2825" s="6" t="s">
        <v>12397</v>
      </c>
      <c r="J2825" s="9" t="s">
        <v>12398</v>
      </c>
      <c r="O2825" s="10">
        <f>IFERROR(__xludf.DUMMYFUNCTION("VALUE(REGEXEXTRACT(A2825, ""\d+""))"),3530.0)</f>
        <v>3530</v>
      </c>
    </row>
    <row r="2826">
      <c r="A2826" s="9" t="s">
        <v>12399</v>
      </c>
      <c r="B2826" s="9" t="s">
        <v>12400</v>
      </c>
      <c r="D2826" s="9" t="s">
        <v>12401</v>
      </c>
      <c r="G2826" s="6" t="s">
        <v>12402</v>
      </c>
      <c r="J2826" s="9" t="s">
        <v>12403</v>
      </c>
      <c r="O2826" s="10">
        <f>IFERROR(__xludf.DUMMYFUNCTION("VALUE(REGEXEXTRACT(A2826, ""\d+""))"),3531.0)</f>
        <v>3531</v>
      </c>
    </row>
    <row r="2827">
      <c r="A2827" s="9" t="s">
        <v>12404</v>
      </c>
      <c r="B2827" s="9" t="s">
        <v>12405</v>
      </c>
      <c r="D2827" s="9" t="s">
        <v>12406</v>
      </c>
      <c r="G2827" s="6" t="s">
        <v>12407</v>
      </c>
      <c r="J2827" s="9" t="s">
        <v>12408</v>
      </c>
      <c r="O2827" s="10">
        <f>IFERROR(__xludf.DUMMYFUNCTION("VALUE(REGEXEXTRACT(A2827, ""\d+""))"),3532.0)</f>
        <v>3532</v>
      </c>
    </row>
    <row r="2828">
      <c r="A2828" s="9" t="s">
        <v>12409</v>
      </c>
      <c r="B2828" s="9" t="s">
        <v>12410</v>
      </c>
      <c r="D2828" s="9" t="s">
        <v>12389</v>
      </c>
      <c r="G2828" s="6" t="s">
        <v>12390</v>
      </c>
      <c r="J2828" s="9" t="s">
        <v>12411</v>
      </c>
      <c r="O2828" s="10">
        <f>IFERROR(__xludf.DUMMYFUNCTION("VALUE(REGEXEXTRACT(A2828, ""\d+""))"),3533.0)</f>
        <v>3533</v>
      </c>
    </row>
    <row r="2829">
      <c r="A2829" s="9" t="s">
        <v>12412</v>
      </c>
      <c r="B2829" s="9" t="s">
        <v>12413</v>
      </c>
      <c r="D2829" s="9" t="s">
        <v>5943</v>
      </c>
      <c r="G2829" s="6" t="s">
        <v>5944</v>
      </c>
      <c r="J2829" s="9" t="s">
        <v>12414</v>
      </c>
      <c r="O2829" s="10">
        <f>IFERROR(__xludf.DUMMYFUNCTION("VALUE(REGEXEXTRACT(A2829, ""\d+""))"),3534.0)</f>
        <v>3534</v>
      </c>
    </row>
    <row r="2830">
      <c r="A2830" s="9" t="s">
        <v>12415</v>
      </c>
      <c r="B2830" s="9" t="s">
        <v>12416</v>
      </c>
      <c r="D2830" s="9" t="s">
        <v>12417</v>
      </c>
      <c r="G2830" s="6" t="s">
        <v>12418</v>
      </c>
      <c r="J2830" s="9" t="s">
        <v>12419</v>
      </c>
      <c r="O2830" s="10">
        <f>IFERROR(__xludf.DUMMYFUNCTION("VALUE(REGEXEXTRACT(A2830, ""\d+""))"),3535.0)</f>
        <v>3535</v>
      </c>
    </row>
    <row r="2831">
      <c r="A2831" s="9" t="s">
        <v>12420</v>
      </c>
      <c r="B2831" s="9" t="s">
        <v>12421</v>
      </c>
      <c r="D2831" s="9" t="s">
        <v>12422</v>
      </c>
      <c r="G2831" s="6" t="s">
        <v>12423</v>
      </c>
      <c r="J2831" s="9" t="s">
        <v>12424</v>
      </c>
      <c r="O2831" s="10">
        <f>IFERROR(__xludf.DUMMYFUNCTION("VALUE(REGEXEXTRACT(A2831, ""\d+""))"),3536.0)</f>
        <v>3536</v>
      </c>
    </row>
    <row r="2832">
      <c r="A2832" s="9" t="s">
        <v>12425</v>
      </c>
      <c r="B2832" s="9" t="s">
        <v>12426</v>
      </c>
      <c r="D2832" s="9" t="s">
        <v>12427</v>
      </c>
      <c r="G2832" s="6" t="s">
        <v>12428</v>
      </c>
      <c r="J2832" s="9" t="s">
        <v>12429</v>
      </c>
      <c r="O2832" s="10">
        <f>IFERROR(__xludf.DUMMYFUNCTION("VALUE(REGEXEXTRACT(A2832, ""\d+""))"),3537.0)</f>
        <v>3537</v>
      </c>
    </row>
    <row r="2833">
      <c r="A2833" s="9" t="s">
        <v>12430</v>
      </c>
      <c r="B2833" s="9" t="s">
        <v>12431</v>
      </c>
      <c r="D2833" s="9" t="s">
        <v>12432</v>
      </c>
      <c r="G2833" s="6" t="s">
        <v>12433</v>
      </c>
      <c r="J2833" s="9" t="s">
        <v>12434</v>
      </c>
      <c r="O2833" s="10">
        <f>IFERROR(__xludf.DUMMYFUNCTION("VALUE(REGEXEXTRACT(A2833, ""\d+""))"),3538.0)</f>
        <v>3538</v>
      </c>
    </row>
    <row r="2834">
      <c r="A2834" s="9" t="s">
        <v>12435</v>
      </c>
      <c r="B2834" s="9" t="s">
        <v>12436</v>
      </c>
      <c r="D2834" s="9" t="s">
        <v>12437</v>
      </c>
      <c r="G2834" s="6" t="s">
        <v>12438</v>
      </c>
      <c r="J2834" s="9" t="s">
        <v>12439</v>
      </c>
      <c r="O2834" s="10">
        <f>IFERROR(__xludf.DUMMYFUNCTION("VALUE(REGEXEXTRACT(A2834, ""\d+""))"),3539.0)</f>
        <v>3539</v>
      </c>
    </row>
    <row r="2835">
      <c r="A2835" s="9" t="s">
        <v>12440</v>
      </c>
      <c r="B2835" s="9" t="s">
        <v>12441</v>
      </c>
      <c r="D2835" s="9" t="s">
        <v>12442</v>
      </c>
      <c r="G2835" s="6" t="s">
        <v>12443</v>
      </c>
      <c r="J2835" s="9" t="s">
        <v>12444</v>
      </c>
      <c r="O2835" s="10">
        <f>IFERROR(__xludf.DUMMYFUNCTION("VALUE(REGEXEXTRACT(A2835, ""\d+""))"),3540.0)</f>
        <v>3540</v>
      </c>
    </row>
    <row r="2836">
      <c r="A2836" s="9" t="s">
        <v>12445</v>
      </c>
      <c r="B2836" s="9" t="s">
        <v>12446</v>
      </c>
      <c r="D2836" s="9" t="s">
        <v>12447</v>
      </c>
      <c r="G2836" s="6" t="s">
        <v>12448</v>
      </c>
      <c r="J2836" s="9" t="s">
        <v>12449</v>
      </c>
      <c r="O2836" s="10">
        <f>IFERROR(__xludf.DUMMYFUNCTION("VALUE(REGEXEXTRACT(A2836, ""\d+""))"),3541.0)</f>
        <v>3541</v>
      </c>
    </row>
    <row r="2837">
      <c r="A2837" s="9" t="s">
        <v>12450</v>
      </c>
      <c r="B2837" s="9" t="s">
        <v>12451</v>
      </c>
      <c r="D2837" s="9" t="s">
        <v>12452</v>
      </c>
      <c r="G2837" s="6" t="s">
        <v>12453</v>
      </c>
      <c r="J2837" s="9" t="s">
        <v>12454</v>
      </c>
      <c r="O2837" s="10">
        <f>IFERROR(__xludf.DUMMYFUNCTION("VALUE(REGEXEXTRACT(A2837, ""\d+""))"),3542.0)</f>
        <v>3542</v>
      </c>
    </row>
    <row r="2838">
      <c r="A2838" s="9" t="s">
        <v>12455</v>
      </c>
      <c r="B2838" s="9" t="s">
        <v>12456</v>
      </c>
      <c r="D2838" s="9" t="s">
        <v>12457</v>
      </c>
      <c r="G2838" s="6" t="s">
        <v>12458</v>
      </c>
      <c r="J2838" s="9" t="s">
        <v>12459</v>
      </c>
      <c r="O2838" s="10">
        <f>IFERROR(__xludf.DUMMYFUNCTION("VALUE(REGEXEXTRACT(A2838, ""\d+""))"),3543.0)</f>
        <v>3543</v>
      </c>
    </row>
    <row r="2839">
      <c r="A2839" s="9" t="s">
        <v>12460</v>
      </c>
      <c r="B2839" s="9" t="s">
        <v>12461</v>
      </c>
      <c r="D2839" s="9" t="s">
        <v>12462</v>
      </c>
      <c r="G2839" s="6" t="s">
        <v>12463</v>
      </c>
      <c r="J2839" s="9" t="s">
        <v>12464</v>
      </c>
      <c r="O2839" s="10">
        <f>IFERROR(__xludf.DUMMYFUNCTION("VALUE(REGEXEXTRACT(A2839, ""\d+""))"),3544.0)</f>
        <v>3544</v>
      </c>
    </row>
    <row r="2840">
      <c r="A2840" s="9" t="s">
        <v>12465</v>
      </c>
      <c r="B2840" s="9" t="s">
        <v>12466</v>
      </c>
      <c r="D2840" s="9" t="s">
        <v>12467</v>
      </c>
      <c r="G2840" s="6" t="s">
        <v>12468</v>
      </c>
      <c r="J2840" s="9" t="s">
        <v>12469</v>
      </c>
      <c r="O2840" s="10">
        <f>IFERROR(__xludf.DUMMYFUNCTION("VALUE(REGEXEXTRACT(A2840, ""\d+""))"),3545.0)</f>
        <v>3545</v>
      </c>
    </row>
    <row r="2841">
      <c r="A2841" s="9" t="s">
        <v>12470</v>
      </c>
      <c r="B2841" s="9" t="s">
        <v>12471</v>
      </c>
      <c r="D2841" s="9" t="s">
        <v>12193</v>
      </c>
      <c r="G2841" s="6" t="s">
        <v>12194</v>
      </c>
      <c r="J2841" s="9" t="s">
        <v>12472</v>
      </c>
      <c r="O2841" s="10">
        <f>IFERROR(__xludf.DUMMYFUNCTION("VALUE(REGEXEXTRACT(A2841, ""\d+""))"),3546.0)</f>
        <v>3546</v>
      </c>
    </row>
    <row r="2842">
      <c r="A2842" s="9" t="s">
        <v>12473</v>
      </c>
      <c r="B2842" s="9" t="s">
        <v>12474</v>
      </c>
      <c r="D2842" s="9" t="s">
        <v>12475</v>
      </c>
      <c r="G2842" s="6" t="s">
        <v>12476</v>
      </c>
      <c r="J2842" s="9" t="s">
        <v>12477</v>
      </c>
      <c r="O2842" s="10">
        <f>IFERROR(__xludf.DUMMYFUNCTION("VALUE(REGEXEXTRACT(A2842, ""\d+""))"),3547.0)</f>
        <v>3547</v>
      </c>
    </row>
    <row r="2843">
      <c r="A2843" s="9" t="s">
        <v>12478</v>
      </c>
      <c r="B2843" s="9" t="s">
        <v>12479</v>
      </c>
      <c r="D2843" s="9" t="s">
        <v>12480</v>
      </c>
      <c r="G2843" s="6" t="s">
        <v>12481</v>
      </c>
      <c r="J2843" s="9" t="s">
        <v>12482</v>
      </c>
      <c r="O2843" s="10">
        <f>IFERROR(__xludf.DUMMYFUNCTION("VALUE(REGEXEXTRACT(A2843, ""\d+""))"),3548.0)</f>
        <v>3548</v>
      </c>
    </row>
    <row r="2844">
      <c r="A2844" s="9" t="s">
        <v>12483</v>
      </c>
      <c r="B2844" s="9" t="s">
        <v>12484</v>
      </c>
      <c r="D2844" s="9" t="s">
        <v>12485</v>
      </c>
      <c r="G2844" s="6" t="s">
        <v>12486</v>
      </c>
      <c r="J2844" s="9" t="s">
        <v>12487</v>
      </c>
      <c r="O2844" s="10">
        <f>IFERROR(__xludf.DUMMYFUNCTION("VALUE(REGEXEXTRACT(A2844, ""\d+""))"),3549.0)</f>
        <v>3549</v>
      </c>
    </row>
    <row r="2845">
      <c r="A2845" s="9" t="s">
        <v>12488</v>
      </c>
      <c r="B2845" s="9" t="s">
        <v>12489</v>
      </c>
      <c r="D2845" s="9" t="s">
        <v>12490</v>
      </c>
      <c r="G2845" s="6" t="s">
        <v>12491</v>
      </c>
      <c r="J2845" s="9" t="s">
        <v>12492</v>
      </c>
      <c r="O2845" s="10">
        <f>IFERROR(__xludf.DUMMYFUNCTION("VALUE(REGEXEXTRACT(A2845, ""\d+""))"),3550.0)</f>
        <v>3550</v>
      </c>
    </row>
    <row r="2846">
      <c r="A2846" s="9" t="s">
        <v>12493</v>
      </c>
      <c r="B2846" s="9" t="s">
        <v>12494</v>
      </c>
      <c r="D2846" s="9" t="s">
        <v>12495</v>
      </c>
      <c r="G2846" s="6" t="s">
        <v>12496</v>
      </c>
      <c r="J2846" s="9" t="s">
        <v>12497</v>
      </c>
      <c r="O2846" s="10">
        <f>IFERROR(__xludf.DUMMYFUNCTION("VALUE(REGEXEXTRACT(A2846, ""\d+""))"),3551.0)</f>
        <v>3551</v>
      </c>
    </row>
    <row r="2847">
      <c r="A2847" s="9" t="s">
        <v>12498</v>
      </c>
      <c r="B2847" s="9" t="s">
        <v>12499</v>
      </c>
      <c r="D2847" s="9" t="s">
        <v>12500</v>
      </c>
      <c r="G2847" s="6" t="s">
        <v>12501</v>
      </c>
      <c r="J2847" s="9" t="s">
        <v>12502</v>
      </c>
      <c r="O2847" s="10">
        <f>IFERROR(__xludf.DUMMYFUNCTION("VALUE(REGEXEXTRACT(A2847, ""\d+""))"),3552.0)</f>
        <v>3552</v>
      </c>
    </row>
    <row r="2848">
      <c r="A2848" s="9" t="s">
        <v>12503</v>
      </c>
      <c r="B2848" s="9" t="s">
        <v>12504</v>
      </c>
      <c r="D2848" s="9" t="s">
        <v>12505</v>
      </c>
      <c r="G2848" s="6" t="s">
        <v>12506</v>
      </c>
      <c r="J2848" s="9" t="s">
        <v>12507</v>
      </c>
      <c r="O2848" s="10">
        <f>IFERROR(__xludf.DUMMYFUNCTION("VALUE(REGEXEXTRACT(A2848, ""\d+""))"),3553.0)</f>
        <v>3553</v>
      </c>
    </row>
    <row r="2849">
      <c r="A2849" s="9" t="s">
        <v>12508</v>
      </c>
      <c r="B2849" s="9" t="s">
        <v>12509</v>
      </c>
      <c r="D2849" s="9" t="s">
        <v>12485</v>
      </c>
      <c r="G2849" s="6" t="s">
        <v>12486</v>
      </c>
      <c r="J2849" s="9" t="s">
        <v>12510</v>
      </c>
      <c r="O2849" s="10">
        <f>IFERROR(__xludf.DUMMYFUNCTION("VALUE(REGEXEXTRACT(A2849, ""\d+""))"),3554.0)</f>
        <v>3554</v>
      </c>
    </row>
    <row r="2850">
      <c r="A2850" s="9" t="s">
        <v>12511</v>
      </c>
      <c r="B2850" s="9" t="s">
        <v>12512</v>
      </c>
      <c r="D2850" s="9" t="s">
        <v>12513</v>
      </c>
      <c r="G2850" s="6" t="s">
        <v>12514</v>
      </c>
      <c r="J2850" s="9" t="s">
        <v>12515</v>
      </c>
      <c r="O2850" s="10">
        <f>IFERROR(__xludf.DUMMYFUNCTION("VALUE(REGEXEXTRACT(A2850, ""\d+""))"),3555.0)</f>
        <v>3555</v>
      </c>
    </row>
    <row r="2851">
      <c r="A2851" s="9" t="s">
        <v>12516</v>
      </c>
      <c r="B2851" s="9" t="s">
        <v>12517</v>
      </c>
      <c r="D2851" s="9" t="s">
        <v>12517</v>
      </c>
      <c r="G2851" s="6" t="s">
        <v>12517</v>
      </c>
      <c r="J2851" s="9" t="s">
        <v>12518</v>
      </c>
      <c r="O2851" s="10">
        <f>IFERROR(__xludf.DUMMYFUNCTION("VALUE(REGEXEXTRACT(A2851, ""\d+""))"),3556.0)</f>
        <v>3556</v>
      </c>
    </row>
    <row r="2852">
      <c r="A2852" s="9" t="s">
        <v>12519</v>
      </c>
      <c r="B2852" s="9" t="s">
        <v>12520</v>
      </c>
      <c r="D2852" s="9" t="s">
        <v>12520</v>
      </c>
      <c r="G2852" s="6" t="s">
        <v>12520</v>
      </c>
      <c r="J2852" s="9" t="s">
        <v>12521</v>
      </c>
      <c r="O2852" s="10">
        <f>IFERROR(__xludf.DUMMYFUNCTION("VALUE(REGEXEXTRACT(A2852, ""\d+""))"),3557.0)</f>
        <v>3557</v>
      </c>
    </row>
    <row r="2853">
      <c r="A2853" s="9" t="s">
        <v>12522</v>
      </c>
      <c r="B2853" s="9" t="s">
        <v>12523</v>
      </c>
      <c r="D2853" s="9" t="s">
        <v>12523</v>
      </c>
      <c r="G2853" s="6" t="s">
        <v>12523</v>
      </c>
      <c r="J2853" s="9" t="s">
        <v>12524</v>
      </c>
      <c r="O2853" s="10">
        <f>IFERROR(__xludf.DUMMYFUNCTION("VALUE(REGEXEXTRACT(A2853, ""\d+""))"),3558.0)</f>
        <v>3558</v>
      </c>
    </row>
    <row r="2854">
      <c r="A2854" s="9" t="s">
        <v>12525</v>
      </c>
      <c r="B2854" s="9" t="s">
        <v>12526</v>
      </c>
      <c r="D2854" s="9" t="s">
        <v>12527</v>
      </c>
      <c r="G2854" s="6" t="s">
        <v>12528</v>
      </c>
      <c r="J2854" s="9" t="s">
        <v>12529</v>
      </c>
      <c r="O2854" s="10">
        <f>IFERROR(__xludf.DUMMYFUNCTION("VALUE(REGEXEXTRACT(A2854, ""\d+""))"),3559.0)</f>
        <v>3559</v>
      </c>
    </row>
    <row r="2855">
      <c r="A2855" s="9" t="s">
        <v>12530</v>
      </c>
      <c r="B2855" s="9" t="s">
        <v>12531</v>
      </c>
      <c r="D2855" s="9" t="s">
        <v>12532</v>
      </c>
      <c r="G2855" s="6" t="s">
        <v>12533</v>
      </c>
      <c r="J2855" s="9" t="s">
        <v>12534</v>
      </c>
      <c r="O2855" s="10">
        <f>IFERROR(__xludf.DUMMYFUNCTION("VALUE(REGEXEXTRACT(A2855, ""\d+""))"),3560.0)</f>
        <v>3560</v>
      </c>
    </row>
    <row r="2856">
      <c r="A2856" s="9" t="s">
        <v>12535</v>
      </c>
      <c r="B2856" s="9" t="s">
        <v>12536</v>
      </c>
      <c r="D2856" s="9" t="s">
        <v>12537</v>
      </c>
      <c r="G2856" s="6" t="s">
        <v>12538</v>
      </c>
      <c r="J2856" s="9" t="s">
        <v>12539</v>
      </c>
      <c r="O2856" s="10">
        <f>IFERROR(__xludf.DUMMYFUNCTION("VALUE(REGEXEXTRACT(A2856, ""\d+""))"),3561.0)</f>
        <v>3561</v>
      </c>
    </row>
    <row r="2857">
      <c r="A2857" s="9" t="s">
        <v>12540</v>
      </c>
      <c r="B2857" s="9" t="s">
        <v>12541</v>
      </c>
      <c r="D2857" s="9" t="s">
        <v>12542</v>
      </c>
      <c r="G2857" s="6" t="s">
        <v>12543</v>
      </c>
      <c r="J2857" s="9" t="s">
        <v>12544</v>
      </c>
      <c r="O2857" s="10">
        <f>IFERROR(__xludf.DUMMYFUNCTION("VALUE(REGEXEXTRACT(A2857, ""\d+""))"),3562.0)</f>
        <v>3562</v>
      </c>
    </row>
    <row r="2858">
      <c r="A2858" s="9" t="s">
        <v>12545</v>
      </c>
      <c r="B2858" s="9" t="s">
        <v>12546</v>
      </c>
      <c r="D2858" s="9" t="s">
        <v>12547</v>
      </c>
      <c r="G2858" s="6" t="s">
        <v>12548</v>
      </c>
      <c r="J2858" s="9" t="s">
        <v>12549</v>
      </c>
      <c r="O2858" s="10">
        <f>IFERROR(__xludf.DUMMYFUNCTION("VALUE(REGEXEXTRACT(A2858, ""\d+""))"),3563.0)</f>
        <v>3563</v>
      </c>
    </row>
    <row r="2859">
      <c r="A2859" s="9" t="s">
        <v>12550</v>
      </c>
      <c r="B2859" s="9" t="s">
        <v>12551</v>
      </c>
      <c r="D2859" s="9" t="s">
        <v>12552</v>
      </c>
      <c r="G2859" s="6" t="s">
        <v>12553</v>
      </c>
      <c r="J2859" s="9" t="s">
        <v>12554</v>
      </c>
      <c r="O2859" s="10">
        <f>IFERROR(__xludf.DUMMYFUNCTION("VALUE(REGEXEXTRACT(A2859, ""\d+""))"),3564.0)</f>
        <v>3564</v>
      </c>
    </row>
    <row r="2860">
      <c r="A2860" s="9" t="s">
        <v>12555</v>
      </c>
      <c r="B2860" s="9" t="s">
        <v>12556</v>
      </c>
      <c r="G2860" s="6" t="s">
        <v>12557</v>
      </c>
      <c r="O2860" s="10">
        <f>IFERROR(__xludf.DUMMYFUNCTION("VALUE(REGEXEXTRACT(A2860, ""\d+""))"),3592.0)</f>
        <v>3592</v>
      </c>
    </row>
    <row r="2861">
      <c r="A2861" s="9" t="s">
        <v>12558</v>
      </c>
      <c r="B2861" s="9" t="s">
        <v>12559</v>
      </c>
      <c r="G2861" s="6" t="s">
        <v>12560</v>
      </c>
      <c r="O2861" s="10">
        <f>IFERROR(__xludf.DUMMYFUNCTION("VALUE(REGEXEXTRACT(A2861, ""\d+""))"),3593.0)</f>
        <v>3593</v>
      </c>
    </row>
    <row r="2862">
      <c r="A2862" s="9" t="s">
        <v>12561</v>
      </c>
      <c r="B2862" s="9" t="s">
        <v>12562</v>
      </c>
      <c r="G2862" s="6" t="s">
        <v>12563</v>
      </c>
      <c r="O2862" s="10">
        <f>IFERROR(__xludf.DUMMYFUNCTION("VALUE(REGEXEXTRACT(A2862, ""\d+""))"),3594.0)</f>
        <v>3594</v>
      </c>
    </row>
    <row r="2863">
      <c r="A2863" s="9" t="s">
        <v>12564</v>
      </c>
      <c r="B2863" s="9" t="s">
        <v>12565</v>
      </c>
      <c r="G2863" s="6" t="s">
        <v>12566</v>
      </c>
      <c r="O2863" s="10">
        <f>IFERROR(__xludf.DUMMYFUNCTION("VALUE(REGEXEXTRACT(A2863, ""\d+""))"),3596.0)</f>
        <v>3596</v>
      </c>
    </row>
    <row r="2864">
      <c r="A2864" s="9" t="s">
        <v>12567</v>
      </c>
      <c r="B2864" s="9" t="s">
        <v>12568</v>
      </c>
      <c r="G2864" s="6" t="s">
        <v>12569</v>
      </c>
      <c r="O2864" s="10">
        <f>IFERROR(__xludf.DUMMYFUNCTION("VALUE(REGEXEXTRACT(A2864, ""\d+""))"),3597.0)</f>
        <v>3597</v>
      </c>
    </row>
    <row r="2865">
      <c r="A2865" s="9" t="s">
        <v>12570</v>
      </c>
      <c r="B2865" s="9" t="s">
        <v>12571</v>
      </c>
      <c r="G2865" s="6" t="s">
        <v>12572</v>
      </c>
      <c r="O2865" s="10">
        <f>IFERROR(__xludf.DUMMYFUNCTION("VALUE(REGEXEXTRACT(A2865, ""\d+""))"),3598.0)</f>
        <v>3598</v>
      </c>
    </row>
    <row r="2866">
      <c r="A2866" s="9" t="s">
        <v>12573</v>
      </c>
      <c r="B2866" s="9" t="s">
        <v>12574</v>
      </c>
      <c r="G2866" s="6" t="s">
        <v>12575</v>
      </c>
      <c r="O2866" s="10">
        <f>IFERROR(__xludf.DUMMYFUNCTION("VALUE(REGEXEXTRACT(A2866, ""\d+""))"),3601.0)</f>
        <v>3601</v>
      </c>
    </row>
    <row r="2867">
      <c r="A2867" s="9" t="s">
        <v>12576</v>
      </c>
      <c r="B2867" s="9" t="s">
        <v>12577</v>
      </c>
      <c r="G2867" s="6" t="s">
        <v>12578</v>
      </c>
      <c r="O2867" s="10">
        <f>IFERROR(__xludf.DUMMYFUNCTION("VALUE(REGEXEXTRACT(A2867, ""\d+""))"),3602.0)</f>
        <v>3602</v>
      </c>
    </row>
    <row r="2868">
      <c r="A2868" s="9" t="s">
        <v>12579</v>
      </c>
      <c r="B2868" s="9" t="s">
        <v>12580</v>
      </c>
      <c r="G2868" s="6" t="s">
        <v>12581</v>
      </c>
      <c r="O2868" s="10">
        <f>IFERROR(__xludf.DUMMYFUNCTION("VALUE(REGEXEXTRACT(A2868, ""\d+""))"),3603.0)</f>
        <v>3603</v>
      </c>
    </row>
    <row r="2869">
      <c r="A2869" s="9" t="s">
        <v>12582</v>
      </c>
      <c r="B2869" s="9" t="s">
        <v>12583</v>
      </c>
      <c r="G2869" s="6" t="s">
        <v>12584</v>
      </c>
      <c r="O2869" s="10">
        <f>IFERROR(__xludf.DUMMYFUNCTION("VALUE(REGEXEXTRACT(A2869, ""\d+""))"),3604.0)</f>
        <v>3604</v>
      </c>
    </row>
    <row r="2870">
      <c r="A2870" s="9" t="s">
        <v>12585</v>
      </c>
      <c r="B2870" s="9" t="s">
        <v>12586</v>
      </c>
      <c r="G2870" s="6" t="s">
        <v>12587</v>
      </c>
      <c r="O2870" s="10">
        <f>IFERROR(__xludf.DUMMYFUNCTION("VALUE(REGEXEXTRACT(A2870, ""\d+""))"),3606.0)</f>
        <v>3606</v>
      </c>
    </row>
    <row r="2871">
      <c r="A2871" s="9" t="s">
        <v>12588</v>
      </c>
      <c r="B2871" s="9" t="s">
        <v>12589</v>
      </c>
      <c r="G2871" s="6" t="s">
        <v>12590</v>
      </c>
      <c r="O2871" s="10">
        <f>IFERROR(__xludf.DUMMYFUNCTION("VALUE(REGEXEXTRACT(A2871, ""\d+""))"),3607.0)</f>
        <v>3607</v>
      </c>
    </row>
    <row r="2872">
      <c r="A2872" s="9" t="s">
        <v>12591</v>
      </c>
      <c r="B2872" s="9" t="s">
        <v>12592</v>
      </c>
      <c r="G2872" s="6" t="s">
        <v>12593</v>
      </c>
      <c r="O2872" s="10">
        <f>IFERROR(__xludf.DUMMYFUNCTION("VALUE(REGEXEXTRACT(A2872, ""\d+""))"),3610.0)</f>
        <v>3610</v>
      </c>
    </row>
    <row r="2873">
      <c r="A2873" s="9" t="s">
        <v>12594</v>
      </c>
      <c r="B2873" s="9" t="s">
        <v>12595</v>
      </c>
      <c r="D2873" s="9" t="s">
        <v>12596</v>
      </c>
      <c r="G2873" s="6" t="s">
        <v>12597</v>
      </c>
      <c r="J2873" s="9" t="s">
        <v>12598</v>
      </c>
      <c r="O2873" s="10">
        <f>IFERROR(__xludf.DUMMYFUNCTION("VALUE(REGEXEXTRACT(A2873, ""\d+""))"),3613.0)</f>
        <v>3613</v>
      </c>
    </row>
    <row r="2874">
      <c r="A2874" s="9" t="s">
        <v>12599</v>
      </c>
      <c r="B2874" s="9" t="s">
        <v>12600</v>
      </c>
      <c r="G2874" s="6" t="s">
        <v>12601</v>
      </c>
      <c r="O2874" s="10">
        <f>IFERROR(__xludf.DUMMYFUNCTION("VALUE(REGEXEXTRACT(A2874, ""\d+""))"),3615.0)</f>
        <v>3615</v>
      </c>
    </row>
    <row r="2875">
      <c r="A2875" s="9" t="s">
        <v>12602</v>
      </c>
      <c r="B2875" s="9" t="s">
        <v>12603</v>
      </c>
      <c r="D2875" s="9" t="s">
        <v>12604</v>
      </c>
      <c r="G2875" s="6" t="s">
        <v>12604</v>
      </c>
      <c r="J2875" s="9" t="s">
        <v>12605</v>
      </c>
      <c r="O2875" s="10">
        <f>IFERROR(__xludf.DUMMYFUNCTION("VALUE(REGEXEXTRACT(A2875, ""\d+""))"),3616.0)</f>
        <v>3616</v>
      </c>
    </row>
    <row r="2876">
      <c r="A2876" s="9" t="s">
        <v>12606</v>
      </c>
      <c r="B2876" s="9" t="s">
        <v>12607</v>
      </c>
      <c r="G2876" s="6" t="s">
        <v>12608</v>
      </c>
      <c r="O2876" s="10">
        <f>IFERROR(__xludf.DUMMYFUNCTION("VALUE(REGEXEXTRACT(A2876, ""\d+""))"),3617.0)</f>
        <v>3617</v>
      </c>
    </row>
    <row r="2877">
      <c r="A2877" s="9" t="s">
        <v>12609</v>
      </c>
      <c r="B2877" s="9" t="s">
        <v>12610</v>
      </c>
      <c r="D2877" s="9" t="s">
        <v>12611</v>
      </c>
      <c r="G2877" s="6" t="s">
        <v>12612</v>
      </c>
      <c r="J2877" s="9" t="s">
        <v>12613</v>
      </c>
      <c r="O2877" s="10">
        <f>IFERROR(__xludf.DUMMYFUNCTION("VALUE(REGEXEXTRACT(A2877, ""\d+""))"),3618.0)</f>
        <v>3618</v>
      </c>
    </row>
    <row r="2878">
      <c r="A2878" s="9" t="s">
        <v>12614</v>
      </c>
      <c r="B2878" s="9" t="s">
        <v>12615</v>
      </c>
      <c r="G2878" s="6" t="s">
        <v>12616</v>
      </c>
      <c r="O2878" s="10">
        <f>IFERROR(__xludf.DUMMYFUNCTION("VALUE(REGEXEXTRACT(A2878, ""\d+""))"),3619.0)</f>
        <v>3619</v>
      </c>
    </row>
    <row r="2879">
      <c r="A2879" s="9" t="s">
        <v>12617</v>
      </c>
      <c r="B2879" s="9" t="s">
        <v>12618</v>
      </c>
      <c r="G2879" s="6" t="s">
        <v>12619</v>
      </c>
      <c r="O2879" s="10">
        <f>IFERROR(__xludf.DUMMYFUNCTION("VALUE(REGEXEXTRACT(A2879, ""\d+""))"),3620.0)</f>
        <v>3620</v>
      </c>
    </row>
    <row r="2880">
      <c r="A2880" s="9" t="s">
        <v>12620</v>
      </c>
      <c r="B2880" s="9" t="s">
        <v>12621</v>
      </c>
      <c r="G2880" s="6" t="s">
        <v>12622</v>
      </c>
      <c r="O2880" s="10">
        <f>IFERROR(__xludf.DUMMYFUNCTION("VALUE(REGEXEXTRACT(A2880, ""\d+""))"),3622.0)</f>
        <v>3622</v>
      </c>
    </row>
    <row r="2881">
      <c r="A2881" s="9" t="s">
        <v>12623</v>
      </c>
      <c r="B2881" s="9" t="s">
        <v>12624</v>
      </c>
      <c r="G2881" s="6" t="s">
        <v>12625</v>
      </c>
      <c r="O2881" s="10">
        <f>IFERROR(__xludf.DUMMYFUNCTION("VALUE(REGEXEXTRACT(A2881, ""\d+""))"),3624.0)</f>
        <v>3624</v>
      </c>
    </row>
    <row r="2882">
      <c r="A2882" s="9" t="s">
        <v>12626</v>
      </c>
      <c r="B2882" s="9" t="s">
        <v>12627</v>
      </c>
      <c r="G2882" s="6" t="s">
        <v>12628</v>
      </c>
      <c r="O2882" s="10">
        <f>IFERROR(__xludf.DUMMYFUNCTION("VALUE(REGEXEXTRACT(A2882, ""\d+""))"),3625.0)</f>
        <v>3625</v>
      </c>
    </row>
    <row r="2883">
      <c r="A2883" s="9" t="s">
        <v>12629</v>
      </c>
      <c r="B2883" s="9" t="s">
        <v>12630</v>
      </c>
      <c r="G2883" s="6" t="s">
        <v>12631</v>
      </c>
      <c r="O2883" s="10">
        <f>IFERROR(__xludf.DUMMYFUNCTION("VALUE(REGEXEXTRACT(A2883, ""\d+""))"),3628.0)</f>
        <v>3628</v>
      </c>
    </row>
    <row r="2884">
      <c r="A2884" s="9" t="s">
        <v>12632</v>
      </c>
      <c r="B2884" s="9" t="s">
        <v>12633</v>
      </c>
      <c r="G2884" s="6" t="s">
        <v>12634</v>
      </c>
      <c r="O2884" s="10">
        <f>IFERROR(__xludf.DUMMYFUNCTION("VALUE(REGEXEXTRACT(A2884, ""\d+""))"),3629.0)</f>
        <v>3629</v>
      </c>
    </row>
    <row r="2885">
      <c r="A2885" s="9" t="s">
        <v>12635</v>
      </c>
      <c r="B2885" s="9" t="s">
        <v>12636</v>
      </c>
      <c r="G2885" s="6" t="s">
        <v>12637</v>
      </c>
      <c r="O2885" s="10">
        <f>IFERROR(__xludf.DUMMYFUNCTION("VALUE(REGEXEXTRACT(A2885, ""\d+""))"),3630.0)</f>
        <v>3630</v>
      </c>
    </row>
    <row r="2886">
      <c r="A2886" s="9" t="s">
        <v>12638</v>
      </c>
      <c r="B2886" s="9" t="s">
        <v>12639</v>
      </c>
      <c r="G2886" s="6" t="s">
        <v>12640</v>
      </c>
      <c r="O2886" s="10">
        <f>IFERROR(__xludf.DUMMYFUNCTION("VALUE(REGEXEXTRACT(A2886, ""\d+""))"),3631.0)</f>
        <v>3631</v>
      </c>
    </row>
    <row r="2887">
      <c r="A2887" s="9" t="s">
        <v>12641</v>
      </c>
      <c r="B2887" s="9" t="s">
        <v>12642</v>
      </c>
      <c r="G2887" s="6" t="s">
        <v>12643</v>
      </c>
      <c r="O2887" s="10">
        <f>IFERROR(__xludf.DUMMYFUNCTION("VALUE(REGEXEXTRACT(A2887, ""\d+""))"),3633.0)</f>
        <v>3633</v>
      </c>
    </row>
    <row r="2888">
      <c r="A2888" s="9" t="s">
        <v>12644</v>
      </c>
      <c r="B2888" s="9" t="s">
        <v>12645</v>
      </c>
      <c r="G2888" s="6" t="s">
        <v>12646</v>
      </c>
      <c r="O2888" s="10">
        <f>IFERROR(__xludf.DUMMYFUNCTION("VALUE(REGEXEXTRACT(A2888, ""\d+""))"),3634.0)</f>
        <v>3634</v>
      </c>
    </row>
    <row r="2889">
      <c r="A2889" s="9" t="s">
        <v>12647</v>
      </c>
      <c r="B2889" s="9" t="s">
        <v>12648</v>
      </c>
      <c r="G2889" s="6" t="s">
        <v>12601</v>
      </c>
      <c r="O2889" s="10">
        <f>IFERROR(__xludf.DUMMYFUNCTION("VALUE(REGEXEXTRACT(A2889, ""\d+""))"),3635.0)</f>
        <v>3635</v>
      </c>
    </row>
    <row r="2890">
      <c r="A2890" s="9" t="s">
        <v>12649</v>
      </c>
      <c r="B2890" s="9" t="s">
        <v>12650</v>
      </c>
      <c r="G2890" s="6" t="s">
        <v>12601</v>
      </c>
      <c r="O2890" s="10">
        <f>IFERROR(__xludf.DUMMYFUNCTION("VALUE(REGEXEXTRACT(A2890, ""\d+""))"),3636.0)</f>
        <v>3636</v>
      </c>
    </row>
    <row r="2891">
      <c r="A2891" s="9" t="s">
        <v>12651</v>
      </c>
      <c r="B2891" s="9" t="s">
        <v>12652</v>
      </c>
      <c r="G2891" s="6" t="s">
        <v>12601</v>
      </c>
      <c r="O2891" s="10">
        <f>IFERROR(__xludf.DUMMYFUNCTION("VALUE(REGEXEXTRACT(A2891, ""\d+""))"),3638.0)</f>
        <v>3638</v>
      </c>
    </row>
    <row r="2892">
      <c r="A2892" s="9" t="s">
        <v>12653</v>
      </c>
      <c r="B2892" s="9" t="s">
        <v>12654</v>
      </c>
      <c r="G2892" s="6" t="s">
        <v>12601</v>
      </c>
      <c r="O2892" s="10">
        <f>IFERROR(__xludf.DUMMYFUNCTION("VALUE(REGEXEXTRACT(A2892, ""\d+""))"),3639.0)</f>
        <v>3639</v>
      </c>
    </row>
    <row r="2893">
      <c r="A2893" s="9" t="s">
        <v>12655</v>
      </c>
      <c r="B2893" s="9" t="s">
        <v>12656</v>
      </c>
      <c r="G2893" s="6" t="s">
        <v>12601</v>
      </c>
      <c r="O2893" s="10">
        <f>IFERROR(__xludf.DUMMYFUNCTION("VALUE(REGEXEXTRACT(A2893, ""\d+""))"),3640.0)</f>
        <v>3640</v>
      </c>
    </row>
    <row r="2894">
      <c r="A2894" s="9" t="s">
        <v>12657</v>
      </c>
      <c r="B2894" s="9" t="s">
        <v>12658</v>
      </c>
      <c r="G2894" s="6" t="s">
        <v>12601</v>
      </c>
      <c r="O2894" s="10">
        <f>IFERROR(__xludf.DUMMYFUNCTION("VALUE(REGEXEXTRACT(A2894, ""\d+""))"),3643.0)</f>
        <v>3643</v>
      </c>
    </row>
    <row r="2895">
      <c r="A2895" s="9" t="s">
        <v>12659</v>
      </c>
      <c r="B2895" s="9" t="s">
        <v>12660</v>
      </c>
      <c r="G2895" s="6" t="s">
        <v>12601</v>
      </c>
      <c r="O2895" s="10">
        <f>IFERROR(__xludf.DUMMYFUNCTION("VALUE(REGEXEXTRACT(A2895, ""\d+""))"),3644.0)</f>
        <v>3644</v>
      </c>
    </row>
    <row r="2896">
      <c r="A2896" s="9" t="s">
        <v>12661</v>
      </c>
      <c r="B2896" s="9" t="s">
        <v>12662</v>
      </c>
      <c r="G2896" s="6" t="s">
        <v>12663</v>
      </c>
      <c r="O2896" s="10">
        <f>IFERROR(__xludf.DUMMYFUNCTION("VALUE(REGEXEXTRACT(A2896, ""\d+""))"),3645.0)</f>
        <v>3645</v>
      </c>
    </row>
    <row r="2897">
      <c r="A2897" s="9" t="s">
        <v>12664</v>
      </c>
      <c r="B2897" s="9" t="s">
        <v>12665</v>
      </c>
      <c r="G2897" s="6" t="s">
        <v>12601</v>
      </c>
      <c r="O2897" s="10">
        <f>IFERROR(__xludf.DUMMYFUNCTION("VALUE(REGEXEXTRACT(A2897, ""\d+""))"),3646.0)</f>
        <v>3646</v>
      </c>
    </row>
    <row r="2898">
      <c r="A2898" s="9" t="s">
        <v>12666</v>
      </c>
      <c r="B2898" s="9" t="s">
        <v>12667</v>
      </c>
      <c r="G2898" s="6" t="s">
        <v>12601</v>
      </c>
      <c r="O2898" s="10">
        <f>IFERROR(__xludf.DUMMYFUNCTION("VALUE(REGEXEXTRACT(A2898, ""\d+""))"),3648.0)</f>
        <v>3648</v>
      </c>
    </row>
    <row r="2899">
      <c r="A2899" s="9" t="s">
        <v>12668</v>
      </c>
      <c r="B2899" s="9" t="s">
        <v>12669</v>
      </c>
      <c r="G2899" s="6" t="s">
        <v>12601</v>
      </c>
      <c r="O2899" s="10">
        <f>IFERROR(__xludf.DUMMYFUNCTION("VALUE(REGEXEXTRACT(A2899, ""\d+""))"),3649.0)</f>
        <v>3649</v>
      </c>
    </row>
    <row r="2900">
      <c r="A2900" s="9" t="s">
        <v>12670</v>
      </c>
      <c r="B2900" s="9" t="s">
        <v>12671</v>
      </c>
      <c r="D2900" s="9" t="s">
        <v>12672</v>
      </c>
      <c r="G2900" s="6" t="s">
        <v>12672</v>
      </c>
      <c r="J2900" s="9" t="s">
        <v>12673</v>
      </c>
      <c r="O2900" s="10">
        <f>IFERROR(__xludf.DUMMYFUNCTION("VALUE(REGEXEXTRACT(A2900, ""\d+""))"),3650.0)</f>
        <v>3650</v>
      </c>
    </row>
    <row r="2901">
      <c r="A2901" s="9" t="s">
        <v>12674</v>
      </c>
      <c r="B2901" s="9" t="s">
        <v>12675</v>
      </c>
      <c r="D2901" s="9" t="s">
        <v>12676</v>
      </c>
      <c r="G2901" s="6" t="s">
        <v>12677</v>
      </c>
      <c r="J2901" s="9" t="s">
        <v>12678</v>
      </c>
      <c r="O2901" s="10">
        <f>IFERROR(__xludf.DUMMYFUNCTION("VALUE(REGEXEXTRACT(A2901, ""\d+""))"),3651.0)</f>
        <v>3651</v>
      </c>
    </row>
    <row r="2902">
      <c r="A2902" s="9" t="s">
        <v>12679</v>
      </c>
      <c r="B2902" s="9" t="s">
        <v>12680</v>
      </c>
      <c r="D2902" s="9" t="s">
        <v>12681</v>
      </c>
      <c r="G2902" s="6" t="s">
        <v>12682</v>
      </c>
      <c r="J2902" s="9" t="s">
        <v>12683</v>
      </c>
      <c r="O2902" s="10">
        <f>IFERROR(__xludf.DUMMYFUNCTION("VALUE(REGEXEXTRACT(A2902, ""\d+""))"),3653.0)</f>
        <v>3653</v>
      </c>
    </row>
    <row r="2903">
      <c r="A2903" s="9" t="s">
        <v>12684</v>
      </c>
      <c r="B2903" s="9" t="s">
        <v>12685</v>
      </c>
      <c r="D2903" s="9" t="s">
        <v>12686</v>
      </c>
      <c r="G2903" s="6" t="s">
        <v>12686</v>
      </c>
      <c r="J2903" s="9" t="s">
        <v>12687</v>
      </c>
      <c r="O2903" s="10">
        <f>IFERROR(__xludf.DUMMYFUNCTION("VALUE(REGEXEXTRACT(A2903, ""\d+""))"),3654.0)</f>
        <v>3654</v>
      </c>
    </row>
    <row r="2904">
      <c r="A2904" s="9" t="s">
        <v>12688</v>
      </c>
      <c r="B2904" s="9" t="s">
        <v>12689</v>
      </c>
      <c r="D2904" s="9" t="s">
        <v>12690</v>
      </c>
      <c r="G2904" s="6" t="s">
        <v>12691</v>
      </c>
      <c r="J2904" s="9" t="s">
        <v>12692</v>
      </c>
      <c r="O2904" s="10">
        <f>IFERROR(__xludf.DUMMYFUNCTION("VALUE(REGEXEXTRACT(A2904, ""\d+""))"),3655.0)</f>
        <v>3655</v>
      </c>
    </row>
    <row r="2905">
      <c r="A2905" s="9" t="s">
        <v>12693</v>
      </c>
      <c r="B2905" s="9" t="s">
        <v>12694</v>
      </c>
      <c r="D2905" s="9" t="s">
        <v>12695</v>
      </c>
      <c r="G2905" s="6" t="s">
        <v>12695</v>
      </c>
      <c r="J2905" s="9" t="s">
        <v>12696</v>
      </c>
      <c r="O2905" s="10">
        <f>IFERROR(__xludf.DUMMYFUNCTION("VALUE(REGEXEXTRACT(A2905, ""\d+""))"),3658.0)</f>
        <v>3658</v>
      </c>
    </row>
    <row r="2906">
      <c r="A2906" s="9" t="s">
        <v>12697</v>
      </c>
      <c r="B2906" s="9" t="s">
        <v>12698</v>
      </c>
      <c r="D2906" s="9" t="s">
        <v>12699</v>
      </c>
      <c r="G2906" s="6" t="s">
        <v>12700</v>
      </c>
      <c r="J2906" s="9" t="s">
        <v>12701</v>
      </c>
      <c r="O2906" s="10">
        <f>IFERROR(__xludf.DUMMYFUNCTION("VALUE(REGEXEXTRACT(A2906, ""\d+""))"),3659.0)</f>
        <v>3659</v>
      </c>
    </row>
    <row r="2907">
      <c r="A2907" s="9" t="s">
        <v>12702</v>
      </c>
      <c r="B2907" s="9" t="s">
        <v>12703</v>
      </c>
      <c r="D2907" s="9" t="s">
        <v>12704</v>
      </c>
      <c r="G2907" s="6" t="s">
        <v>12705</v>
      </c>
      <c r="J2907" s="9" t="s">
        <v>12706</v>
      </c>
      <c r="O2907" s="10">
        <f>IFERROR(__xludf.DUMMYFUNCTION("VALUE(REGEXEXTRACT(A2907, ""\d+""))"),3660.0)</f>
        <v>3660</v>
      </c>
    </row>
    <row r="2908">
      <c r="A2908" s="9" t="s">
        <v>12707</v>
      </c>
      <c r="B2908" s="9" t="s">
        <v>12708</v>
      </c>
      <c r="D2908" s="9" t="s">
        <v>12709</v>
      </c>
      <c r="G2908" s="6" t="s">
        <v>12710</v>
      </c>
      <c r="J2908" s="9" t="s">
        <v>12711</v>
      </c>
      <c r="O2908" s="10">
        <f>IFERROR(__xludf.DUMMYFUNCTION("VALUE(REGEXEXTRACT(A2908, ""\d+""))"),3661.0)</f>
        <v>3661</v>
      </c>
    </row>
    <row r="2909">
      <c r="A2909" s="9" t="s">
        <v>12712</v>
      </c>
      <c r="B2909" s="9" t="s">
        <v>12713</v>
      </c>
      <c r="D2909" s="9" t="s">
        <v>12714</v>
      </c>
      <c r="G2909" s="6" t="s">
        <v>12714</v>
      </c>
      <c r="J2909" s="9" t="s">
        <v>12715</v>
      </c>
      <c r="O2909" s="10">
        <f>IFERROR(__xludf.DUMMYFUNCTION("VALUE(REGEXEXTRACT(A2909, ""\d+""))"),3663.0)</f>
        <v>3663</v>
      </c>
    </row>
    <row r="2910">
      <c r="A2910" s="9" t="s">
        <v>12716</v>
      </c>
      <c r="B2910" s="9" t="s">
        <v>12717</v>
      </c>
      <c r="D2910" s="9" t="s">
        <v>12718</v>
      </c>
      <c r="G2910" s="6" t="s">
        <v>12718</v>
      </c>
      <c r="J2910" s="9" t="s">
        <v>12719</v>
      </c>
      <c r="O2910" s="10">
        <f>IFERROR(__xludf.DUMMYFUNCTION("VALUE(REGEXEXTRACT(A2910, ""\d+""))"),3664.0)</f>
        <v>3664</v>
      </c>
    </row>
    <row r="2911">
      <c r="A2911" s="9" t="s">
        <v>12720</v>
      </c>
      <c r="B2911" s="9" t="s">
        <v>12721</v>
      </c>
      <c r="D2911" s="9" t="s">
        <v>12722</v>
      </c>
      <c r="G2911" s="6" t="s">
        <v>12722</v>
      </c>
      <c r="J2911" s="9" t="s">
        <v>12723</v>
      </c>
      <c r="O2911" s="10">
        <f>IFERROR(__xludf.DUMMYFUNCTION("VALUE(REGEXEXTRACT(A2911, ""\d+""))"),3665.0)</f>
        <v>3665</v>
      </c>
    </row>
    <row r="2912">
      <c r="A2912" s="9" t="s">
        <v>12724</v>
      </c>
      <c r="B2912" s="9" t="s">
        <v>12725</v>
      </c>
      <c r="D2912" s="9" t="s">
        <v>12726</v>
      </c>
      <c r="G2912" s="6" t="s">
        <v>12727</v>
      </c>
      <c r="J2912" s="9" t="s">
        <v>12728</v>
      </c>
      <c r="O2912" s="10">
        <f>IFERROR(__xludf.DUMMYFUNCTION("VALUE(REGEXEXTRACT(A2912, ""\d+""))"),3666.0)</f>
        <v>3666</v>
      </c>
    </row>
    <row r="2913">
      <c r="A2913" s="9" t="s">
        <v>12729</v>
      </c>
      <c r="B2913" s="9" t="s">
        <v>12730</v>
      </c>
      <c r="D2913" s="9" t="s">
        <v>12731</v>
      </c>
      <c r="G2913" s="6" t="s">
        <v>12732</v>
      </c>
      <c r="J2913" s="9" t="s">
        <v>12733</v>
      </c>
      <c r="O2913" s="10">
        <f>IFERROR(__xludf.DUMMYFUNCTION("VALUE(REGEXEXTRACT(A2913, ""\d+""))"),3668.0)</f>
        <v>3668</v>
      </c>
    </row>
    <row r="2914">
      <c r="A2914" s="9" t="s">
        <v>12734</v>
      </c>
      <c r="B2914" s="9" t="s">
        <v>12735</v>
      </c>
      <c r="D2914" s="9" t="s">
        <v>12736</v>
      </c>
      <c r="G2914" s="6" t="s">
        <v>12736</v>
      </c>
      <c r="J2914" s="9" t="s">
        <v>12737</v>
      </c>
      <c r="O2914" s="10">
        <f>IFERROR(__xludf.DUMMYFUNCTION("VALUE(REGEXEXTRACT(A2914, ""\d+""))"),3669.0)</f>
        <v>3669</v>
      </c>
    </row>
    <row r="2915">
      <c r="A2915" s="9" t="s">
        <v>12738</v>
      </c>
      <c r="B2915" s="9" t="s">
        <v>12739</v>
      </c>
      <c r="D2915" s="9" t="s">
        <v>12740</v>
      </c>
      <c r="G2915" s="6" t="s">
        <v>12741</v>
      </c>
      <c r="J2915" s="9" t="s">
        <v>12742</v>
      </c>
      <c r="O2915" s="10">
        <f>IFERROR(__xludf.DUMMYFUNCTION("VALUE(REGEXEXTRACT(A2915, ""\d+""))"),3670.0)</f>
        <v>3670</v>
      </c>
    </row>
    <row r="2916">
      <c r="A2916" s="9" t="s">
        <v>12743</v>
      </c>
      <c r="B2916" s="9" t="s">
        <v>12744</v>
      </c>
      <c r="D2916" s="9" t="s">
        <v>12745</v>
      </c>
      <c r="G2916" s="6" t="s">
        <v>12745</v>
      </c>
      <c r="J2916" s="9" t="s">
        <v>12746</v>
      </c>
      <c r="O2916" s="10">
        <f>IFERROR(__xludf.DUMMYFUNCTION("VALUE(REGEXEXTRACT(A2916, ""\d+""))"),3673.0)</f>
        <v>3673</v>
      </c>
    </row>
    <row r="2917">
      <c r="A2917" s="9" t="s">
        <v>12747</v>
      </c>
      <c r="B2917" s="9" t="s">
        <v>12748</v>
      </c>
      <c r="D2917" s="9" t="s">
        <v>12749</v>
      </c>
      <c r="G2917" s="6" t="s">
        <v>12750</v>
      </c>
      <c r="J2917" s="9" t="s">
        <v>12751</v>
      </c>
      <c r="O2917" s="10">
        <f>IFERROR(__xludf.DUMMYFUNCTION("VALUE(REGEXEXTRACT(A2917, ""\d+""))"),3674.0)</f>
        <v>3674</v>
      </c>
    </row>
    <row r="2918">
      <c r="A2918" s="9" t="s">
        <v>12752</v>
      </c>
      <c r="B2918" s="9" t="s">
        <v>12753</v>
      </c>
      <c r="D2918" s="9" t="s">
        <v>12754</v>
      </c>
      <c r="G2918" s="6" t="s">
        <v>12755</v>
      </c>
      <c r="J2918" s="9" t="s">
        <v>12756</v>
      </c>
      <c r="O2918" s="10">
        <f>IFERROR(__xludf.DUMMYFUNCTION("VALUE(REGEXEXTRACT(A2918, ""\d+""))"),3675.0)</f>
        <v>3675</v>
      </c>
    </row>
    <row r="2919">
      <c r="A2919" s="9" t="s">
        <v>12757</v>
      </c>
      <c r="B2919" s="9" t="s">
        <v>12758</v>
      </c>
      <c r="D2919" s="9" t="s">
        <v>12759</v>
      </c>
      <c r="G2919" s="6" t="s">
        <v>12760</v>
      </c>
      <c r="J2919" s="9" t="s">
        <v>12761</v>
      </c>
      <c r="O2919" s="10">
        <f>IFERROR(__xludf.DUMMYFUNCTION("VALUE(REGEXEXTRACT(A2919, ""\d+""))"),3676.0)</f>
        <v>3676</v>
      </c>
    </row>
    <row r="2920">
      <c r="A2920" s="9" t="s">
        <v>12762</v>
      </c>
      <c r="B2920" s="9" t="s">
        <v>12763</v>
      </c>
      <c r="D2920" s="9" t="s">
        <v>12764</v>
      </c>
      <c r="G2920" s="6" t="s">
        <v>12764</v>
      </c>
      <c r="J2920" s="9" t="s">
        <v>12765</v>
      </c>
      <c r="O2920" s="10">
        <f>IFERROR(__xludf.DUMMYFUNCTION("VALUE(REGEXEXTRACT(A2920, ""\d+""))"),3678.0)</f>
        <v>3678</v>
      </c>
    </row>
    <row r="2921">
      <c r="A2921" s="9" t="s">
        <v>12766</v>
      </c>
      <c r="B2921" s="9" t="s">
        <v>12767</v>
      </c>
      <c r="D2921" s="9" t="s">
        <v>12768</v>
      </c>
      <c r="G2921" s="6" t="s">
        <v>12768</v>
      </c>
      <c r="J2921" s="9" t="s">
        <v>12769</v>
      </c>
      <c r="O2921" s="10">
        <f>IFERROR(__xludf.DUMMYFUNCTION("VALUE(REGEXEXTRACT(A2921, ""\d+""))"),3679.0)</f>
        <v>3679</v>
      </c>
    </row>
    <row r="2922">
      <c r="A2922" s="9" t="s">
        <v>12770</v>
      </c>
      <c r="B2922" s="9" t="s">
        <v>12771</v>
      </c>
      <c r="D2922" s="9" t="s">
        <v>12771</v>
      </c>
      <c r="G2922" s="6" t="s">
        <v>12771</v>
      </c>
      <c r="J2922" s="9" t="s">
        <v>12772</v>
      </c>
      <c r="O2922" s="10">
        <f>IFERROR(__xludf.DUMMYFUNCTION("VALUE(REGEXEXTRACT(A2922, ""\d+""))"),3680.0)</f>
        <v>3680</v>
      </c>
    </row>
    <row r="2923">
      <c r="A2923" s="9" t="s">
        <v>12773</v>
      </c>
      <c r="B2923" s="9" t="s">
        <v>12774</v>
      </c>
      <c r="D2923" s="9" t="s">
        <v>12774</v>
      </c>
      <c r="G2923" s="6" t="s">
        <v>12774</v>
      </c>
      <c r="J2923" s="9" t="s">
        <v>12775</v>
      </c>
      <c r="O2923" s="10">
        <f>IFERROR(__xludf.DUMMYFUNCTION("VALUE(REGEXEXTRACT(A2923, ""\d+""))"),3681.0)</f>
        <v>3681</v>
      </c>
    </row>
    <row r="2924">
      <c r="A2924" s="9" t="s">
        <v>12776</v>
      </c>
      <c r="B2924" s="9" t="s">
        <v>12777</v>
      </c>
      <c r="D2924" s="9" t="s">
        <v>12777</v>
      </c>
      <c r="G2924" s="6" t="s">
        <v>12777</v>
      </c>
      <c r="J2924" s="9" t="s">
        <v>12778</v>
      </c>
      <c r="O2924" s="10">
        <f>IFERROR(__xludf.DUMMYFUNCTION("VALUE(REGEXEXTRACT(A2924, ""\d+""))"),3682.0)</f>
        <v>3682</v>
      </c>
    </row>
    <row r="2925">
      <c r="A2925" s="9" t="s">
        <v>12779</v>
      </c>
      <c r="B2925" s="9" t="s">
        <v>12780</v>
      </c>
      <c r="D2925" s="9" t="s">
        <v>12780</v>
      </c>
      <c r="G2925" s="6" t="s">
        <v>12780</v>
      </c>
      <c r="J2925" s="9" t="s">
        <v>12781</v>
      </c>
      <c r="O2925" s="10">
        <f>IFERROR(__xludf.DUMMYFUNCTION("VALUE(REGEXEXTRACT(A2925, ""\d+""))"),3683.0)</f>
        <v>3683</v>
      </c>
    </row>
    <row r="2926">
      <c r="A2926" s="9" t="s">
        <v>12782</v>
      </c>
      <c r="B2926" s="9" t="s">
        <v>12783</v>
      </c>
      <c r="D2926" s="9" t="s">
        <v>12783</v>
      </c>
      <c r="G2926" s="6" t="s">
        <v>12783</v>
      </c>
      <c r="J2926" s="9" t="s">
        <v>12784</v>
      </c>
      <c r="O2926" s="10">
        <f>IFERROR(__xludf.DUMMYFUNCTION("VALUE(REGEXEXTRACT(A2926, ""\d+""))"),3684.0)</f>
        <v>3684</v>
      </c>
    </row>
    <row r="2927">
      <c r="A2927" s="9" t="s">
        <v>12785</v>
      </c>
      <c r="B2927" s="9" t="s">
        <v>12786</v>
      </c>
      <c r="D2927" s="9" t="s">
        <v>12786</v>
      </c>
      <c r="G2927" s="6" t="s">
        <v>12786</v>
      </c>
      <c r="J2927" s="9" t="s">
        <v>12787</v>
      </c>
      <c r="O2927" s="10">
        <f>IFERROR(__xludf.DUMMYFUNCTION("VALUE(REGEXEXTRACT(A2927, ""\d+""))"),3685.0)</f>
        <v>3685</v>
      </c>
    </row>
    <row r="2928">
      <c r="A2928" s="9" t="s">
        <v>12788</v>
      </c>
      <c r="B2928" s="9" t="s">
        <v>12789</v>
      </c>
      <c r="G2928" s="6" t="s">
        <v>12790</v>
      </c>
      <c r="O2928" s="10">
        <f>IFERROR(__xludf.DUMMYFUNCTION("VALUE(REGEXEXTRACT(A2928, ""\d+""))"),3686.0)</f>
        <v>3686</v>
      </c>
    </row>
    <row r="2929">
      <c r="A2929" s="9" t="s">
        <v>12791</v>
      </c>
      <c r="B2929" s="9" t="s">
        <v>12792</v>
      </c>
      <c r="D2929" s="9" t="s">
        <v>12792</v>
      </c>
      <c r="G2929" s="6" t="s">
        <v>12792</v>
      </c>
      <c r="J2929" s="9" t="s">
        <v>12793</v>
      </c>
      <c r="O2929" s="10">
        <f>IFERROR(__xludf.DUMMYFUNCTION("VALUE(REGEXEXTRACT(A2929, ""\d+""))"),3687.0)</f>
        <v>3687</v>
      </c>
    </row>
    <row r="2930">
      <c r="A2930" s="9" t="s">
        <v>12794</v>
      </c>
      <c r="B2930" s="9" t="s">
        <v>12795</v>
      </c>
      <c r="G2930" s="6" t="s">
        <v>12796</v>
      </c>
      <c r="O2930" s="10">
        <f>IFERROR(__xludf.DUMMYFUNCTION("VALUE(REGEXEXTRACT(A2930, ""\d+""))"),3688.0)</f>
        <v>3688</v>
      </c>
    </row>
    <row r="2931">
      <c r="A2931" s="9" t="s">
        <v>12797</v>
      </c>
      <c r="B2931" s="9" t="s">
        <v>12798</v>
      </c>
      <c r="D2931" s="9" t="s">
        <v>12799</v>
      </c>
      <c r="G2931" s="6" t="s">
        <v>12800</v>
      </c>
      <c r="J2931" s="9" t="s">
        <v>12801</v>
      </c>
      <c r="O2931" s="10">
        <f>IFERROR(__xludf.DUMMYFUNCTION("VALUE(REGEXEXTRACT(A2931, ""\d+""))"),3689.0)</f>
        <v>3689</v>
      </c>
    </row>
    <row r="2932">
      <c r="A2932" s="9" t="s">
        <v>12802</v>
      </c>
      <c r="B2932" s="9" t="s">
        <v>12803</v>
      </c>
      <c r="D2932" s="9" t="s">
        <v>12804</v>
      </c>
      <c r="G2932" s="6" t="s">
        <v>12805</v>
      </c>
      <c r="J2932" s="9" t="s">
        <v>12806</v>
      </c>
      <c r="O2932" s="10">
        <f>IFERROR(__xludf.DUMMYFUNCTION("VALUE(REGEXEXTRACT(A2932, ""\d+""))"),3690.0)</f>
        <v>3690</v>
      </c>
    </row>
    <row r="2933">
      <c r="A2933" s="9" t="s">
        <v>12807</v>
      </c>
      <c r="B2933" s="9" t="s">
        <v>12808</v>
      </c>
      <c r="D2933" s="9" t="s">
        <v>12809</v>
      </c>
      <c r="G2933" s="6" t="s">
        <v>12810</v>
      </c>
      <c r="J2933" s="9" t="s">
        <v>12811</v>
      </c>
      <c r="O2933" s="10">
        <f>IFERROR(__xludf.DUMMYFUNCTION("VALUE(REGEXEXTRACT(A2933, ""\d+""))"),3691.0)</f>
        <v>3691</v>
      </c>
    </row>
    <row r="2934">
      <c r="A2934" s="9" t="s">
        <v>12812</v>
      </c>
      <c r="B2934" s="9" t="s">
        <v>12813</v>
      </c>
      <c r="G2934" s="6" t="s">
        <v>12814</v>
      </c>
      <c r="O2934" s="10">
        <f>IFERROR(__xludf.DUMMYFUNCTION("VALUE(REGEXEXTRACT(A2934, ""\d+""))"),3692.0)</f>
        <v>3692</v>
      </c>
    </row>
    <row r="2935">
      <c r="A2935" s="9" t="s">
        <v>12815</v>
      </c>
      <c r="B2935" s="9" t="s">
        <v>12816</v>
      </c>
      <c r="G2935" s="6" t="s">
        <v>12817</v>
      </c>
      <c r="O2935" s="10">
        <f>IFERROR(__xludf.DUMMYFUNCTION("VALUE(REGEXEXTRACT(A2935, ""\d+""))"),3693.0)</f>
        <v>3693</v>
      </c>
    </row>
    <row r="2936">
      <c r="A2936" s="9" t="s">
        <v>12818</v>
      </c>
      <c r="B2936" s="9" t="s">
        <v>12819</v>
      </c>
      <c r="D2936" s="9" t="s">
        <v>12820</v>
      </c>
      <c r="G2936" s="6" t="s">
        <v>12821</v>
      </c>
      <c r="J2936" s="9" t="s">
        <v>12822</v>
      </c>
      <c r="O2936" s="10">
        <f>IFERROR(__xludf.DUMMYFUNCTION("VALUE(REGEXEXTRACT(A2936, ""\d+""))"),3695.0)</f>
        <v>3695</v>
      </c>
    </row>
    <row r="2937">
      <c r="A2937" s="9" t="s">
        <v>12823</v>
      </c>
      <c r="B2937" s="9" t="s">
        <v>12824</v>
      </c>
      <c r="G2937" s="6" t="s">
        <v>12601</v>
      </c>
      <c r="O2937" s="10">
        <f>IFERROR(__xludf.DUMMYFUNCTION("VALUE(REGEXEXTRACT(A2937, ""\d+""))"),3696.0)</f>
        <v>3696</v>
      </c>
    </row>
    <row r="2938">
      <c r="A2938" s="9" t="s">
        <v>12825</v>
      </c>
      <c r="B2938" s="9" t="s">
        <v>12826</v>
      </c>
      <c r="G2938" s="6" t="s">
        <v>12827</v>
      </c>
      <c r="O2938" s="10">
        <f>IFERROR(__xludf.DUMMYFUNCTION("VALUE(REGEXEXTRACT(A2938, ""\d+""))"),3697.0)</f>
        <v>3697</v>
      </c>
    </row>
    <row r="2939">
      <c r="A2939" s="9" t="s">
        <v>12828</v>
      </c>
      <c r="B2939" s="9" t="s">
        <v>12829</v>
      </c>
      <c r="D2939" s="9" t="s">
        <v>12830</v>
      </c>
      <c r="G2939" s="6" t="s">
        <v>12831</v>
      </c>
      <c r="J2939" s="9" t="s">
        <v>12832</v>
      </c>
      <c r="O2939" s="10">
        <f>IFERROR(__xludf.DUMMYFUNCTION("VALUE(REGEXEXTRACT(A2939, ""\d+""))"),3698.0)</f>
        <v>3698</v>
      </c>
    </row>
    <row r="2940">
      <c r="A2940" s="9" t="s">
        <v>12833</v>
      </c>
      <c r="B2940" s="9" t="s">
        <v>12834</v>
      </c>
      <c r="D2940" s="9" t="s">
        <v>12082</v>
      </c>
      <c r="G2940" s="6" t="s">
        <v>12835</v>
      </c>
      <c r="J2940" s="9" t="s">
        <v>12836</v>
      </c>
      <c r="O2940" s="10">
        <f>IFERROR(__xludf.DUMMYFUNCTION("VALUE(REGEXEXTRACT(A2940, ""\d+""))"),3700.0)</f>
        <v>3700</v>
      </c>
    </row>
    <row r="2941">
      <c r="A2941" s="9" t="s">
        <v>12837</v>
      </c>
      <c r="B2941" s="9" t="s">
        <v>12838</v>
      </c>
      <c r="G2941" s="6" t="s">
        <v>12839</v>
      </c>
      <c r="O2941" s="10">
        <f>IFERROR(__xludf.DUMMYFUNCTION("VALUE(REGEXEXTRACT(A2941, ""\d+""))"),3710.0)</f>
        <v>3710</v>
      </c>
    </row>
    <row r="2942">
      <c r="A2942" s="9" t="s">
        <v>12840</v>
      </c>
      <c r="B2942" s="9" t="s">
        <v>12841</v>
      </c>
      <c r="G2942" s="6" t="s">
        <v>12842</v>
      </c>
      <c r="O2942" s="10">
        <f>IFERROR(__xludf.DUMMYFUNCTION("VALUE(REGEXEXTRACT(A2942, ""\d+""))"),3716.0)</f>
        <v>3716</v>
      </c>
    </row>
    <row r="2943">
      <c r="A2943" s="9" t="s">
        <v>12843</v>
      </c>
      <c r="B2943" s="9" t="s">
        <v>12844</v>
      </c>
      <c r="D2943" s="9" t="s">
        <v>12845</v>
      </c>
      <c r="G2943" s="6" t="s">
        <v>12846</v>
      </c>
      <c r="J2943" s="9" t="s">
        <v>12847</v>
      </c>
      <c r="O2943" s="10">
        <f>IFERROR(__xludf.DUMMYFUNCTION("VALUE(REGEXEXTRACT(A2943, ""\d+""))"),3717.0)</f>
        <v>3717</v>
      </c>
    </row>
    <row r="2944">
      <c r="A2944" s="9" t="s">
        <v>12848</v>
      </c>
      <c r="B2944" s="9" t="s">
        <v>12849</v>
      </c>
      <c r="G2944" s="6" t="s">
        <v>12601</v>
      </c>
      <c r="O2944" s="10">
        <f>IFERROR(__xludf.DUMMYFUNCTION("VALUE(REGEXEXTRACT(A2944, ""\d+""))"),3718.0)</f>
        <v>3718</v>
      </c>
    </row>
    <row r="2945">
      <c r="A2945" s="9" t="s">
        <v>12850</v>
      </c>
      <c r="B2945" s="9" t="s">
        <v>12851</v>
      </c>
      <c r="G2945" s="6" t="s">
        <v>12852</v>
      </c>
      <c r="O2945" s="10">
        <f>IFERROR(__xludf.DUMMYFUNCTION("VALUE(REGEXEXTRACT(A2945, ""\d+""))"),3719.0)</f>
        <v>3719</v>
      </c>
    </row>
    <row r="2946">
      <c r="A2946" s="9" t="s">
        <v>12853</v>
      </c>
      <c r="B2946" s="9" t="s">
        <v>12854</v>
      </c>
      <c r="D2946" s="9" t="s">
        <v>6769</v>
      </c>
      <c r="G2946" s="6" t="s">
        <v>12855</v>
      </c>
      <c r="J2946" s="9" t="s">
        <v>6771</v>
      </c>
      <c r="O2946" s="10">
        <f>IFERROR(__xludf.DUMMYFUNCTION("VALUE(REGEXEXTRACT(A2946, ""\d+""))"),3720.0)</f>
        <v>3720</v>
      </c>
    </row>
    <row r="2947">
      <c r="A2947" s="9" t="s">
        <v>12856</v>
      </c>
      <c r="B2947" s="9" t="s">
        <v>12857</v>
      </c>
      <c r="G2947" s="6" t="s">
        <v>12858</v>
      </c>
      <c r="O2947" s="10">
        <f>IFERROR(__xludf.DUMMYFUNCTION("VALUE(REGEXEXTRACT(A2947, ""\d+""))"),3737.0)</f>
        <v>3737</v>
      </c>
    </row>
    <row r="2948">
      <c r="A2948" s="9" t="s">
        <v>12859</v>
      </c>
      <c r="B2948" s="9" t="s">
        <v>12860</v>
      </c>
      <c r="D2948" s="9" t="s">
        <v>12861</v>
      </c>
      <c r="G2948" s="6" t="s">
        <v>12862</v>
      </c>
      <c r="J2948" s="9" t="s">
        <v>12863</v>
      </c>
      <c r="O2948" s="10">
        <f>IFERROR(__xludf.DUMMYFUNCTION("VALUE(REGEXEXTRACT(A2948, ""\d+""))"),3738.0)</f>
        <v>3738</v>
      </c>
    </row>
    <row r="2949">
      <c r="A2949" s="9" t="s">
        <v>12864</v>
      </c>
      <c r="B2949" s="9" t="s">
        <v>12865</v>
      </c>
      <c r="G2949" s="6" t="s">
        <v>12601</v>
      </c>
      <c r="O2949" s="10">
        <f>IFERROR(__xludf.DUMMYFUNCTION("VALUE(REGEXEXTRACT(A2949, ""\d+""))"),3739.0)</f>
        <v>3739</v>
      </c>
    </row>
    <row r="2950">
      <c r="A2950" s="9" t="s">
        <v>12866</v>
      </c>
      <c r="B2950" s="9" t="s">
        <v>12867</v>
      </c>
      <c r="G2950" s="6" t="s">
        <v>12868</v>
      </c>
      <c r="O2950" s="10">
        <f>IFERROR(__xludf.DUMMYFUNCTION("VALUE(REGEXEXTRACT(A2950, ""\d+""))"),3740.0)</f>
        <v>3740</v>
      </c>
    </row>
    <row r="2951">
      <c r="A2951" s="9" t="s">
        <v>12869</v>
      </c>
      <c r="B2951" s="9" t="s">
        <v>12870</v>
      </c>
      <c r="D2951" s="9" t="s">
        <v>12871</v>
      </c>
      <c r="G2951" s="6" t="s">
        <v>12872</v>
      </c>
      <c r="J2951" s="9" t="s">
        <v>12873</v>
      </c>
      <c r="O2951" s="10">
        <f>IFERROR(__xludf.DUMMYFUNCTION("VALUE(REGEXEXTRACT(A2951, ""\d+""))"),3741.0)</f>
        <v>3741</v>
      </c>
    </row>
    <row r="2952">
      <c r="A2952" s="9" t="s">
        <v>12874</v>
      </c>
      <c r="B2952" s="9" t="s">
        <v>12875</v>
      </c>
      <c r="G2952" s="6" t="s">
        <v>12876</v>
      </c>
      <c r="O2952" s="10">
        <f>IFERROR(__xludf.DUMMYFUNCTION("VALUE(REGEXEXTRACT(A2952, ""\d+""))"),3759.0)</f>
        <v>3759</v>
      </c>
    </row>
    <row r="2953">
      <c r="A2953" s="9" t="s">
        <v>12877</v>
      </c>
      <c r="B2953" s="9" t="s">
        <v>12878</v>
      </c>
      <c r="G2953" s="17" t="s">
        <v>12879</v>
      </c>
      <c r="O2953" s="10">
        <f>IFERROR(__xludf.DUMMYFUNCTION("VALUE(REGEXEXTRACT(A2953, ""\d+""))"),3760.0)</f>
        <v>3760</v>
      </c>
    </row>
    <row r="2954">
      <c r="A2954" s="9" t="s">
        <v>12880</v>
      </c>
      <c r="B2954" s="9" t="s">
        <v>12881</v>
      </c>
      <c r="G2954" s="17" t="s">
        <v>12882</v>
      </c>
      <c r="O2954" s="10">
        <f>IFERROR(__xludf.DUMMYFUNCTION("VALUE(REGEXEXTRACT(A2954, ""\d+""))"),3761.0)</f>
        <v>3761</v>
      </c>
    </row>
    <row r="2955">
      <c r="A2955" s="9" t="s">
        <v>12883</v>
      </c>
      <c r="B2955" s="9" t="s">
        <v>12884</v>
      </c>
      <c r="G2955" s="17" t="s">
        <v>12885</v>
      </c>
      <c r="O2955" s="10">
        <f>IFERROR(__xludf.DUMMYFUNCTION("VALUE(REGEXEXTRACT(A2955, ""\d+""))"),3762.0)</f>
        <v>3762</v>
      </c>
    </row>
    <row r="2956">
      <c r="A2956" s="9" t="s">
        <v>12886</v>
      </c>
      <c r="B2956" s="9" t="s">
        <v>12887</v>
      </c>
      <c r="G2956" s="17" t="s">
        <v>12887</v>
      </c>
      <c r="O2956" s="10">
        <f>IFERROR(__xludf.DUMMYFUNCTION("VALUE(REGEXEXTRACT(A2956, ""\d+""))"),3771.0)</f>
        <v>3771</v>
      </c>
    </row>
    <row r="2957">
      <c r="A2957" s="9" t="s">
        <v>12888</v>
      </c>
      <c r="B2957" s="9" t="s">
        <v>12889</v>
      </c>
      <c r="G2957" s="17" t="s">
        <v>12889</v>
      </c>
      <c r="O2957" s="10">
        <f>IFERROR(__xludf.DUMMYFUNCTION("VALUE(REGEXEXTRACT(A2957, ""\d+""))"),3772.0)</f>
        <v>3772</v>
      </c>
    </row>
    <row r="2958">
      <c r="A2958" s="9" t="s">
        <v>12890</v>
      </c>
      <c r="B2958" s="9" t="s">
        <v>12891</v>
      </c>
      <c r="G2958" s="18" t="s">
        <v>12891</v>
      </c>
      <c r="O2958" s="10">
        <f>IFERROR(__xludf.DUMMYFUNCTION("VALUE(REGEXEXTRACT(A2958, ""\d+""))"),3773.0)</f>
        <v>3773</v>
      </c>
    </row>
    <row r="2959">
      <c r="A2959" s="9" t="s">
        <v>12892</v>
      </c>
      <c r="B2959" s="9" t="s">
        <v>12893</v>
      </c>
      <c r="G2959" s="17" t="s">
        <v>12893</v>
      </c>
      <c r="O2959" s="10">
        <f>IFERROR(__xludf.DUMMYFUNCTION("VALUE(REGEXEXTRACT(A2959, ""\d+""))"),3774.0)</f>
        <v>3774</v>
      </c>
    </row>
    <row r="2960">
      <c r="A2960" s="9" t="s">
        <v>12894</v>
      </c>
      <c r="B2960" s="9" t="s">
        <v>12895</v>
      </c>
      <c r="G2960" s="17" t="s">
        <v>12895</v>
      </c>
      <c r="O2960" s="10">
        <f>IFERROR(__xludf.DUMMYFUNCTION("VALUE(REGEXEXTRACT(A2960, ""\d+""))"),3775.0)</f>
        <v>3775</v>
      </c>
    </row>
    <row r="2961">
      <c r="A2961" s="9" t="s">
        <v>12896</v>
      </c>
      <c r="B2961" s="9" t="s">
        <v>12897</v>
      </c>
      <c r="G2961" s="17" t="s">
        <v>12897</v>
      </c>
      <c r="O2961" s="10">
        <f>IFERROR(__xludf.DUMMYFUNCTION("VALUE(REGEXEXTRACT(A2961, ""\d+""))"),3776.0)</f>
        <v>3776</v>
      </c>
    </row>
    <row r="2962">
      <c r="A2962" s="9" t="s">
        <v>12898</v>
      </c>
      <c r="B2962" s="9" t="s">
        <v>12899</v>
      </c>
      <c r="G2962" s="17" t="s">
        <v>12899</v>
      </c>
      <c r="O2962" s="10">
        <f>IFERROR(__xludf.DUMMYFUNCTION("VALUE(REGEXEXTRACT(A2962, ""\d+""))"),3777.0)</f>
        <v>3777</v>
      </c>
    </row>
    <row r="2963">
      <c r="A2963" s="9" t="s">
        <v>12900</v>
      </c>
      <c r="B2963" s="9" t="s">
        <v>12901</v>
      </c>
      <c r="G2963" s="17" t="s">
        <v>12901</v>
      </c>
      <c r="O2963" s="10">
        <f>IFERROR(__xludf.DUMMYFUNCTION("VALUE(REGEXEXTRACT(A2963, ""\d+""))"),3778.0)</f>
        <v>3778</v>
      </c>
    </row>
    <row r="2964">
      <c r="A2964" s="9" t="s">
        <v>12902</v>
      </c>
      <c r="B2964" s="9" t="s">
        <v>12903</v>
      </c>
      <c r="G2964" s="17" t="s">
        <v>12903</v>
      </c>
      <c r="O2964" s="10">
        <f>IFERROR(__xludf.DUMMYFUNCTION("VALUE(REGEXEXTRACT(A2964, ""\d+""))"),3779.0)</f>
        <v>3779</v>
      </c>
    </row>
    <row r="2965">
      <c r="A2965" s="9" t="s">
        <v>12904</v>
      </c>
      <c r="B2965" s="9" t="s">
        <v>12905</v>
      </c>
      <c r="G2965" s="17" t="s">
        <v>12905</v>
      </c>
      <c r="O2965" s="10">
        <f>IFERROR(__xludf.DUMMYFUNCTION("VALUE(REGEXEXTRACT(A2965, ""\d+""))"),3780.0)</f>
        <v>3780</v>
      </c>
    </row>
    <row r="2966">
      <c r="A2966" s="9" t="s">
        <v>12906</v>
      </c>
      <c r="B2966" s="9" t="s">
        <v>12907</v>
      </c>
      <c r="G2966" s="17" t="s">
        <v>12907</v>
      </c>
      <c r="O2966" s="10">
        <f>IFERROR(__xludf.DUMMYFUNCTION("VALUE(REGEXEXTRACT(A2966, ""\d+""))"),3781.0)</f>
        <v>3781</v>
      </c>
    </row>
    <row r="2967">
      <c r="A2967" s="9" t="s">
        <v>12908</v>
      </c>
      <c r="B2967" s="9" t="s">
        <v>12909</v>
      </c>
      <c r="G2967" s="17" t="s">
        <v>12909</v>
      </c>
      <c r="O2967" s="10">
        <f>IFERROR(__xludf.DUMMYFUNCTION("VALUE(REGEXEXTRACT(A2967, ""\d+""))"),3782.0)</f>
        <v>3782</v>
      </c>
    </row>
    <row r="2968">
      <c r="A2968" s="9" t="s">
        <v>12910</v>
      </c>
      <c r="B2968" s="9" t="s">
        <v>12911</v>
      </c>
      <c r="G2968" s="17" t="s">
        <v>12912</v>
      </c>
      <c r="O2968" s="10">
        <f>IFERROR(__xludf.DUMMYFUNCTION("VALUE(REGEXEXTRACT(A2968, ""\d+""))"),3783.0)</f>
        <v>3783</v>
      </c>
    </row>
    <row r="2969">
      <c r="A2969" s="9" t="s">
        <v>12913</v>
      </c>
      <c r="B2969" s="9" t="s">
        <v>12914</v>
      </c>
      <c r="G2969" s="17" t="s">
        <v>12915</v>
      </c>
      <c r="O2969" s="10">
        <f>IFERROR(__xludf.DUMMYFUNCTION("VALUE(REGEXEXTRACT(A2969, ""\d+""))"),3784.0)</f>
        <v>3784</v>
      </c>
    </row>
    <row r="2970">
      <c r="A2970" s="9" t="s">
        <v>12916</v>
      </c>
      <c r="B2970" s="9" t="s">
        <v>12917</v>
      </c>
      <c r="G2970" s="17" t="s">
        <v>12918</v>
      </c>
      <c r="O2970" s="10">
        <f>IFERROR(__xludf.DUMMYFUNCTION("VALUE(REGEXEXTRACT(A2970, ""\d+""))"),3785.0)</f>
        <v>3785</v>
      </c>
    </row>
    <row r="2971">
      <c r="A2971" s="9" t="s">
        <v>12919</v>
      </c>
      <c r="B2971" s="9" t="s">
        <v>12920</v>
      </c>
      <c r="G2971" s="17" t="s">
        <v>12921</v>
      </c>
      <c r="O2971" s="10">
        <f>IFERROR(__xludf.DUMMYFUNCTION("VALUE(REGEXEXTRACT(A2971, ""\d+""))"),3786.0)</f>
        <v>3786</v>
      </c>
    </row>
    <row r="2972">
      <c r="A2972" s="9" t="s">
        <v>12922</v>
      </c>
      <c r="B2972" s="9" t="s">
        <v>12923</v>
      </c>
      <c r="G2972" s="17" t="s">
        <v>12924</v>
      </c>
      <c r="O2972" s="10">
        <f>IFERROR(__xludf.DUMMYFUNCTION("VALUE(REGEXEXTRACT(A2972, ""\d+""))"),3787.0)</f>
        <v>3787</v>
      </c>
    </row>
    <row r="2973">
      <c r="A2973" s="9" t="s">
        <v>12925</v>
      </c>
      <c r="B2973" s="9" t="s">
        <v>12926</v>
      </c>
      <c r="G2973" s="17" t="s">
        <v>12927</v>
      </c>
      <c r="O2973" s="10">
        <f>IFERROR(__xludf.DUMMYFUNCTION("VALUE(REGEXEXTRACT(A2973, ""\d+""))"),3788.0)</f>
        <v>3788</v>
      </c>
    </row>
    <row r="2974">
      <c r="A2974" s="9" t="s">
        <v>12928</v>
      </c>
      <c r="B2974" s="9" t="s">
        <v>12929</v>
      </c>
      <c r="G2974" s="17" t="s">
        <v>12930</v>
      </c>
      <c r="O2974" s="10">
        <f>IFERROR(__xludf.DUMMYFUNCTION("VALUE(REGEXEXTRACT(A2974, ""\d+""))"),3789.0)</f>
        <v>3789</v>
      </c>
    </row>
    <row r="2975">
      <c r="A2975" s="9" t="s">
        <v>12931</v>
      </c>
      <c r="B2975" s="9" t="s">
        <v>12932</v>
      </c>
      <c r="G2975" s="17" t="s">
        <v>12933</v>
      </c>
      <c r="O2975" s="10">
        <f>IFERROR(__xludf.DUMMYFUNCTION("VALUE(REGEXEXTRACT(A2975, ""\d+""))"),3790.0)</f>
        <v>3790</v>
      </c>
    </row>
    <row r="2976">
      <c r="A2976" s="9" t="s">
        <v>12934</v>
      </c>
      <c r="B2976" s="9" t="s">
        <v>12935</v>
      </c>
      <c r="G2976" s="17" t="s">
        <v>12936</v>
      </c>
      <c r="O2976" s="10">
        <f>IFERROR(__xludf.DUMMYFUNCTION("VALUE(REGEXEXTRACT(A2976, ""\d+""))"),3792.0)</f>
        <v>3792</v>
      </c>
    </row>
    <row r="2977">
      <c r="A2977" s="9" t="s">
        <v>12937</v>
      </c>
      <c r="B2977" s="9" t="s">
        <v>12938</v>
      </c>
      <c r="G2977" s="17" t="s">
        <v>12939</v>
      </c>
      <c r="O2977" s="10">
        <f>IFERROR(__xludf.DUMMYFUNCTION("VALUE(REGEXEXTRACT(A2977, ""\d+""))"),3793.0)</f>
        <v>3793</v>
      </c>
    </row>
    <row r="2978">
      <c r="A2978" s="9" t="s">
        <v>12940</v>
      </c>
      <c r="B2978" s="9" t="s">
        <v>12941</v>
      </c>
      <c r="G2978" s="17" t="s">
        <v>12942</v>
      </c>
      <c r="O2978" s="10">
        <f>IFERROR(__xludf.DUMMYFUNCTION("VALUE(REGEXEXTRACT(A2978, ""\d+""))"),3794.0)</f>
        <v>3794</v>
      </c>
    </row>
    <row r="2979">
      <c r="A2979" s="9" t="s">
        <v>12943</v>
      </c>
      <c r="B2979" s="9" t="s">
        <v>12944</v>
      </c>
      <c r="G2979" s="17" t="s">
        <v>12945</v>
      </c>
      <c r="O2979" s="10">
        <f>IFERROR(__xludf.DUMMYFUNCTION("VALUE(REGEXEXTRACT(A2979, ""\d+""))"),3795.0)</f>
        <v>3795</v>
      </c>
    </row>
    <row r="2980">
      <c r="A2980" s="9" t="s">
        <v>12946</v>
      </c>
      <c r="B2980" s="9" t="s">
        <v>12947</v>
      </c>
      <c r="G2980" s="17" t="s">
        <v>12948</v>
      </c>
      <c r="O2980" s="10">
        <f>IFERROR(__xludf.DUMMYFUNCTION("VALUE(REGEXEXTRACT(A2980, ""\d+""))"),3796.0)</f>
        <v>3796</v>
      </c>
    </row>
    <row r="2981">
      <c r="A2981" s="9" t="s">
        <v>12949</v>
      </c>
      <c r="B2981" s="9" t="s">
        <v>12950</v>
      </c>
      <c r="G2981" s="17" t="s">
        <v>12951</v>
      </c>
      <c r="O2981" s="10">
        <f>IFERROR(__xludf.DUMMYFUNCTION("VALUE(REGEXEXTRACT(A2981, ""\d+""))"),3797.0)</f>
        <v>3797</v>
      </c>
    </row>
    <row r="2982">
      <c r="A2982" s="9" t="s">
        <v>12952</v>
      </c>
      <c r="B2982" s="9" t="s">
        <v>12953</v>
      </c>
      <c r="G2982" s="17" t="s">
        <v>12954</v>
      </c>
      <c r="O2982" s="10">
        <f>IFERROR(__xludf.DUMMYFUNCTION("VALUE(REGEXEXTRACT(A2982, ""\d+""))"),3798.0)</f>
        <v>3798</v>
      </c>
    </row>
    <row r="2983">
      <c r="A2983" s="9" t="s">
        <v>12955</v>
      </c>
      <c r="B2983" s="9" t="s">
        <v>12956</v>
      </c>
      <c r="G2983" s="17" t="s">
        <v>12957</v>
      </c>
      <c r="O2983" s="10">
        <f>IFERROR(__xludf.DUMMYFUNCTION("VALUE(REGEXEXTRACT(A2983, ""\d+""))"),3799.0)</f>
        <v>3799</v>
      </c>
    </row>
    <row r="2984">
      <c r="A2984" s="9" t="s">
        <v>12958</v>
      </c>
      <c r="B2984" s="9" t="s">
        <v>12959</v>
      </c>
      <c r="G2984" s="17" t="s">
        <v>12960</v>
      </c>
      <c r="O2984" s="10">
        <f>IFERROR(__xludf.DUMMYFUNCTION("VALUE(REGEXEXTRACT(A2984, ""\d+""))"),3800.0)</f>
        <v>3800</v>
      </c>
    </row>
    <row r="2985">
      <c r="A2985" s="9" t="s">
        <v>12961</v>
      </c>
      <c r="B2985" s="9" t="s">
        <v>12962</v>
      </c>
      <c r="G2985" s="17" t="s">
        <v>12963</v>
      </c>
      <c r="O2985" s="10">
        <f>IFERROR(__xludf.DUMMYFUNCTION("VALUE(REGEXEXTRACT(A2985, ""\d+""))"),3801.0)</f>
        <v>3801</v>
      </c>
    </row>
    <row r="2986">
      <c r="A2986" s="9" t="s">
        <v>12964</v>
      </c>
      <c r="B2986" s="9" t="s">
        <v>12965</v>
      </c>
      <c r="G2986" s="17" t="s">
        <v>12966</v>
      </c>
      <c r="O2986" s="10">
        <f>IFERROR(__xludf.DUMMYFUNCTION("VALUE(REGEXEXTRACT(A2986, ""\d+""))"),3802.0)</f>
        <v>3802</v>
      </c>
    </row>
    <row r="2987">
      <c r="A2987" s="9" t="s">
        <v>12967</v>
      </c>
      <c r="B2987" s="9" t="s">
        <v>12968</v>
      </c>
      <c r="G2987" s="17" t="s">
        <v>12969</v>
      </c>
      <c r="O2987" s="10">
        <f>IFERROR(__xludf.DUMMYFUNCTION("VALUE(REGEXEXTRACT(A2987, ""\d+""))"),3803.0)</f>
        <v>3803</v>
      </c>
    </row>
    <row r="2988">
      <c r="A2988" s="9" t="s">
        <v>12970</v>
      </c>
      <c r="B2988" s="9" t="s">
        <v>12971</v>
      </c>
      <c r="G2988" s="17" t="s">
        <v>12972</v>
      </c>
      <c r="O2988" s="10">
        <f>IFERROR(__xludf.DUMMYFUNCTION("VALUE(REGEXEXTRACT(A2988, ""\d+""))"),3804.0)</f>
        <v>3804</v>
      </c>
    </row>
    <row r="2989">
      <c r="A2989" s="9" t="s">
        <v>12973</v>
      </c>
      <c r="B2989" s="9" t="s">
        <v>12974</v>
      </c>
      <c r="G2989" s="17" t="s">
        <v>12975</v>
      </c>
      <c r="O2989" s="10">
        <f>IFERROR(__xludf.DUMMYFUNCTION("VALUE(REGEXEXTRACT(A2989, ""\d+""))"),3805.0)</f>
        <v>3805</v>
      </c>
    </row>
    <row r="2990">
      <c r="A2990" s="9" t="s">
        <v>12976</v>
      </c>
      <c r="B2990" s="9" t="s">
        <v>12977</v>
      </c>
      <c r="G2990" s="17" t="s">
        <v>12978</v>
      </c>
      <c r="O2990" s="10">
        <f>IFERROR(__xludf.DUMMYFUNCTION("VALUE(REGEXEXTRACT(A2990, ""\d+""))"),3806.0)</f>
        <v>3806</v>
      </c>
    </row>
    <row r="2991">
      <c r="A2991" s="9" t="s">
        <v>12979</v>
      </c>
      <c r="B2991" s="9" t="s">
        <v>12980</v>
      </c>
      <c r="G2991" s="17" t="s">
        <v>12981</v>
      </c>
      <c r="O2991" s="10">
        <f>IFERROR(__xludf.DUMMYFUNCTION("VALUE(REGEXEXTRACT(A2991, ""\d+""))"),3807.0)</f>
        <v>3807</v>
      </c>
    </row>
    <row r="2992">
      <c r="A2992" s="9" t="s">
        <v>12982</v>
      </c>
      <c r="B2992" s="9" t="s">
        <v>12983</v>
      </c>
      <c r="G2992" s="17" t="s">
        <v>12984</v>
      </c>
      <c r="O2992" s="10">
        <f>IFERROR(__xludf.DUMMYFUNCTION("VALUE(REGEXEXTRACT(A2992, ""\d+""))"),3808.0)</f>
        <v>3808</v>
      </c>
    </row>
    <row r="2993">
      <c r="A2993" s="9" t="s">
        <v>12985</v>
      </c>
      <c r="B2993" s="9" t="s">
        <v>12986</v>
      </c>
      <c r="G2993" s="17" t="s">
        <v>12987</v>
      </c>
      <c r="O2993" s="10">
        <f>IFERROR(__xludf.DUMMYFUNCTION("VALUE(REGEXEXTRACT(A2993, ""\d+""))"),3809.0)</f>
        <v>3809</v>
      </c>
    </row>
    <row r="2994">
      <c r="A2994" s="9" t="s">
        <v>12988</v>
      </c>
      <c r="B2994" s="9" t="s">
        <v>12989</v>
      </c>
      <c r="G2994" s="6" t="s">
        <v>12990</v>
      </c>
      <c r="O2994" s="10">
        <f>IFERROR(__xludf.DUMMYFUNCTION("VALUE(REGEXEXTRACT(A2994, ""\d+""))"),3810.0)</f>
        <v>3810</v>
      </c>
    </row>
    <row r="2995">
      <c r="A2995" s="9" t="s">
        <v>12991</v>
      </c>
      <c r="B2995" s="9" t="s">
        <v>12992</v>
      </c>
      <c r="G2995" s="6" t="s">
        <v>12993</v>
      </c>
      <c r="O2995" s="10">
        <f>IFERROR(__xludf.DUMMYFUNCTION("VALUE(REGEXEXTRACT(A2995, ""\d+""))"),3814.0)</f>
        <v>3814</v>
      </c>
    </row>
    <row r="2996">
      <c r="A2996" s="9" t="s">
        <v>12994</v>
      </c>
      <c r="B2996" s="9" t="s">
        <v>12995</v>
      </c>
      <c r="G2996" s="6" t="s">
        <v>12996</v>
      </c>
      <c r="O2996" s="10">
        <f>IFERROR(__xludf.DUMMYFUNCTION("VALUE(REGEXEXTRACT(A2996, ""\d+""))"),3815.0)</f>
        <v>3815</v>
      </c>
    </row>
    <row r="2997">
      <c r="A2997" s="9" t="s">
        <v>12997</v>
      </c>
      <c r="B2997" s="9" t="s">
        <v>12998</v>
      </c>
      <c r="G2997" s="6" t="s">
        <v>12999</v>
      </c>
      <c r="O2997" s="10">
        <f>IFERROR(__xludf.DUMMYFUNCTION("VALUE(REGEXEXTRACT(A2997, ""\d+""))"),3816.0)</f>
        <v>3816</v>
      </c>
    </row>
    <row r="2998">
      <c r="A2998" s="9" t="s">
        <v>13000</v>
      </c>
      <c r="B2998" s="9" t="s">
        <v>13001</v>
      </c>
      <c r="G2998" s="6" t="s">
        <v>13002</v>
      </c>
      <c r="O2998" s="10">
        <f>IFERROR(__xludf.DUMMYFUNCTION("VALUE(REGEXEXTRACT(A2998, ""\d+""))"),3817.0)</f>
        <v>3817</v>
      </c>
    </row>
    <row r="2999">
      <c r="A2999" s="9" t="s">
        <v>13003</v>
      </c>
      <c r="B2999" s="9" t="s">
        <v>13004</v>
      </c>
      <c r="G2999" s="6" t="s">
        <v>13005</v>
      </c>
      <c r="O2999" s="10">
        <f>IFERROR(__xludf.DUMMYFUNCTION("VALUE(REGEXEXTRACT(A2999, ""\d+""))"),3818.0)</f>
        <v>3818</v>
      </c>
    </row>
    <row r="3000">
      <c r="A3000" s="9" t="s">
        <v>13006</v>
      </c>
      <c r="B3000" s="9" t="s">
        <v>13007</v>
      </c>
      <c r="G3000" s="6" t="s">
        <v>13008</v>
      </c>
      <c r="O3000" s="10">
        <f>IFERROR(__xludf.DUMMYFUNCTION("VALUE(REGEXEXTRACT(A3000, ""\d+""))"),3819.0)</f>
        <v>3819</v>
      </c>
    </row>
    <row r="3001">
      <c r="A3001" s="9" t="s">
        <v>13009</v>
      </c>
      <c r="B3001" s="9" t="s">
        <v>13010</v>
      </c>
      <c r="G3001" s="6" t="s">
        <v>13011</v>
      </c>
      <c r="O3001" s="10">
        <f>IFERROR(__xludf.DUMMYFUNCTION("VALUE(REGEXEXTRACT(A3001, ""\d+""))"),3820.0)</f>
        <v>3820</v>
      </c>
    </row>
    <row r="3002">
      <c r="A3002" s="9" t="s">
        <v>13012</v>
      </c>
      <c r="B3002" s="9" t="s">
        <v>13013</v>
      </c>
      <c r="G3002" s="6" t="s">
        <v>13014</v>
      </c>
      <c r="O3002" s="10">
        <f>IFERROR(__xludf.DUMMYFUNCTION("VALUE(REGEXEXTRACT(A3002, ""\d+""))"),3821.0)</f>
        <v>3821</v>
      </c>
    </row>
    <row r="3003">
      <c r="A3003" s="9" t="s">
        <v>13015</v>
      </c>
      <c r="B3003" s="9" t="s">
        <v>13016</v>
      </c>
      <c r="G3003" s="6" t="s">
        <v>13017</v>
      </c>
      <c r="O3003" s="10">
        <f>IFERROR(__xludf.DUMMYFUNCTION("VALUE(REGEXEXTRACT(A3003, ""\d+""))"),3822.0)</f>
        <v>3822</v>
      </c>
    </row>
    <row r="3004">
      <c r="A3004" s="9" t="s">
        <v>13018</v>
      </c>
      <c r="B3004" s="9" t="s">
        <v>13019</v>
      </c>
      <c r="G3004" s="6" t="s">
        <v>13020</v>
      </c>
      <c r="O3004" s="10">
        <f>IFERROR(__xludf.DUMMYFUNCTION("VALUE(REGEXEXTRACT(A3004, ""\d+""))"),3823.0)</f>
        <v>3823</v>
      </c>
    </row>
    <row r="3005">
      <c r="A3005" s="9" t="s">
        <v>13021</v>
      </c>
      <c r="B3005" s="9" t="s">
        <v>13022</v>
      </c>
      <c r="G3005" s="6" t="s">
        <v>13023</v>
      </c>
      <c r="O3005" s="10">
        <f>IFERROR(__xludf.DUMMYFUNCTION("VALUE(REGEXEXTRACT(A3005, ""\d+""))"),3824.0)</f>
        <v>3824</v>
      </c>
    </row>
    <row r="3006">
      <c r="A3006" s="9" t="s">
        <v>13024</v>
      </c>
      <c r="B3006" s="9" t="s">
        <v>13025</v>
      </c>
      <c r="G3006" s="6" t="s">
        <v>13026</v>
      </c>
      <c r="O3006" s="10">
        <f>IFERROR(__xludf.DUMMYFUNCTION("VALUE(REGEXEXTRACT(A3006, ""\d+""))"),3825.0)</f>
        <v>3825</v>
      </c>
    </row>
    <row r="3007">
      <c r="A3007" s="9" t="s">
        <v>13027</v>
      </c>
      <c r="B3007" s="9" t="s">
        <v>13028</v>
      </c>
      <c r="G3007" s="6" t="s">
        <v>13029</v>
      </c>
      <c r="O3007" s="10">
        <f>IFERROR(__xludf.DUMMYFUNCTION("VALUE(REGEXEXTRACT(A3007, ""\d+""))"),3826.0)</f>
        <v>3826</v>
      </c>
    </row>
    <row r="3008">
      <c r="A3008" s="9" t="s">
        <v>13030</v>
      </c>
      <c r="B3008" s="9" t="s">
        <v>13031</v>
      </c>
      <c r="G3008" s="6" t="s">
        <v>13032</v>
      </c>
      <c r="O3008" s="10">
        <f>IFERROR(__xludf.DUMMYFUNCTION("VALUE(REGEXEXTRACT(A3008, ""\d+""))"),3827.0)</f>
        <v>3827</v>
      </c>
    </row>
    <row r="3009">
      <c r="A3009" s="9" t="s">
        <v>13033</v>
      </c>
      <c r="B3009" s="9" t="s">
        <v>13034</v>
      </c>
      <c r="G3009" s="6" t="s">
        <v>13035</v>
      </c>
      <c r="O3009" s="10">
        <f>IFERROR(__xludf.DUMMYFUNCTION("VALUE(REGEXEXTRACT(A3009, ""\d+""))"),3828.0)</f>
        <v>3828</v>
      </c>
    </row>
    <row r="3010">
      <c r="A3010" s="9" t="s">
        <v>13036</v>
      </c>
      <c r="B3010" s="9" t="s">
        <v>13037</v>
      </c>
      <c r="G3010" s="6" t="s">
        <v>13038</v>
      </c>
      <c r="O3010" s="10">
        <f>IFERROR(__xludf.DUMMYFUNCTION("VALUE(REGEXEXTRACT(A3010, ""\d+""))"),3829.0)</f>
        <v>3829</v>
      </c>
    </row>
    <row r="3011">
      <c r="A3011" s="9" t="s">
        <v>13039</v>
      </c>
      <c r="B3011" s="9" t="s">
        <v>13040</v>
      </c>
      <c r="G3011" s="6" t="s">
        <v>13040</v>
      </c>
      <c r="O3011" s="10">
        <f>IFERROR(__xludf.DUMMYFUNCTION("VALUE(REGEXEXTRACT(A3011, ""\d+""))"),3830.0)</f>
        <v>3830</v>
      </c>
    </row>
    <row r="3012">
      <c r="A3012" s="9" t="s">
        <v>13041</v>
      </c>
      <c r="B3012" s="9" t="s">
        <v>13042</v>
      </c>
      <c r="G3012" s="6" t="s">
        <v>13042</v>
      </c>
      <c r="O3012" s="10">
        <f>IFERROR(__xludf.DUMMYFUNCTION("VALUE(REGEXEXTRACT(A3012, ""\d+""))"),3831.0)</f>
        <v>3831</v>
      </c>
    </row>
    <row r="3013">
      <c r="A3013" s="9" t="s">
        <v>13043</v>
      </c>
      <c r="B3013" s="9" t="s">
        <v>13044</v>
      </c>
      <c r="G3013" s="6" t="s">
        <v>13045</v>
      </c>
      <c r="O3013" s="10">
        <f>IFERROR(__xludf.DUMMYFUNCTION("VALUE(REGEXEXTRACT(A3013, ""\d+""))"),3832.0)</f>
        <v>3832</v>
      </c>
    </row>
    <row r="3014">
      <c r="A3014" s="9" t="s">
        <v>13046</v>
      </c>
      <c r="B3014" s="9" t="s">
        <v>13047</v>
      </c>
      <c r="G3014" s="6" t="s">
        <v>13048</v>
      </c>
      <c r="O3014" s="10">
        <f>IFERROR(__xludf.DUMMYFUNCTION("VALUE(REGEXEXTRACT(A3014, ""\d+""))"),3833.0)</f>
        <v>3833</v>
      </c>
    </row>
    <row r="3015">
      <c r="A3015" s="9" t="s">
        <v>13049</v>
      </c>
      <c r="B3015" s="9" t="s">
        <v>13050</v>
      </c>
      <c r="G3015" s="6" t="s">
        <v>13051</v>
      </c>
      <c r="O3015" s="10">
        <f>IFERROR(__xludf.DUMMYFUNCTION("VALUE(REGEXEXTRACT(A3015, ""\d+""))"),3834.0)</f>
        <v>3834</v>
      </c>
    </row>
    <row r="3016">
      <c r="A3016" s="9" t="s">
        <v>13052</v>
      </c>
      <c r="B3016" s="9" t="s">
        <v>13053</v>
      </c>
      <c r="G3016" s="6" t="s">
        <v>13054</v>
      </c>
      <c r="O3016" s="10">
        <f>IFERROR(__xludf.DUMMYFUNCTION("VALUE(REGEXEXTRACT(A3016, ""\d+""))"),3835.0)</f>
        <v>3835</v>
      </c>
    </row>
    <row r="3017">
      <c r="A3017" s="9" t="s">
        <v>13055</v>
      </c>
      <c r="B3017" s="9" t="s">
        <v>13056</v>
      </c>
      <c r="G3017" s="6" t="s">
        <v>13057</v>
      </c>
      <c r="O3017" s="10">
        <f>IFERROR(__xludf.DUMMYFUNCTION("VALUE(REGEXEXTRACT(A3017, ""\d+""))"),3836.0)</f>
        <v>3836</v>
      </c>
    </row>
    <row r="3018">
      <c r="A3018" s="9" t="s">
        <v>13058</v>
      </c>
      <c r="B3018" s="9" t="s">
        <v>13059</v>
      </c>
      <c r="G3018" s="6" t="s">
        <v>13060</v>
      </c>
      <c r="O3018" s="10">
        <f>IFERROR(__xludf.DUMMYFUNCTION("VALUE(REGEXEXTRACT(A3018, ""\d+""))"),3837.0)</f>
        <v>3837</v>
      </c>
    </row>
    <row r="3019">
      <c r="A3019" s="9" t="s">
        <v>13061</v>
      </c>
      <c r="B3019" s="9" t="s">
        <v>13062</v>
      </c>
      <c r="G3019" s="9" t="s">
        <v>13062</v>
      </c>
      <c r="O3019" s="10">
        <f>IFERROR(__xludf.DUMMYFUNCTION("VALUE(REGEXEXTRACT(A3019, ""\d+""))"),3838.0)</f>
        <v>3838</v>
      </c>
    </row>
    <row r="3020">
      <c r="A3020" s="9" t="s">
        <v>13063</v>
      </c>
      <c r="B3020" s="9" t="s">
        <v>13064</v>
      </c>
      <c r="G3020" s="6" t="s">
        <v>13064</v>
      </c>
      <c r="O3020" s="10">
        <f>IFERROR(__xludf.DUMMYFUNCTION("VALUE(REGEXEXTRACT(A3020, ""\d+""))"),3839.0)</f>
        <v>3839</v>
      </c>
    </row>
    <row r="3021">
      <c r="A3021" s="9" t="s">
        <v>13065</v>
      </c>
      <c r="B3021" s="9" t="s">
        <v>13066</v>
      </c>
      <c r="G3021" s="6" t="s">
        <v>13067</v>
      </c>
      <c r="O3021" s="10">
        <f>IFERROR(__xludf.DUMMYFUNCTION("VALUE(REGEXEXTRACT(A3021, ""\d+""))"),3840.0)</f>
        <v>3840</v>
      </c>
    </row>
    <row r="3022">
      <c r="A3022" s="9" t="s">
        <v>13068</v>
      </c>
      <c r="B3022" s="9" t="s">
        <v>13069</v>
      </c>
      <c r="G3022" s="6" t="s">
        <v>13070</v>
      </c>
      <c r="O3022" s="10">
        <f>IFERROR(__xludf.DUMMYFUNCTION("VALUE(REGEXEXTRACT(A3022, ""\d+""))"),3841.0)</f>
        <v>3841</v>
      </c>
    </row>
    <row r="3023">
      <c r="A3023" s="9" t="s">
        <v>13071</v>
      </c>
      <c r="B3023" s="9" t="s">
        <v>13072</v>
      </c>
      <c r="G3023" s="9" t="s">
        <v>13073</v>
      </c>
      <c r="O3023" s="10">
        <f>IFERROR(__xludf.DUMMYFUNCTION("VALUE(REGEXEXTRACT(A3023, ""\d+""))"),3842.0)</f>
        <v>3842</v>
      </c>
    </row>
    <row r="3024">
      <c r="A3024" s="9" t="s">
        <v>13074</v>
      </c>
      <c r="B3024" s="9" t="s">
        <v>13075</v>
      </c>
      <c r="G3024" s="6" t="s">
        <v>13076</v>
      </c>
      <c r="O3024" s="10">
        <f>IFERROR(__xludf.DUMMYFUNCTION("VALUE(REGEXEXTRACT(A3024, ""\d+""))"),3843.0)</f>
        <v>3843</v>
      </c>
    </row>
    <row r="3025">
      <c r="A3025" s="9" t="s">
        <v>13077</v>
      </c>
      <c r="B3025" s="9" t="s">
        <v>13078</v>
      </c>
      <c r="G3025" s="6" t="s">
        <v>13079</v>
      </c>
      <c r="O3025" s="10">
        <f>IFERROR(__xludf.DUMMYFUNCTION("VALUE(REGEXEXTRACT(A3025, ""\d+""))"),3844.0)</f>
        <v>3844</v>
      </c>
    </row>
    <row r="3026">
      <c r="A3026" s="9" t="s">
        <v>13080</v>
      </c>
      <c r="B3026" s="9" t="s">
        <v>13081</v>
      </c>
      <c r="G3026" s="6" t="s">
        <v>13082</v>
      </c>
      <c r="O3026" s="10">
        <f>IFERROR(__xludf.DUMMYFUNCTION("VALUE(REGEXEXTRACT(A3026, ""\d+""))"),3845.0)</f>
        <v>3845</v>
      </c>
    </row>
    <row r="3027">
      <c r="A3027" s="9" t="s">
        <v>13083</v>
      </c>
      <c r="B3027" s="9" t="s">
        <v>13084</v>
      </c>
      <c r="G3027" s="6" t="s">
        <v>13085</v>
      </c>
      <c r="O3027" s="10">
        <f>IFERROR(__xludf.DUMMYFUNCTION("VALUE(REGEXEXTRACT(A3027, ""\d+""))"),3846.0)</f>
        <v>3846</v>
      </c>
    </row>
    <row r="3028">
      <c r="A3028" s="9" t="s">
        <v>13086</v>
      </c>
      <c r="B3028" s="9" t="s">
        <v>13087</v>
      </c>
      <c r="G3028" s="6" t="s">
        <v>13088</v>
      </c>
      <c r="O3028" s="10">
        <f>IFERROR(__xludf.DUMMYFUNCTION("VALUE(REGEXEXTRACT(A3028, ""\d+""))"),3847.0)</f>
        <v>3847</v>
      </c>
    </row>
    <row r="3029">
      <c r="A3029" s="9" t="s">
        <v>13089</v>
      </c>
      <c r="B3029" s="9" t="s">
        <v>13090</v>
      </c>
      <c r="G3029" s="6" t="s">
        <v>13091</v>
      </c>
      <c r="O3029" s="10">
        <f>IFERROR(__xludf.DUMMYFUNCTION("VALUE(REGEXEXTRACT(A3029, ""\d+""))"),3848.0)</f>
        <v>3848</v>
      </c>
    </row>
    <row r="3030">
      <c r="A3030" s="9" t="s">
        <v>13092</v>
      </c>
      <c r="B3030" s="9" t="s">
        <v>13093</v>
      </c>
      <c r="G3030" s="6" t="s">
        <v>13094</v>
      </c>
      <c r="O3030" s="10">
        <f>IFERROR(__xludf.DUMMYFUNCTION("VALUE(REGEXEXTRACT(A3030, ""\d+""))"),3849.0)</f>
        <v>3849</v>
      </c>
    </row>
    <row r="3031">
      <c r="A3031" s="9" t="s">
        <v>13095</v>
      </c>
      <c r="B3031" s="9" t="s">
        <v>13096</v>
      </c>
      <c r="G3031" s="6" t="s">
        <v>13097</v>
      </c>
      <c r="O3031" s="10">
        <f>IFERROR(__xludf.DUMMYFUNCTION("VALUE(REGEXEXTRACT(A3031, ""\d+""))"),3850.0)</f>
        <v>3850</v>
      </c>
    </row>
    <row r="3032">
      <c r="A3032" s="9" t="s">
        <v>13098</v>
      </c>
      <c r="B3032" s="9" t="s">
        <v>13099</v>
      </c>
      <c r="G3032" s="6" t="s">
        <v>13100</v>
      </c>
      <c r="O3032" s="10">
        <f>IFERROR(__xludf.DUMMYFUNCTION("VALUE(REGEXEXTRACT(A3032, ""\d+""))"),3851.0)</f>
        <v>3851</v>
      </c>
    </row>
    <row r="3033">
      <c r="A3033" s="9" t="s">
        <v>13101</v>
      </c>
      <c r="B3033" s="9" t="s">
        <v>13099</v>
      </c>
      <c r="G3033" s="6" t="s">
        <v>13100</v>
      </c>
      <c r="O3033" s="10">
        <f>IFERROR(__xludf.DUMMYFUNCTION("VALUE(REGEXEXTRACT(A3033, ""\d+""))"),3852.0)</f>
        <v>3852</v>
      </c>
    </row>
    <row r="3034">
      <c r="A3034" s="9" t="s">
        <v>13102</v>
      </c>
      <c r="B3034" s="9" t="s">
        <v>13099</v>
      </c>
      <c r="G3034" s="6" t="s">
        <v>13100</v>
      </c>
      <c r="O3034" s="10">
        <f>IFERROR(__xludf.DUMMYFUNCTION("VALUE(REGEXEXTRACT(A3034, ""\d+""))"),3853.0)</f>
        <v>3853</v>
      </c>
    </row>
    <row r="3035">
      <c r="A3035" s="9" t="s">
        <v>13103</v>
      </c>
      <c r="B3035" s="9" t="s">
        <v>13104</v>
      </c>
      <c r="G3035" s="6" t="s">
        <v>13105</v>
      </c>
      <c r="O3035" s="10">
        <f>IFERROR(__xludf.DUMMYFUNCTION("VALUE(REGEXEXTRACT(A3035, ""\d+""))"),3854.0)</f>
        <v>3854</v>
      </c>
    </row>
    <row r="3036">
      <c r="A3036" s="9" t="s">
        <v>13106</v>
      </c>
      <c r="B3036" s="9" t="s">
        <v>13107</v>
      </c>
      <c r="G3036" s="6" t="s">
        <v>13108</v>
      </c>
      <c r="O3036" s="10">
        <f>IFERROR(__xludf.DUMMYFUNCTION("VALUE(REGEXEXTRACT(A3036, ""\d+""))"),3855.0)</f>
        <v>3855</v>
      </c>
    </row>
    <row r="3037">
      <c r="A3037" s="9" t="s">
        <v>13109</v>
      </c>
      <c r="B3037" s="9" t="s">
        <v>13110</v>
      </c>
      <c r="G3037" s="6" t="s">
        <v>13111</v>
      </c>
      <c r="O3037" s="10">
        <f>IFERROR(__xludf.DUMMYFUNCTION("VALUE(REGEXEXTRACT(A3037, ""\d+""))"),3856.0)</f>
        <v>3856</v>
      </c>
    </row>
    <row r="3038">
      <c r="A3038" s="9" t="s">
        <v>13112</v>
      </c>
      <c r="B3038" s="9" t="s">
        <v>13113</v>
      </c>
      <c r="G3038" s="6" t="s">
        <v>13114</v>
      </c>
      <c r="O3038" s="10">
        <f>IFERROR(__xludf.DUMMYFUNCTION("VALUE(REGEXEXTRACT(A3038, ""\d+""))"),3857.0)</f>
        <v>3857</v>
      </c>
    </row>
    <row r="3039">
      <c r="A3039" s="9" t="s">
        <v>13115</v>
      </c>
      <c r="B3039" s="9" t="s">
        <v>13116</v>
      </c>
      <c r="G3039" s="6" t="s">
        <v>13117</v>
      </c>
      <c r="O3039" s="10">
        <f>IFERROR(__xludf.DUMMYFUNCTION("VALUE(REGEXEXTRACT(A3039, ""\d+""))"),3858.0)</f>
        <v>3858</v>
      </c>
    </row>
    <row r="3040">
      <c r="A3040" s="9" t="s">
        <v>13118</v>
      </c>
      <c r="B3040" s="9" t="s">
        <v>13119</v>
      </c>
      <c r="G3040" s="6" t="s">
        <v>13120</v>
      </c>
      <c r="O3040" s="10">
        <f>IFERROR(__xludf.DUMMYFUNCTION("VALUE(REGEXEXTRACT(A3040, ""\d+""))"),3859.0)</f>
        <v>3859</v>
      </c>
    </row>
    <row r="3041">
      <c r="A3041" s="9" t="s">
        <v>13121</v>
      </c>
      <c r="B3041" s="9" t="s">
        <v>13122</v>
      </c>
      <c r="G3041" s="6" t="s">
        <v>13123</v>
      </c>
      <c r="O3041" s="10">
        <f>IFERROR(__xludf.DUMMYFUNCTION("VALUE(REGEXEXTRACT(A3041, ""\d+""))"),3860.0)</f>
        <v>3860</v>
      </c>
    </row>
    <row r="3042">
      <c r="A3042" s="9" t="s">
        <v>13124</v>
      </c>
      <c r="B3042" s="9" t="s">
        <v>13125</v>
      </c>
      <c r="G3042" s="6" t="s">
        <v>13126</v>
      </c>
      <c r="O3042" s="10">
        <f>IFERROR(__xludf.DUMMYFUNCTION("VALUE(REGEXEXTRACT(A3042, ""\d+""))"),3861.0)</f>
        <v>3861</v>
      </c>
    </row>
    <row r="3043">
      <c r="A3043" s="9" t="s">
        <v>13127</v>
      </c>
      <c r="B3043" s="9" t="s">
        <v>13128</v>
      </c>
      <c r="G3043" s="6" t="s">
        <v>13128</v>
      </c>
      <c r="O3043" s="10">
        <f>IFERROR(__xludf.DUMMYFUNCTION("VALUE(REGEXEXTRACT(A3043, ""\d+""))"),3862.0)</f>
        <v>3862</v>
      </c>
    </row>
    <row r="3044">
      <c r="A3044" s="9" t="s">
        <v>13129</v>
      </c>
      <c r="B3044" s="9" t="s">
        <v>13130</v>
      </c>
      <c r="G3044" s="6" t="s">
        <v>13131</v>
      </c>
      <c r="O3044" s="10">
        <f>IFERROR(__xludf.DUMMYFUNCTION("VALUE(REGEXEXTRACT(A3044, ""\d+""))"),3863.0)</f>
        <v>3863</v>
      </c>
    </row>
    <row r="3045">
      <c r="A3045" s="9" t="s">
        <v>13132</v>
      </c>
      <c r="B3045" s="9" t="s">
        <v>13133</v>
      </c>
      <c r="G3045" s="6" t="s">
        <v>13134</v>
      </c>
      <c r="O3045" s="10">
        <f>IFERROR(__xludf.DUMMYFUNCTION("VALUE(REGEXEXTRACT(A3045, ""\d+""))"),3864.0)</f>
        <v>3864</v>
      </c>
    </row>
    <row r="3046">
      <c r="A3046" s="9" t="s">
        <v>13135</v>
      </c>
      <c r="B3046" s="9" t="s">
        <v>13133</v>
      </c>
      <c r="G3046" s="6" t="s">
        <v>13134</v>
      </c>
      <c r="O3046" s="10">
        <f>IFERROR(__xludf.DUMMYFUNCTION("VALUE(REGEXEXTRACT(A3046, ""\d+""))"),3865.0)</f>
        <v>3865</v>
      </c>
    </row>
    <row r="3047">
      <c r="A3047" s="9" t="s">
        <v>13136</v>
      </c>
      <c r="B3047" s="9" t="s">
        <v>13133</v>
      </c>
      <c r="G3047" s="6" t="s">
        <v>13134</v>
      </c>
      <c r="O3047" s="10">
        <f>IFERROR(__xludf.DUMMYFUNCTION("VALUE(REGEXEXTRACT(A3047, ""\d+""))"),3866.0)</f>
        <v>3866</v>
      </c>
    </row>
    <row r="3048">
      <c r="A3048" s="9" t="s">
        <v>13137</v>
      </c>
      <c r="B3048" s="9" t="s">
        <v>13138</v>
      </c>
      <c r="G3048" s="6" t="s">
        <v>13139</v>
      </c>
      <c r="O3048" s="10">
        <f>IFERROR(__xludf.DUMMYFUNCTION("VALUE(REGEXEXTRACT(A3048, ""\d+""))"),3867.0)</f>
        <v>3867</v>
      </c>
    </row>
    <row r="3049">
      <c r="A3049" s="9" t="s">
        <v>13140</v>
      </c>
      <c r="B3049" s="9" t="s">
        <v>13141</v>
      </c>
      <c r="G3049" s="6" t="s">
        <v>13142</v>
      </c>
      <c r="O3049" s="10">
        <f>IFERROR(__xludf.DUMMYFUNCTION("VALUE(REGEXEXTRACT(A3049, ""\d+""))"),3868.0)</f>
        <v>3868</v>
      </c>
    </row>
    <row r="3050">
      <c r="A3050" s="9" t="s">
        <v>13143</v>
      </c>
      <c r="B3050" s="9" t="s">
        <v>13144</v>
      </c>
      <c r="G3050" s="6" t="s">
        <v>13145</v>
      </c>
      <c r="O3050" s="10">
        <f>IFERROR(__xludf.DUMMYFUNCTION("VALUE(REGEXEXTRACT(A3050, ""\d+""))"),3869.0)</f>
        <v>3869</v>
      </c>
    </row>
    <row r="3051">
      <c r="A3051" s="9" t="s">
        <v>13146</v>
      </c>
      <c r="B3051" s="9" t="s">
        <v>13147</v>
      </c>
      <c r="G3051" s="6" t="s">
        <v>13148</v>
      </c>
      <c r="O3051" s="10">
        <f>IFERROR(__xludf.DUMMYFUNCTION("VALUE(REGEXEXTRACT(A3051, ""\d+""))"),3870.0)</f>
        <v>3870</v>
      </c>
    </row>
    <row r="3052">
      <c r="A3052" s="9" t="s">
        <v>13149</v>
      </c>
      <c r="B3052" s="9" t="s">
        <v>13150</v>
      </c>
      <c r="G3052" s="6" t="s">
        <v>13151</v>
      </c>
      <c r="O3052" s="10">
        <f>IFERROR(__xludf.DUMMYFUNCTION("VALUE(REGEXEXTRACT(A3052, ""\d+""))"),3871.0)</f>
        <v>3871</v>
      </c>
    </row>
    <row r="3053">
      <c r="A3053" s="9" t="s">
        <v>13152</v>
      </c>
      <c r="B3053" s="9" t="s">
        <v>13153</v>
      </c>
      <c r="G3053" s="6" t="s">
        <v>13154</v>
      </c>
      <c r="O3053" s="10">
        <f>IFERROR(__xludf.DUMMYFUNCTION("VALUE(REGEXEXTRACT(A3053, ""\d+""))"),3872.0)</f>
        <v>3872</v>
      </c>
    </row>
    <row r="3054">
      <c r="A3054" s="9" t="s">
        <v>13155</v>
      </c>
      <c r="B3054" s="9" t="s">
        <v>13156</v>
      </c>
      <c r="G3054" s="6" t="s">
        <v>13157</v>
      </c>
      <c r="O3054" s="10">
        <f>IFERROR(__xludf.DUMMYFUNCTION("VALUE(REGEXEXTRACT(A3054, ""\d+""))"),3873.0)</f>
        <v>3873</v>
      </c>
    </row>
    <row r="3055">
      <c r="A3055" s="9" t="s">
        <v>13158</v>
      </c>
      <c r="B3055" s="9" t="s">
        <v>12014</v>
      </c>
      <c r="G3055" s="6" t="s">
        <v>12015</v>
      </c>
      <c r="O3055" s="10">
        <f>IFERROR(__xludf.DUMMYFUNCTION("VALUE(REGEXEXTRACT(A3055, ""\d+""))"),3874.0)</f>
        <v>3874</v>
      </c>
    </row>
    <row r="3056">
      <c r="A3056" s="9" t="s">
        <v>13159</v>
      </c>
      <c r="B3056" s="9" t="s">
        <v>13160</v>
      </c>
      <c r="G3056" s="6" t="s">
        <v>13161</v>
      </c>
      <c r="O3056" s="10">
        <f>IFERROR(__xludf.DUMMYFUNCTION("VALUE(REGEXEXTRACT(A3056, ""\d+""))"),3875.0)</f>
        <v>3875</v>
      </c>
    </row>
    <row r="3057">
      <c r="A3057" s="9" t="s">
        <v>13162</v>
      </c>
      <c r="B3057" s="9" t="s">
        <v>13163</v>
      </c>
      <c r="G3057" s="6" t="s">
        <v>13164</v>
      </c>
      <c r="O3057" s="10">
        <f>IFERROR(__xludf.DUMMYFUNCTION("VALUE(REGEXEXTRACT(A3057, ""\d+""))"),3876.0)</f>
        <v>3876</v>
      </c>
    </row>
    <row r="3058">
      <c r="A3058" s="9" t="s">
        <v>13165</v>
      </c>
      <c r="B3058" s="9" t="s">
        <v>13166</v>
      </c>
      <c r="G3058" s="6" t="s">
        <v>13167</v>
      </c>
      <c r="O3058" s="10">
        <f>IFERROR(__xludf.DUMMYFUNCTION("VALUE(REGEXEXTRACT(A3058, ""\d+""))"),3877.0)</f>
        <v>3877</v>
      </c>
    </row>
    <row r="3059">
      <c r="A3059" s="9" t="s">
        <v>13168</v>
      </c>
      <c r="B3059" s="9" t="s">
        <v>13169</v>
      </c>
      <c r="G3059" s="6" t="s">
        <v>13170</v>
      </c>
      <c r="O3059" s="10">
        <f>IFERROR(__xludf.DUMMYFUNCTION("VALUE(REGEXEXTRACT(A3059, ""\d+""))"),3878.0)</f>
        <v>3878</v>
      </c>
    </row>
    <row r="3060">
      <c r="A3060" s="9" t="s">
        <v>13171</v>
      </c>
      <c r="B3060" s="9" t="s">
        <v>13172</v>
      </c>
      <c r="G3060" s="6" t="s">
        <v>13173</v>
      </c>
      <c r="O3060" s="10">
        <f>IFERROR(__xludf.DUMMYFUNCTION("VALUE(REGEXEXTRACT(A3060, ""\d+""))"),3879.0)</f>
        <v>3879</v>
      </c>
    </row>
    <row r="3061">
      <c r="A3061" s="9" t="s">
        <v>13174</v>
      </c>
      <c r="B3061" s="9" t="s">
        <v>13175</v>
      </c>
      <c r="G3061" s="6" t="s">
        <v>13176</v>
      </c>
      <c r="O3061" s="10">
        <f>IFERROR(__xludf.DUMMYFUNCTION("VALUE(REGEXEXTRACT(A3061, ""\d+""))"),3880.0)</f>
        <v>3880</v>
      </c>
    </row>
    <row r="3062">
      <c r="A3062" s="9" t="s">
        <v>13177</v>
      </c>
      <c r="B3062" s="9" t="s">
        <v>13178</v>
      </c>
      <c r="G3062" s="6" t="s">
        <v>13179</v>
      </c>
      <c r="O3062" s="10">
        <f>IFERROR(__xludf.DUMMYFUNCTION("VALUE(REGEXEXTRACT(A3062, ""\d+""))"),3883.0)</f>
        <v>3883</v>
      </c>
    </row>
    <row r="3063">
      <c r="A3063" s="9" t="s">
        <v>13180</v>
      </c>
      <c r="B3063" s="9" t="s">
        <v>13181</v>
      </c>
      <c r="G3063" s="6" t="s">
        <v>13182</v>
      </c>
      <c r="O3063" s="10">
        <f>IFERROR(__xludf.DUMMYFUNCTION("VALUE(REGEXEXTRACT(A3063, ""\d+""))"),3884.0)</f>
        <v>3884</v>
      </c>
    </row>
    <row r="3064">
      <c r="A3064" s="9" t="s">
        <v>13183</v>
      </c>
      <c r="B3064" s="9" t="s">
        <v>13184</v>
      </c>
      <c r="G3064" s="6" t="s">
        <v>13185</v>
      </c>
      <c r="O3064" s="10">
        <f>IFERROR(__xludf.DUMMYFUNCTION("VALUE(REGEXEXTRACT(A3064, ""\d+""))"),3885.0)</f>
        <v>3885</v>
      </c>
    </row>
    <row r="3065">
      <c r="A3065" s="9" t="s">
        <v>13186</v>
      </c>
      <c r="B3065" s="9" t="s">
        <v>13187</v>
      </c>
      <c r="G3065" s="6" t="s">
        <v>13188</v>
      </c>
      <c r="O3065" s="10">
        <f>IFERROR(__xludf.DUMMYFUNCTION("VALUE(REGEXEXTRACT(A3065, ""\d+""))"),3886.0)</f>
        <v>3886</v>
      </c>
    </row>
    <row r="3066">
      <c r="A3066" s="9" t="s">
        <v>13189</v>
      </c>
      <c r="B3066" s="9" t="s">
        <v>13190</v>
      </c>
      <c r="G3066" s="6" t="s">
        <v>13191</v>
      </c>
      <c r="O3066" s="10">
        <f>IFERROR(__xludf.DUMMYFUNCTION("VALUE(REGEXEXTRACT(A3066, ""\d+""))"),3887.0)</f>
        <v>3887</v>
      </c>
    </row>
    <row r="3067">
      <c r="A3067" s="9" t="s">
        <v>13192</v>
      </c>
      <c r="B3067" s="9" t="s">
        <v>13193</v>
      </c>
      <c r="G3067" s="6" t="s">
        <v>13193</v>
      </c>
      <c r="O3067" s="10">
        <f>IFERROR(__xludf.DUMMYFUNCTION("VALUE(REGEXEXTRACT(A3067, ""\d+""))"),3888.0)</f>
        <v>3888</v>
      </c>
    </row>
    <row r="3068">
      <c r="A3068" s="9" t="s">
        <v>13194</v>
      </c>
      <c r="B3068" s="9" t="s">
        <v>13195</v>
      </c>
      <c r="G3068" s="6" t="s">
        <v>13196</v>
      </c>
      <c r="O3068" s="10">
        <f>IFERROR(__xludf.DUMMYFUNCTION("VALUE(REGEXEXTRACT(A3068, ""\d+""))"),3890.0)</f>
        <v>3890</v>
      </c>
    </row>
    <row r="3069">
      <c r="A3069" s="9" t="s">
        <v>13197</v>
      </c>
      <c r="B3069" s="9" t="s">
        <v>13198</v>
      </c>
      <c r="G3069" s="6" t="s">
        <v>13199</v>
      </c>
      <c r="O3069" s="10">
        <f>IFERROR(__xludf.DUMMYFUNCTION("VALUE(REGEXEXTRACT(A3069, ""\d+""))"),3891.0)</f>
        <v>3891</v>
      </c>
    </row>
    <row r="3070">
      <c r="A3070" s="9" t="s">
        <v>13200</v>
      </c>
      <c r="B3070" s="9" t="s">
        <v>13201</v>
      </c>
      <c r="G3070" s="6" t="s">
        <v>13202</v>
      </c>
      <c r="O3070" s="10">
        <f>IFERROR(__xludf.DUMMYFUNCTION("VALUE(REGEXEXTRACT(A3070, ""\d+""))"),3892.0)</f>
        <v>3892</v>
      </c>
    </row>
    <row r="3071">
      <c r="A3071" s="9" t="s">
        <v>13203</v>
      </c>
      <c r="B3071" s="9" t="s">
        <v>13204</v>
      </c>
      <c r="G3071" s="6" t="s">
        <v>13205</v>
      </c>
      <c r="O3071" s="10">
        <f>IFERROR(__xludf.DUMMYFUNCTION("VALUE(REGEXEXTRACT(A3071, ""\d+""))"),3894.0)</f>
        <v>3894</v>
      </c>
    </row>
    <row r="3072">
      <c r="A3072" s="9" t="s">
        <v>13206</v>
      </c>
      <c r="B3072" s="9" t="s">
        <v>13207</v>
      </c>
      <c r="G3072" s="6" t="s">
        <v>13208</v>
      </c>
      <c r="O3072" s="10">
        <f>IFERROR(__xludf.DUMMYFUNCTION("VALUE(REGEXEXTRACT(A3072, ""\d+""))"),3895.0)</f>
        <v>3895</v>
      </c>
    </row>
    <row r="3073">
      <c r="A3073" s="9" t="s">
        <v>13209</v>
      </c>
      <c r="B3073" s="9" t="s">
        <v>13210</v>
      </c>
      <c r="G3073" s="6" t="s">
        <v>13211</v>
      </c>
      <c r="O3073" s="10">
        <f>IFERROR(__xludf.DUMMYFUNCTION("VALUE(REGEXEXTRACT(A3073, ""\d+""))"),3896.0)</f>
        <v>3896</v>
      </c>
    </row>
    <row r="3074">
      <c r="A3074" s="9" t="s">
        <v>13212</v>
      </c>
      <c r="B3074" s="9" t="s">
        <v>13213</v>
      </c>
      <c r="G3074" s="6" t="s">
        <v>13214</v>
      </c>
      <c r="O3074" s="10">
        <f>IFERROR(__xludf.DUMMYFUNCTION("VALUE(REGEXEXTRACT(A3074, ""\d+""))"),3897.0)</f>
        <v>3897</v>
      </c>
    </row>
    <row r="3075">
      <c r="A3075" s="9" t="s">
        <v>13215</v>
      </c>
      <c r="B3075" s="9" t="s">
        <v>13216</v>
      </c>
      <c r="G3075" s="6" t="s">
        <v>13217</v>
      </c>
      <c r="O3075" s="10">
        <f>IFERROR(__xludf.DUMMYFUNCTION("VALUE(REGEXEXTRACT(A3075, ""\d+""))"),3898.0)</f>
        <v>3898</v>
      </c>
    </row>
    <row r="3076">
      <c r="A3076" s="9" t="s">
        <v>13218</v>
      </c>
      <c r="B3076" s="9" t="s">
        <v>13219</v>
      </c>
      <c r="G3076" s="6" t="s">
        <v>13220</v>
      </c>
      <c r="O3076" s="10">
        <f>IFERROR(__xludf.DUMMYFUNCTION("VALUE(REGEXEXTRACT(A3076, ""\d+""))"),3899.0)</f>
        <v>3899</v>
      </c>
    </row>
    <row r="3077">
      <c r="A3077" s="9" t="s">
        <v>13221</v>
      </c>
      <c r="B3077" s="9" t="s">
        <v>13222</v>
      </c>
      <c r="G3077" s="6" t="s">
        <v>13223</v>
      </c>
      <c r="O3077" s="10">
        <f>IFERROR(__xludf.DUMMYFUNCTION("VALUE(REGEXEXTRACT(A3077, ""\d+""))"),3900.0)</f>
        <v>3900</v>
      </c>
    </row>
    <row r="3078">
      <c r="A3078" s="9" t="s">
        <v>13224</v>
      </c>
      <c r="B3078" s="9" t="s">
        <v>13225</v>
      </c>
      <c r="G3078" s="6" t="s">
        <v>13226</v>
      </c>
      <c r="O3078" s="10">
        <f>IFERROR(__xludf.DUMMYFUNCTION("VALUE(REGEXEXTRACT(A3078, ""\d+""))"),3901.0)</f>
        <v>3901</v>
      </c>
    </row>
    <row r="3079">
      <c r="A3079" s="9" t="s">
        <v>13227</v>
      </c>
      <c r="B3079" s="9" t="s">
        <v>13228</v>
      </c>
      <c r="G3079" s="6" t="s">
        <v>13229</v>
      </c>
      <c r="O3079" s="10">
        <f>IFERROR(__xludf.DUMMYFUNCTION("VALUE(REGEXEXTRACT(A3079, ""\d+""))"),3902.0)</f>
        <v>3902</v>
      </c>
    </row>
    <row r="3080">
      <c r="A3080" s="9" t="s">
        <v>13230</v>
      </c>
      <c r="B3080" s="9" t="s">
        <v>13231</v>
      </c>
      <c r="G3080" s="6" t="s">
        <v>13232</v>
      </c>
      <c r="O3080" s="10">
        <f>IFERROR(__xludf.DUMMYFUNCTION("VALUE(REGEXEXTRACT(A3080, ""\d+""))"),3903.0)</f>
        <v>3903</v>
      </c>
    </row>
    <row r="3081">
      <c r="A3081" s="9" t="s">
        <v>13233</v>
      </c>
      <c r="B3081" s="9" t="s">
        <v>13234</v>
      </c>
      <c r="G3081" s="6" t="s">
        <v>13235</v>
      </c>
      <c r="O3081" s="10">
        <f>IFERROR(__xludf.DUMMYFUNCTION("VALUE(REGEXEXTRACT(A3081, ""\d+""))"),3904.0)</f>
        <v>3904</v>
      </c>
    </row>
    <row r="3082">
      <c r="A3082" s="9" t="s">
        <v>13236</v>
      </c>
      <c r="B3082" s="9" t="s">
        <v>13237</v>
      </c>
      <c r="G3082" s="6" t="s">
        <v>13238</v>
      </c>
      <c r="O3082" s="10">
        <f>IFERROR(__xludf.DUMMYFUNCTION("VALUE(REGEXEXTRACT(A3082, ""\d+""))"),3905.0)</f>
        <v>3905</v>
      </c>
    </row>
    <row r="3083">
      <c r="A3083" s="9" t="s">
        <v>13239</v>
      </c>
      <c r="B3083" s="9" t="s">
        <v>13240</v>
      </c>
      <c r="G3083" s="6" t="s">
        <v>13241</v>
      </c>
      <c r="O3083" s="10">
        <f>IFERROR(__xludf.DUMMYFUNCTION("VALUE(REGEXEXTRACT(A3083, ""\d+""))"),3906.0)</f>
        <v>3906</v>
      </c>
    </row>
    <row r="3084">
      <c r="A3084" s="9" t="s">
        <v>13242</v>
      </c>
      <c r="B3084" s="9" t="s">
        <v>13243</v>
      </c>
      <c r="G3084" s="6" t="s">
        <v>13244</v>
      </c>
      <c r="O3084" s="10">
        <f>IFERROR(__xludf.DUMMYFUNCTION("VALUE(REGEXEXTRACT(A3084, ""\d+""))"),3907.0)</f>
        <v>3907</v>
      </c>
    </row>
    <row r="3085">
      <c r="A3085" s="9" t="s">
        <v>13245</v>
      </c>
      <c r="B3085" s="9" t="s">
        <v>13246</v>
      </c>
      <c r="G3085" s="6" t="s">
        <v>13247</v>
      </c>
      <c r="O3085" s="10">
        <f>IFERROR(__xludf.DUMMYFUNCTION("VALUE(REGEXEXTRACT(A3085, ""\d+""))"),3908.0)</f>
        <v>3908</v>
      </c>
    </row>
    <row r="3086">
      <c r="A3086" s="9" t="s">
        <v>13248</v>
      </c>
      <c r="B3086" s="9" t="s">
        <v>13249</v>
      </c>
      <c r="G3086" s="6" t="s">
        <v>13250</v>
      </c>
      <c r="O3086" s="10">
        <f>IFERROR(__xludf.DUMMYFUNCTION("VALUE(REGEXEXTRACT(A3086, ""\d+""))"),3909.0)</f>
        <v>3909</v>
      </c>
    </row>
    <row r="3087">
      <c r="A3087" s="9" t="s">
        <v>13251</v>
      </c>
      <c r="B3087" s="9" t="s">
        <v>13252</v>
      </c>
      <c r="G3087" s="6" t="s">
        <v>13253</v>
      </c>
      <c r="O3087" s="10">
        <f>IFERROR(__xludf.DUMMYFUNCTION("VALUE(REGEXEXTRACT(A3087, ""\d+""))"),3910.0)</f>
        <v>3910</v>
      </c>
    </row>
    <row r="3088">
      <c r="A3088" s="9" t="s">
        <v>13254</v>
      </c>
      <c r="B3088" s="9" t="s">
        <v>13255</v>
      </c>
      <c r="G3088" s="6" t="s">
        <v>13256</v>
      </c>
      <c r="O3088" s="10">
        <f>IFERROR(__xludf.DUMMYFUNCTION("VALUE(REGEXEXTRACT(A3088, ""\d+""))"),3911.0)</f>
        <v>3911</v>
      </c>
    </row>
    <row r="3089">
      <c r="A3089" s="9" t="s">
        <v>13257</v>
      </c>
      <c r="B3089" s="9" t="s">
        <v>13258</v>
      </c>
      <c r="G3089" s="6" t="s">
        <v>13259</v>
      </c>
      <c r="O3089" s="10">
        <f>IFERROR(__xludf.DUMMYFUNCTION("VALUE(REGEXEXTRACT(A3089, ""\d+""))"),3912.0)</f>
        <v>3912</v>
      </c>
    </row>
    <row r="3090">
      <c r="A3090" s="9" t="s">
        <v>13260</v>
      </c>
      <c r="B3090" s="9" t="s">
        <v>13261</v>
      </c>
      <c r="G3090" s="6" t="s">
        <v>13262</v>
      </c>
      <c r="O3090" s="10">
        <f>IFERROR(__xludf.DUMMYFUNCTION("VALUE(REGEXEXTRACT(A3090, ""\d+""))"),3913.0)</f>
        <v>3913</v>
      </c>
    </row>
    <row r="3091">
      <c r="A3091" s="9" t="s">
        <v>13263</v>
      </c>
      <c r="B3091" s="9" t="s">
        <v>13264</v>
      </c>
      <c r="G3091" s="6" t="s">
        <v>13265</v>
      </c>
      <c r="O3091" s="10">
        <f>IFERROR(__xludf.DUMMYFUNCTION("VALUE(REGEXEXTRACT(A3091, ""\d+""))"),3914.0)</f>
        <v>3914</v>
      </c>
    </row>
    <row r="3092">
      <c r="A3092" s="9" t="s">
        <v>13266</v>
      </c>
      <c r="B3092" s="9" t="s">
        <v>13267</v>
      </c>
      <c r="G3092" s="6" t="s">
        <v>13268</v>
      </c>
      <c r="O3092" s="10">
        <f>IFERROR(__xludf.DUMMYFUNCTION("VALUE(REGEXEXTRACT(A3092, ""\d+""))"),3915.0)</f>
        <v>3915</v>
      </c>
    </row>
    <row r="3093">
      <c r="A3093" s="9" t="s">
        <v>13269</v>
      </c>
      <c r="B3093" s="9" t="s">
        <v>13270</v>
      </c>
      <c r="G3093" s="6" t="s">
        <v>13253</v>
      </c>
      <c r="O3093" s="10">
        <f>IFERROR(__xludf.DUMMYFUNCTION("VALUE(REGEXEXTRACT(A3093, ""\d+""))"),3916.0)</f>
        <v>3916</v>
      </c>
    </row>
    <row r="3094">
      <c r="A3094" s="9" t="s">
        <v>13271</v>
      </c>
      <c r="B3094" s="9" t="s">
        <v>13272</v>
      </c>
      <c r="G3094" s="6" t="s">
        <v>13273</v>
      </c>
      <c r="O3094" s="10">
        <f>IFERROR(__xludf.DUMMYFUNCTION("VALUE(REGEXEXTRACT(A3094, ""\d+""))"),3917.0)</f>
        <v>3917</v>
      </c>
    </row>
    <row r="3095">
      <c r="A3095" s="9" t="s">
        <v>13274</v>
      </c>
      <c r="B3095" s="9" t="s">
        <v>13275</v>
      </c>
      <c r="G3095" s="6" t="s">
        <v>13276</v>
      </c>
      <c r="O3095" s="10">
        <f>IFERROR(__xludf.DUMMYFUNCTION("VALUE(REGEXEXTRACT(A3095, ""\d+""))"),3918.0)</f>
        <v>3918</v>
      </c>
    </row>
    <row r="3096">
      <c r="A3096" s="9" t="s">
        <v>13277</v>
      </c>
      <c r="B3096" s="9" t="s">
        <v>13278</v>
      </c>
      <c r="G3096" s="6" t="s">
        <v>13279</v>
      </c>
      <c r="O3096" s="10">
        <f>IFERROR(__xludf.DUMMYFUNCTION("VALUE(REGEXEXTRACT(A3096, ""\d+""))"),3919.0)</f>
        <v>3919</v>
      </c>
    </row>
    <row r="3097">
      <c r="A3097" s="9" t="s">
        <v>13280</v>
      </c>
      <c r="B3097" s="9" t="s">
        <v>13281</v>
      </c>
      <c r="G3097" s="6" t="s">
        <v>13282</v>
      </c>
      <c r="O3097" s="10">
        <f>IFERROR(__xludf.DUMMYFUNCTION("VALUE(REGEXEXTRACT(A3097, ""\d+""))"),3920.0)</f>
        <v>3920</v>
      </c>
    </row>
    <row r="3098">
      <c r="A3098" s="9" t="s">
        <v>13283</v>
      </c>
      <c r="B3098" s="9" t="s">
        <v>13284</v>
      </c>
      <c r="G3098" s="6" t="s">
        <v>13285</v>
      </c>
      <c r="O3098" s="10">
        <f>IFERROR(__xludf.DUMMYFUNCTION("VALUE(REGEXEXTRACT(A3098, ""\d+""))"),3921.0)</f>
        <v>3921</v>
      </c>
    </row>
    <row r="3099">
      <c r="A3099" s="9" t="s">
        <v>13286</v>
      </c>
      <c r="B3099" s="9" t="s">
        <v>13287</v>
      </c>
      <c r="G3099" s="6" t="s">
        <v>13288</v>
      </c>
      <c r="O3099" s="10">
        <f>IFERROR(__xludf.DUMMYFUNCTION("VALUE(REGEXEXTRACT(A3099, ""\d+""))"),3922.0)</f>
        <v>3922</v>
      </c>
    </row>
    <row r="3100">
      <c r="A3100" s="9" t="s">
        <v>13289</v>
      </c>
      <c r="B3100" s="9" t="s">
        <v>13290</v>
      </c>
      <c r="G3100" s="6" t="s">
        <v>13291</v>
      </c>
      <c r="O3100" s="10">
        <f>IFERROR(__xludf.DUMMYFUNCTION("VALUE(REGEXEXTRACT(A3100, ""\d+""))"),3923.0)</f>
        <v>3923</v>
      </c>
    </row>
    <row r="3101">
      <c r="A3101" s="9" t="s">
        <v>13292</v>
      </c>
      <c r="B3101" s="9" t="s">
        <v>13293</v>
      </c>
      <c r="G3101" s="6" t="s">
        <v>13294</v>
      </c>
      <c r="O3101" s="10">
        <f>IFERROR(__xludf.DUMMYFUNCTION("VALUE(REGEXEXTRACT(A3101, ""\d+""))"),3924.0)</f>
        <v>3924</v>
      </c>
    </row>
    <row r="3102">
      <c r="A3102" s="9" t="s">
        <v>13295</v>
      </c>
      <c r="B3102" s="9" t="s">
        <v>13296</v>
      </c>
      <c r="G3102" s="6" t="s">
        <v>13297</v>
      </c>
      <c r="O3102" s="10">
        <f>IFERROR(__xludf.DUMMYFUNCTION("VALUE(REGEXEXTRACT(A3102, ""\d+""))"),3925.0)</f>
        <v>3925</v>
      </c>
    </row>
    <row r="3103">
      <c r="A3103" s="9" t="s">
        <v>13298</v>
      </c>
      <c r="B3103" s="9" t="s">
        <v>13299</v>
      </c>
      <c r="G3103" s="6" t="s">
        <v>13300</v>
      </c>
      <c r="O3103" s="10">
        <f>IFERROR(__xludf.DUMMYFUNCTION("VALUE(REGEXEXTRACT(A3103, ""\d+""))"),3926.0)</f>
        <v>3926</v>
      </c>
    </row>
    <row r="3104">
      <c r="A3104" s="9" t="s">
        <v>13301</v>
      </c>
      <c r="B3104" s="9" t="s">
        <v>13302</v>
      </c>
      <c r="G3104" s="6" t="s">
        <v>13303</v>
      </c>
      <c r="O3104" s="10">
        <f>IFERROR(__xludf.DUMMYFUNCTION("VALUE(REGEXEXTRACT(A3104, ""\d+""))"),3927.0)</f>
        <v>3927</v>
      </c>
    </row>
    <row r="3105">
      <c r="A3105" s="9" t="s">
        <v>13304</v>
      </c>
      <c r="B3105" s="9" t="s">
        <v>13305</v>
      </c>
      <c r="G3105" s="6" t="s">
        <v>13306</v>
      </c>
      <c r="O3105" s="10">
        <f>IFERROR(__xludf.DUMMYFUNCTION("VALUE(REGEXEXTRACT(A3105, ""\d+""))"),3928.0)</f>
        <v>3928</v>
      </c>
    </row>
    <row r="3106">
      <c r="A3106" s="9" t="s">
        <v>13307</v>
      </c>
      <c r="B3106" s="9" t="s">
        <v>13308</v>
      </c>
      <c r="G3106" s="6" t="s">
        <v>13309</v>
      </c>
      <c r="O3106" s="10">
        <f>IFERROR(__xludf.DUMMYFUNCTION("VALUE(REGEXEXTRACT(A3106, ""\d+""))"),3929.0)</f>
        <v>3929</v>
      </c>
    </row>
    <row r="3107">
      <c r="A3107" s="9" t="s">
        <v>13310</v>
      </c>
      <c r="B3107" s="9" t="s">
        <v>13311</v>
      </c>
      <c r="G3107" s="6" t="s">
        <v>13312</v>
      </c>
      <c r="O3107" s="10">
        <f>IFERROR(__xludf.DUMMYFUNCTION("VALUE(REGEXEXTRACT(A3107, ""\d+""))"),3930.0)</f>
        <v>3930</v>
      </c>
    </row>
    <row r="3108">
      <c r="A3108" s="9" t="s">
        <v>13313</v>
      </c>
      <c r="B3108" s="9" t="s">
        <v>13314</v>
      </c>
      <c r="G3108" s="6" t="s">
        <v>13315</v>
      </c>
      <c r="O3108" s="10">
        <f>IFERROR(__xludf.DUMMYFUNCTION("VALUE(REGEXEXTRACT(A3108, ""\d+""))"),3931.0)</f>
        <v>3931</v>
      </c>
    </row>
    <row r="3109">
      <c r="A3109" s="9" t="s">
        <v>13316</v>
      </c>
      <c r="B3109" s="9" t="s">
        <v>13317</v>
      </c>
      <c r="G3109" s="6" t="s">
        <v>13318</v>
      </c>
      <c r="O3109" s="10">
        <f>IFERROR(__xludf.DUMMYFUNCTION("VALUE(REGEXEXTRACT(A3109, ""\d+""))"),3932.0)</f>
        <v>3932</v>
      </c>
    </row>
    <row r="3110">
      <c r="A3110" s="9" t="s">
        <v>13319</v>
      </c>
      <c r="B3110" s="9" t="s">
        <v>13320</v>
      </c>
      <c r="G3110" s="6" t="s">
        <v>13321</v>
      </c>
      <c r="O3110" s="10">
        <f>IFERROR(__xludf.DUMMYFUNCTION("VALUE(REGEXEXTRACT(A3110, ""\d+""))"),3933.0)</f>
        <v>3933</v>
      </c>
    </row>
    <row r="3111">
      <c r="A3111" s="9" t="s">
        <v>13322</v>
      </c>
      <c r="B3111" s="9" t="s">
        <v>13323</v>
      </c>
      <c r="G3111" s="6" t="s">
        <v>13324</v>
      </c>
      <c r="O3111" s="10">
        <f>IFERROR(__xludf.DUMMYFUNCTION("VALUE(REGEXEXTRACT(A3111, ""\d+""))"),3934.0)</f>
        <v>3934</v>
      </c>
    </row>
    <row r="3112">
      <c r="A3112" s="9" t="s">
        <v>13325</v>
      </c>
      <c r="B3112" s="9" t="s">
        <v>13326</v>
      </c>
      <c r="G3112" s="6" t="s">
        <v>13327</v>
      </c>
      <c r="O3112" s="10">
        <f>IFERROR(__xludf.DUMMYFUNCTION("VALUE(REGEXEXTRACT(A3112, ""\d+""))"),3935.0)</f>
        <v>3935</v>
      </c>
    </row>
    <row r="3113">
      <c r="A3113" s="9" t="s">
        <v>13328</v>
      </c>
      <c r="B3113" s="9" t="s">
        <v>13329</v>
      </c>
      <c r="G3113" s="6" t="s">
        <v>13330</v>
      </c>
      <c r="O3113" s="10">
        <f>IFERROR(__xludf.DUMMYFUNCTION("VALUE(REGEXEXTRACT(A3113, ""\d+""))"),3936.0)</f>
        <v>3936</v>
      </c>
    </row>
    <row r="3114">
      <c r="A3114" s="9" t="s">
        <v>13331</v>
      </c>
      <c r="B3114" s="9" t="s">
        <v>13332</v>
      </c>
      <c r="G3114" s="6" t="s">
        <v>13333</v>
      </c>
      <c r="O3114" s="10">
        <f>IFERROR(__xludf.DUMMYFUNCTION("VALUE(REGEXEXTRACT(A3114, ""\d+""))"),3937.0)</f>
        <v>3937</v>
      </c>
    </row>
    <row r="3115">
      <c r="A3115" s="9" t="s">
        <v>13334</v>
      </c>
      <c r="B3115" s="9" t="s">
        <v>13335</v>
      </c>
      <c r="G3115" s="6" t="s">
        <v>13335</v>
      </c>
      <c r="O3115" s="10">
        <f>IFERROR(__xludf.DUMMYFUNCTION("VALUE(REGEXEXTRACT(A3115, ""\d+""))"),3938.0)</f>
        <v>3938</v>
      </c>
    </row>
    <row r="3116">
      <c r="A3116" s="9" t="s">
        <v>13336</v>
      </c>
      <c r="B3116" s="9" t="s">
        <v>13337</v>
      </c>
      <c r="G3116" s="6" t="s">
        <v>13338</v>
      </c>
      <c r="O3116" s="10">
        <f>IFERROR(__xludf.DUMMYFUNCTION("VALUE(REGEXEXTRACT(A3116, ""\d+""))"),3939.0)</f>
        <v>3939</v>
      </c>
    </row>
    <row r="3117">
      <c r="A3117" s="9" t="s">
        <v>13339</v>
      </c>
      <c r="B3117" s="9" t="s">
        <v>13340</v>
      </c>
      <c r="G3117" s="6" t="s">
        <v>13341</v>
      </c>
      <c r="O3117" s="10">
        <f>IFERROR(__xludf.DUMMYFUNCTION("VALUE(REGEXEXTRACT(A3117, ""\d+""))"),3940.0)</f>
        <v>3940</v>
      </c>
    </row>
    <row r="3118">
      <c r="A3118" s="9" t="s">
        <v>13342</v>
      </c>
      <c r="B3118" s="9" t="s">
        <v>13343</v>
      </c>
      <c r="G3118" s="6" t="s">
        <v>13344</v>
      </c>
      <c r="O3118" s="10">
        <f>IFERROR(__xludf.DUMMYFUNCTION("VALUE(REGEXEXTRACT(A3118, ""\d+""))"),3941.0)</f>
        <v>3941</v>
      </c>
    </row>
    <row r="3119">
      <c r="A3119" s="9" t="s">
        <v>13345</v>
      </c>
      <c r="B3119" s="9" t="s">
        <v>13346</v>
      </c>
      <c r="G3119" s="6" t="s">
        <v>13347</v>
      </c>
      <c r="O3119" s="10">
        <f>IFERROR(__xludf.DUMMYFUNCTION("VALUE(REGEXEXTRACT(A3119, ""\d+""))"),3942.0)</f>
        <v>3942</v>
      </c>
    </row>
    <row r="3120">
      <c r="A3120" s="9" t="s">
        <v>13348</v>
      </c>
      <c r="B3120" s="9" t="s">
        <v>13349</v>
      </c>
      <c r="G3120" s="6" t="s">
        <v>13350</v>
      </c>
      <c r="O3120" s="10">
        <f>IFERROR(__xludf.DUMMYFUNCTION("VALUE(REGEXEXTRACT(A3120, ""\d+""))"),3943.0)</f>
        <v>3943</v>
      </c>
    </row>
    <row r="3121">
      <c r="A3121" s="9" t="s">
        <v>13351</v>
      </c>
      <c r="B3121" s="9" t="s">
        <v>13352</v>
      </c>
      <c r="G3121" s="6" t="s">
        <v>13353</v>
      </c>
      <c r="O3121" s="10">
        <f>IFERROR(__xludf.DUMMYFUNCTION("VALUE(REGEXEXTRACT(A3121, ""\d+""))"),3944.0)</f>
        <v>3944</v>
      </c>
    </row>
    <row r="3122">
      <c r="A3122" s="9" t="s">
        <v>13354</v>
      </c>
      <c r="B3122" s="9" t="s">
        <v>13355</v>
      </c>
      <c r="G3122" s="6" t="s">
        <v>13356</v>
      </c>
      <c r="O3122" s="10">
        <f>IFERROR(__xludf.DUMMYFUNCTION("VALUE(REGEXEXTRACT(A3122, ""\d+""))"),3945.0)</f>
        <v>3945</v>
      </c>
    </row>
    <row r="3123">
      <c r="A3123" s="9" t="s">
        <v>13357</v>
      </c>
      <c r="B3123" s="9" t="s">
        <v>13358</v>
      </c>
      <c r="G3123" s="6" t="s">
        <v>13359</v>
      </c>
      <c r="O3123" s="10">
        <f>IFERROR(__xludf.DUMMYFUNCTION("VALUE(REGEXEXTRACT(A3123, ""\d+""))"),3946.0)</f>
        <v>3946</v>
      </c>
    </row>
    <row r="3124">
      <c r="A3124" s="9" t="s">
        <v>13360</v>
      </c>
      <c r="B3124" s="9" t="s">
        <v>13361</v>
      </c>
      <c r="G3124" s="6" t="s">
        <v>13362</v>
      </c>
      <c r="O3124" s="10">
        <f>IFERROR(__xludf.DUMMYFUNCTION("VALUE(REGEXEXTRACT(A3124, ""\d+""))"),3948.0)</f>
        <v>3948</v>
      </c>
    </row>
    <row r="3125">
      <c r="A3125" s="9" t="s">
        <v>13363</v>
      </c>
      <c r="B3125" s="9" t="s">
        <v>13364</v>
      </c>
      <c r="G3125" s="6" t="s">
        <v>13365</v>
      </c>
      <c r="O3125" s="10">
        <f>IFERROR(__xludf.DUMMYFUNCTION("VALUE(REGEXEXTRACT(A3125, ""\d+""))"),3952.0)</f>
        <v>3952</v>
      </c>
    </row>
    <row r="3126">
      <c r="A3126" s="9" t="s">
        <v>13366</v>
      </c>
      <c r="B3126" s="9" t="s">
        <v>13367</v>
      </c>
      <c r="G3126" s="6" t="s">
        <v>13368</v>
      </c>
      <c r="O3126" s="10">
        <f>IFERROR(__xludf.DUMMYFUNCTION("VALUE(REGEXEXTRACT(A3126, ""\d+""))"),3953.0)</f>
        <v>3953</v>
      </c>
    </row>
    <row r="3127">
      <c r="A3127" s="9" t="s">
        <v>13369</v>
      </c>
      <c r="B3127" s="9" t="s">
        <v>13370</v>
      </c>
      <c r="G3127" s="6" t="s">
        <v>13371</v>
      </c>
      <c r="O3127" s="10">
        <f>IFERROR(__xludf.DUMMYFUNCTION("VALUE(REGEXEXTRACT(A3127, ""\d+""))"),3954.0)</f>
        <v>3954</v>
      </c>
    </row>
    <row r="3128">
      <c r="A3128" s="9" t="s">
        <v>13372</v>
      </c>
      <c r="B3128" s="9" t="s">
        <v>13373</v>
      </c>
      <c r="G3128" s="6" t="s">
        <v>13374</v>
      </c>
      <c r="O3128" s="10">
        <f>IFERROR(__xludf.DUMMYFUNCTION("VALUE(REGEXEXTRACT(A3128, ""\d+""))"),3956.0)</f>
        <v>3956</v>
      </c>
    </row>
    <row r="3129">
      <c r="A3129" s="9" t="s">
        <v>13375</v>
      </c>
      <c r="B3129" s="9" t="s">
        <v>13376</v>
      </c>
      <c r="G3129" s="6" t="s">
        <v>13377</v>
      </c>
      <c r="O3129" s="10">
        <f>IFERROR(__xludf.DUMMYFUNCTION("VALUE(REGEXEXTRACT(A3129, ""\d+""))"),3957.0)</f>
        <v>3957</v>
      </c>
    </row>
    <row r="3130">
      <c r="A3130" s="9" t="s">
        <v>13378</v>
      </c>
      <c r="B3130" s="9" t="s">
        <v>13379</v>
      </c>
      <c r="G3130" s="6" t="s">
        <v>13380</v>
      </c>
      <c r="O3130" s="10">
        <f>IFERROR(__xludf.DUMMYFUNCTION("VALUE(REGEXEXTRACT(A3130, ""\d+""))"),3958.0)</f>
        <v>3958</v>
      </c>
    </row>
    <row r="3131">
      <c r="A3131" s="9" t="s">
        <v>13381</v>
      </c>
      <c r="B3131" s="9" t="s">
        <v>13382</v>
      </c>
      <c r="G3131" s="6" t="s">
        <v>13383</v>
      </c>
      <c r="O3131" s="10">
        <f>IFERROR(__xludf.DUMMYFUNCTION("VALUE(REGEXEXTRACT(A3131, ""\d+""))"),3959.0)</f>
        <v>3959</v>
      </c>
    </row>
    <row r="3132">
      <c r="A3132" s="9" t="s">
        <v>13384</v>
      </c>
      <c r="B3132" s="9" t="s">
        <v>13385</v>
      </c>
      <c r="G3132" s="6" t="s">
        <v>13386</v>
      </c>
      <c r="O3132" s="10">
        <f>IFERROR(__xludf.DUMMYFUNCTION("VALUE(REGEXEXTRACT(A3132, ""\d+""))"),3960.0)</f>
        <v>3960</v>
      </c>
    </row>
    <row r="3133">
      <c r="A3133" s="9" t="s">
        <v>13387</v>
      </c>
      <c r="B3133" s="9" t="s">
        <v>13388</v>
      </c>
      <c r="G3133" s="6" t="s">
        <v>13389</v>
      </c>
      <c r="O3133" s="10">
        <f>IFERROR(__xludf.DUMMYFUNCTION("VALUE(REGEXEXTRACT(A3133, ""\d+""))"),3961.0)</f>
        <v>3961</v>
      </c>
    </row>
    <row r="3134">
      <c r="A3134" s="9" t="s">
        <v>13390</v>
      </c>
      <c r="B3134" s="9" t="s">
        <v>13391</v>
      </c>
      <c r="G3134" s="6" t="s">
        <v>13392</v>
      </c>
      <c r="O3134" s="10">
        <f>IFERROR(__xludf.DUMMYFUNCTION("VALUE(REGEXEXTRACT(A3134, ""\d+""))"),3962.0)</f>
        <v>3962</v>
      </c>
    </row>
    <row r="3135">
      <c r="A3135" s="9" t="s">
        <v>13393</v>
      </c>
      <c r="B3135" s="9" t="s">
        <v>13394</v>
      </c>
      <c r="G3135" s="6" t="s">
        <v>13394</v>
      </c>
      <c r="O3135" s="10">
        <f>IFERROR(__xludf.DUMMYFUNCTION("VALUE(REGEXEXTRACT(A3135, ""\d+""))"),3963.0)</f>
        <v>3963</v>
      </c>
    </row>
    <row r="3136">
      <c r="A3136" s="9" t="s">
        <v>13395</v>
      </c>
      <c r="B3136" s="9" t="s">
        <v>13396</v>
      </c>
      <c r="G3136" s="6" t="s">
        <v>13397</v>
      </c>
      <c r="O3136" s="10">
        <f>IFERROR(__xludf.DUMMYFUNCTION("VALUE(REGEXEXTRACT(A3136, ""\d+""))"),3964.0)</f>
        <v>3964</v>
      </c>
    </row>
    <row r="3137">
      <c r="A3137" s="9" t="s">
        <v>13398</v>
      </c>
      <c r="B3137" s="9" t="s">
        <v>13399</v>
      </c>
      <c r="G3137" s="6" t="s">
        <v>13400</v>
      </c>
      <c r="O3137" s="10">
        <f>IFERROR(__xludf.DUMMYFUNCTION("VALUE(REGEXEXTRACT(A3137, ""\d+""))"),3965.0)</f>
        <v>3965</v>
      </c>
    </row>
    <row r="3138">
      <c r="A3138" s="9" t="s">
        <v>13401</v>
      </c>
      <c r="B3138" s="9" t="s">
        <v>13402</v>
      </c>
      <c r="G3138" s="6" t="s">
        <v>13403</v>
      </c>
      <c r="O3138" s="10">
        <f>IFERROR(__xludf.DUMMYFUNCTION("VALUE(REGEXEXTRACT(A3138, ""\d+""))"),3966.0)</f>
        <v>3966</v>
      </c>
    </row>
    <row r="3139">
      <c r="A3139" s="9" t="s">
        <v>13404</v>
      </c>
      <c r="B3139" s="9" t="s">
        <v>13405</v>
      </c>
      <c r="G3139" s="6" t="s">
        <v>13406</v>
      </c>
      <c r="O3139" s="10">
        <f>IFERROR(__xludf.DUMMYFUNCTION("VALUE(REGEXEXTRACT(A3139, ""\d+""))"),3967.0)</f>
        <v>3967</v>
      </c>
    </row>
    <row r="3140">
      <c r="A3140" s="9" t="s">
        <v>13407</v>
      </c>
      <c r="B3140" s="9" t="s">
        <v>13408</v>
      </c>
      <c r="G3140" s="6" t="s">
        <v>13409</v>
      </c>
      <c r="O3140" s="10">
        <f>IFERROR(__xludf.DUMMYFUNCTION("VALUE(REGEXEXTRACT(A3140, ""\d+""))"),3968.0)</f>
        <v>3968</v>
      </c>
    </row>
    <row r="3141">
      <c r="A3141" s="9" t="s">
        <v>13410</v>
      </c>
      <c r="B3141" s="9" t="s">
        <v>13411</v>
      </c>
      <c r="G3141" s="6" t="s">
        <v>13412</v>
      </c>
      <c r="O3141" s="10">
        <f>IFERROR(__xludf.DUMMYFUNCTION("VALUE(REGEXEXTRACT(A3141, ""\d+""))"),3969.0)</f>
        <v>3969</v>
      </c>
    </row>
    <row r="3142">
      <c r="A3142" s="9" t="s">
        <v>13413</v>
      </c>
      <c r="B3142" s="9" t="s">
        <v>13414</v>
      </c>
      <c r="G3142" s="6" t="s">
        <v>13415</v>
      </c>
      <c r="O3142" s="10">
        <f>IFERROR(__xludf.DUMMYFUNCTION("VALUE(REGEXEXTRACT(A3142, ""\d+""))"),3970.0)</f>
        <v>3970</v>
      </c>
    </row>
    <row r="3143">
      <c r="A3143" s="9" t="s">
        <v>13416</v>
      </c>
      <c r="B3143" s="9" t="s">
        <v>13417</v>
      </c>
      <c r="G3143" s="6" t="s">
        <v>13418</v>
      </c>
      <c r="O3143" s="10">
        <f>IFERROR(__xludf.DUMMYFUNCTION("VALUE(REGEXEXTRACT(A3143, ""\d+""))"),3971.0)</f>
        <v>3971</v>
      </c>
    </row>
    <row r="3144">
      <c r="A3144" s="9" t="s">
        <v>13419</v>
      </c>
      <c r="B3144" s="9" t="s">
        <v>13420</v>
      </c>
      <c r="G3144" s="6" t="s">
        <v>13421</v>
      </c>
      <c r="O3144" s="10">
        <f>IFERROR(__xludf.DUMMYFUNCTION("VALUE(REGEXEXTRACT(A3144, ""\d+""))"),3972.0)</f>
        <v>3972</v>
      </c>
    </row>
    <row r="3145">
      <c r="A3145" s="9" t="s">
        <v>13422</v>
      </c>
      <c r="B3145" s="9" t="s">
        <v>13423</v>
      </c>
      <c r="G3145" s="6" t="s">
        <v>13424</v>
      </c>
      <c r="O3145" s="10">
        <f>IFERROR(__xludf.DUMMYFUNCTION("VALUE(REGEXEXTRACT(A3145, ""\d+""))"),3973.0)</f>
        <v>3973</v>
      </c>
    </row>
    <row r="3146">
      <c r="A3146" s="9" t="s">
        <v>13425</v>
      </c>
      <c r="B3146" s="9" t="s">
        <v>13426</v>
      </c>
      <c r="G3146" s="6" t="s">
        <v>13427</v>
      </c>
      <c r="O3146" s="10">
        <f>IFERROR(__xludf.DUMMYFUNCTION("VALUE(REGEXEXTRACT(A3146, ""\d+""))"),3974.0)</f>
        <v>3974</v>
      </c>
    </row>
    <row r="3147">
      <c r="A3147" s="9" t="s">
        <v>13428</v>
      </c>
      <c r="B3147" s="9" t="s">
        <v>13429</v>
      </c>
      <c r="G3147" s="6" t="s">
        <v>13430</v>
      </c>
      <c r="O3147" s="10">
        <f>IFERROR(__xludf.DUMMYFUNCTION("VALUE(REGEXEXTRACT(A3147, ""\d+""))"),3975.0)</f>
        <v>3975</v>
      </c>
    </row>
    <row r="3148">
      <c r="A3148" s="9" t="s">
        <v>13431</v>
      </c>
      <c r="B3148" s="9" t="s">
        <v>13432</v>
      </c>
      <c r="G3148" s="6" t="s">
        <v>13433</v>
      </c>
      <c r="O3148" s="10">
        <f>IFERROR(__xludf.DUMMYFUNCTION("VALUE(REGEXEXTRACT(A3148, ""\d+""))"),3976.0)</f>
        <v>3976</v>
      </c>
    </row>
    <row r="3149">
      <c r="A3149" s="9" t="s">
        <v>13434</v>
      </c>
      <c r="B3149" s="9" t="s">
        <v>13435</v>
      </c>
      <c r="G3149" s="6" t="s">
        <v>13436</v>
      </c>
      <c r="O3149" s="10">
        <f>IFERROR(__xludf.DUMMYFUNCTION("VALUE(REGEXEXTRACT(A3149, ""\d+""))"),3977.0)</f>
        <v>3977</v>
      </c>
    </row>
    <row r="3150">
      <c r="A3150" s="9" t="s">
        <v>13437</v>
      </c>
      <c r="B3150" s="9" t="s">
        <v>13438</v>
      </c>
      <c r="G3150" s="6" t="s">
        <v>13439</v>
      </c>
      <c r="O3150" s="10">
        <f>IFERROR(__xludf.DUMMYFUNCTION("VALUE(REGEXEXTRACT(A3150, ""\d+""))"),3978.0)</f>
        <v>3978</v>
      </c>
    </row>
    <row r="3151">
      <c r="A3151" s="9" t="s">
        <v>13440</v>
      </c>
      <c r="B3151" s="9" t="s">
        <v>13441</v>
      </c>
      <c r="G3151" s="6" t="s">
        <v>13442</v>
      </c>
      <c r="O3151" s="10">
        <f>IFERROR(__xludf.DUMMYFUNCTION("VALUE(REGEXEXTRACT(A3151, ""\d+""))"),3979.0)</f>
        <v>3979</v>
      </c>
    </row>
    <row r="3152">
      <c r="A3152" s="9" t="s">
        <v>13443</v>
      </c>
      <c r="B3152" s="9" t="s">
        <v>13444</v>
      </c>
      <c r="G3152" s="6" t="s">
        <v>13445</v>
      </c>
      <c r="O3152" s="10">
        <f>IFERROR(__xludf.DUMMYFUNCTION("VALUE(REGEXEXTRACT(A3152, ""\d+""))"),3980.0)</f>
        <v>3980</v>
      </c>
    </row>
    <row r="3153">
      <c r="A3153" s="9" t="s">
        <v>13446</v>
      </c>
      <c r="B3153" s="9" t="s">
        <v>13447</v>
      </c>
      <c r="G3153" s="6" t="s">
        <v>13448</v>
      </c>
      <c r="O3153" s="10">
        <f>IFERROR(__xludf.DUMMYFUNCTION("VALUE(REGEXEXTRACT(A3153, ""\d+""))"),3981.0)</f>
        <v>3981</v>
      </c>
    </row>
    <row r="3154">
      <c r="A3154" s="9" t="s">
        <v>13449</v>
      </c>
      <c r="B3154" s="9" t="s">
        <v>13450</v>
      </c>
      <c r="G3154" s="6" t="s">
        <v>13451</v>
      </c>
      <c r="O3154" s="10">
        <f>IFERROR(__xludf.DUMMYFUNCTION("VALUE(REGEXEXTRACT(A3154, ""\d+""))"),3982.0)</f>
        <v>3982</v>
      </c>
    </row>
    <row r="3155">
      <c r="A3155" s="9" t="s">
        <v>13452</v>
      </c>
      <c r="B3155" s="9" t="s">
        <v>13453</v>
      </c>
      <c r="G3155" s="6" t="s">
        <v>13454</v>
      </c>
      <c r="O3155" s="10">
        <f>IFERROR(__xludf.DUMMYFUNCTION("VALUE(REGEXEXTRACT(A3155, ""\d+""))"),3983.0)</f>
        <v>3983</v>
      </c>
    </row>
    <row r="3156">
      <c r="A3156" s="9" t="s">
        <v>13455</v>
      </c>
      <c r="B3156" s="9" t="s">
        <v>13456</v>
      </c>
      <c r="G3156" s="6" t="s">
        <v>13457</v>
      </c>
      <c r="O3156" s="10">
        <f>IFERROR(__xludf.DUMMYFUNCTION("VALUE(REGEXEXTRACT(A3156, ""\d+""))"),3984.0)</f>
        <v>3984</v>
      </c>
    </row>
    <row r="3157">
      <c r="A3157" s="9" t="s">
        <v>13458</v>
      </c>
      <c r="B3157" s="9" t="s">
        <v>13459</v>
      </c>
      <c r="G3157" s="6" t="s">
        <v>13460</v>
      </c>
      <c r="O3157" s="10">
        <f>IFERROR(__xludf.DUMMYFUNCTION("VALUE(REGEXEXTRACT(A3157, ""\d+""))"),3985.0)</f>
        <v>3985</v>
      </c>
    </row>
    <row r="3158">
      <c r="A3158" s="9" t="s">
        <v>13461</v>
      </c>
      <c r="B3158" s="9" t="s">
        <v>13462</v>
      </c>
      <c r="G3158" s="6" t="s">
        <v>13463</v>
      </c>
      <c r="O3158" s="10">
        <f>IFERROR(__xludf.DUMMYFUNCTION("VALUE(REGEXEXTRACT(A3158, ""\d+""))"),3987.0)</f>
        <v>3987</v>
      </c>
    </row>
    <row r="3159">
      <c r="A3159" s="9" t="s">
        <v>13464</v>
      </c>
      <c r="B3159" s="9" t="s">
        <v>13465</v>
      </c>
      <c r="G3159" s="6" t="s">
        <v>13466</v>
      </c>
      <c r="O3159" s="10">
        <f>IFERROR(__xludf.DUMMYFUNCTION("VALUE(REGEXEXTRACT(A3159, ""\d+""))"),3988.0)</f>
        <v>3988</v>
      </c>
    </row>
    <row r="3160">
      <c r="A3160" s="9" t="s">
        <v>13467</v>
      </c>
      <c r="B3160" s="9" t="s">
        <v>13468</v>
      </c>
      <c r="G3160" s="6" t="s">
        <v>13469</v>
      </c>
      <c r="O3160" s="10">
        <f>IFERROR(__xludf.DUMMYFUNCTION("VALUE(REGEXEXTRACT(A3160, ""\d+""))"),3989.0)</f>
        <v>3989</v>
      </c>
    </row>
    <row r="3161">
      <c r="A3161" s="9" t="s">
        <v>13470</v>
      </c>
      <c r="B3161" s="9" t="s">
        <v>13471</v>
      </c>
      <c r="G3161" s="6" t="s">
        <v>13472</v>
      </c>
      <c r="O3161" s="10">
        <f>IFERROR(__xludf.DUMMYFUNCTION("VALUE(REGEXEXTRACT(A3161, ""\d+""))"),3990.0)</f>
        <v>3990</v>
      </c>
    </row>
    <row r="3162">
      <c r="A3162" s="9" t="s">
        <v>13473</v>
      </c>
      <c r="B3162" s="9" t="s">
        <v>13474</v>
      </c>
      <c r="G3162" s="6" t="s">
        <v>13475</v>
      </c>
      <c r="O3162" s="10">
        <f>IFERROR(__xludf.DUMMYFUNCTION("VALUE(REGEXEXTRACT(A3162, ""\d+""))"),3991.0)</f>
        <v>3991</v>
      </c>
    </row>
    <row r="3163">
      <c r="A3163" s="9" t="s">
        <v>13476</v>
      </c>
      <c r="B3163" s="9" t="s">
        <v>13477</v>
      </c>
      <c r="G3163" s="6" t="s">
        <v>13478</v>
      </c>
      <c r="O3163" s="10">
        <f>IFERROR(__xludf.DUMMYFUNCTION("VALUE(REGEXEXTRACT(A3163, ""\d+""))"),3992.0)</f>
        <v>3992</v>
      </c>
    </row>
    <row r="3164">
      <c r="A3164" s="9" t="s">
        <v>13479</v>
      </c>
      <c r="B3164" s="9" t="s">
        <v>13480</v>
      </c>
      <c r="G3164" s="6" t="s">
        <v>13481</v>
      </c>
      <c r="O3164" s="10">
        <f>IFERROR(__xludf.DUMMYFUNCTION("VALUE(REGEXEXTRACT(A3164, ""\d+""))"),3993.0)</f>
        <v>3993</v>
      </c>
    </row>
    <row r="3165">
      <c r="A3165" s="9" t="s">
        <v>13482</v>
      </c>
      <c r="B3165" s="9" t="s">
        <v>13483</v>
      </c>
      <c r="G3165" s="6" t="s">
        <v>13484</v>
      </c>
      <c r="O3165" s="10">
        <f>IFERROR(__xludf.DUMMYFUNCTION("VALUE(REGEXEXTRACT(A3165, ""\d+""))"),3994.0)</f>
        <v>3994</v>
      </c>
    </row>
    <row r="3166">
      <c r="A3166" s="9" t="s">
        <v>13485</v>
      </c>
      <c r="B3166" s="9" t="s">
        <v>13486</v>
      </c>
      <c r="G3166" s="6" t="s">
        <v>13487</v>
      </c>
      <c r="O3166" s="10">
        <f>IFERROR(__xludf.DUMMYFUNCTION("VALUE(REGEXEXTRACT(A3166, ""\d+""))"),3995.0)</f>
        <v>3995</v>
      </c>
    </row>
    <row r="3167">
      <c r="A3167" s="9" t="s">
        <v>13488</v>
      </c>
      <c r="B3167" s="9" t="s">
        <v>13489</v>
      </c>
      <c r="G3167" s="6" t="s">
        <v>13490</v>
      </c>
      <c r="O3167" s="10">
        <f>IFERROR(__xludf.DUMMYFUNCTION("VALUE(REGEXEXTRACT(A3167, ""\d+""))"),3996.0)</f>
        <v>3996</v>
      </c>
    </row>
    <row r="3168">
      <c r="A3168" s="9" t="s">
        <v>13491</v>
      </c>
      <c r="B3168" s="9" t="s">
        <v>13492</v>
      </c>
      <c r="G3168" s="6" t="s">
        <v>13493</v>
      </c>
      <c r="O3168" s="10">
        <f>IFERROR(__xludf.DUMMYFUNCTION("VALUE(REGEXEXTRACT(A3168, ""\d+""))"),3997.0)</f>
        <v>3997</v>
      </c>
    </row>
    <row r="3169">
      <c r="A3169" s="9" t="s">
        <v>13494</v>
      </c>
      <c r="B3169" s="9" t="s">
        <v>13495</v>
      </c>
      <c r="G3169" s="6" t="s">
        <v>13496</v>
      </c>
      <c r="O3169" s="10">
        <f>IFERROR(__xludf.DUMMYFUNCTION("VALUE(REGEXEXTRACT(A3169, ""\d+""))"),3998.0)</f>
        <v>3998</v>
      </c>
    </row>
    <row r="3170">
      <c r="A3170" s="9" t="s">
        <v>13497</v>
      </c>
      <c r="B3170" s="9" t="s">
        <v>13498</v>
      </c>
      <c r="G3170" s="6" t="s">
        <v>13499</v>
      </c>
      <c r="O3170" s="10">
        <f>IFERROR(__xludf.DUMMYFUNCTION("VALUE(REGEXEXTRACT(A3170, ""\d+""))"),3999.0)</f>
        <v>3999</v>
      </c>
    </row>
    <row r="3171">
      <c r="A3171" s="9" t="s">
        <v>13500</v>
      </c>
      <c r="B3171" s="9" t="s">
        <v>13501</v>
      </c>
      <c r="G3171" s="6" t="s">
        <v>13502</v>
      </c>
      <c r="O3171" s="10">
        <f>IFERROR(__xludf.DUMMYFUNCTION("VALUE(REGEXEXTRACT(A3171, ""\d+""))"),4000.0)</f>
        <v>4000</v>
      </c>
    </row>
    <row r="3172">
      <c r="A3172" s="9" t="s">
        <v>13503</v>
      </c>
      <c r="B3172" s="9" t="s">
        <v>13504</v>
      </c>
      <c r="G3172" s="6" t="s">
        <v>13505</v>
      </c>
      <c r="O3172" s="10">
        <f>IFERROR(__xludf.DUMMYFUNCTION("VALUE(REGEXEXTRACT(A3172, ""\d+""))"),4001.0)</f>
        <v>4001</v>
      </c>
    </row>
    <row r="3173">
      <c r="A3173" s="9" t="s">
        <v>13506</v>
      </c>
      <c r="B3173" s="9" t="s">
        <v>13507</v>
      </c>
      <c r="G3173" s="6" t="s">
        <v>13508</v>
      </c>
      <c r="O3173" s="10">
        <f>IFERROR(__xludf.DUMMYFUNCTION("VALUE(REGEXEXTRACT(A3173, ""\d+""))"),4002.0)</f>
        <v>4002</v>
      </c>
    </row>
    <row r="3174">
      <c r="A3174" s="9" t="s">
        <v>13509</v>
      </c>
      <c r="B3174" s="9" t="s">
        <v>13510</v>
      </c>
      <c r="G3174" s="6" t="s">
        <v>13511</v>
      </c>
      <c r="O3174" s="10">
        <f>IFERROR(__xludf.DUMMYFUNCTION("VALUE(REGEXEXTRACT(A3174, ""\d+""))"),4003.0)</f>
        <v>4003</v>
      </c>
    </row>
    <row r="3175">
      <c r="A3175" s="9" t="s">
        <v>13512</v>
      </c>
      <c r="B3175" s="9" t="s">
        <v>13513</v>
      </c>
      <c r="G3175" s="6" t="s">
        <v>13514</v>
      </c>
      <c r="O3175" s="10">
        <f>IFERROR(__xludf.DUMMYFUNCTION("VALUE(REGEXEXTRACT(A3175, ""\d+""))"),4004.0)</f>
        <v>4004</v>
      </c>
    </row>
    <row r="3176">
      <c r="A3176" s="9" t="s">
        <v>13515</v>
      </c>
      <c r="B3176" s="9" t="s">
        <v>13516</v>
      </c>
      <c r="G3176" s="6" t="s">
        <v>13517</v>
      </c>
      <c r="O3176" s="10">
        <f>IFERROR(__xludf.DUMMYFUNCTION("VALUE(REGEXEXTRACT(A3176, ""\d+""))"),4005.0)</f>
        <v>4005</v>
      </c>
    </row>
    <row r="3177">
      <c r="A3177" s="9" t="s">
        <v>13518</v>
      </c>
      <c r="B3177" s="9" t="s">
        <v>13519</v>
      </c>
      <c r="G3177" s="6" t="s">
        <v>13520</v>
      </c>
      <c r="O3177" s="10">
        <f>IFERROR(__xludf.DUMMYFUNCTION("VALUE(REGEXEXTRACT(A3177, ""\d+""))"),4006.0)</f>
        <v>4006</v>
      </c>
    </row>
    <row r="3178">
      <c r="A3178" s="9" t="s">
        <v>13521</v>
      </c>
      <c r="B3178" s="9" t="s">
        <v>13522</v>
      </c>
      <c r="G3178" s="6" t="s">
        <v>13523</v>
      </c>
      <c r="O3178" s="10">
        <f>IFERROR(__xludf.DUMMYFUNCTION("VALUE(REGEXEXTRACT(A3178, ""\d+""))"),4007.0)</f>
        <v>4007</v>
      </c>
    </row>
    <row r="3179">
      <c r="A3179" s="9" t="s">
        <v>13524</v>
      </c>
      <c r="B3179" s="9" t="s">
        <v>13525</v>
      </c>
      <c r="G3179" s="6" t="s">
        <v>13526</v>
      </c>
      <c r="O3179" s="10">
        <f>IFERROR(__xludf.DUMMYFUNCTION("VALUE(REGEXEXTRACT(A3179, ""\d+""))"),4008.0)</f>
        <v>4008</v>
      </c>
    </row>
    <row r="3180">
      <c r="A3180" s="9" t="s">
        <v>13527</v>
      </c>
      <c r="B3180" s="9" t="s">
        <v>13528</v>
      </c>
      <c r="G3180" s="6" t="s">
        <v>13529</v>
      </c>
      <c r="O3180" s="10">
        <f>IFERROR(__xludf.DUMMYFUNCTION("VALUE(REGEXEXTRACT(A3180, ""\d+""))"),4009.0)</f>
        <v>4009</v>
      </c>
    </row>
    <row r="3181">
      <c r="A3181" s="9" t="s">
        <v>13530</v>
      </c>
      <c r="B3181" s="9" t="s">
        <v>13531</v>
      </c>
      <c r="G3181" s="6" t="s">
        <v>13532</v>
      </c>
      <c r="O3181" s="10">
        <f>IFERROR(__xludf.DUMMYFUNCTION("VALUE(REGEXEXTRACT(A3181, ""\d+""))"),4010.0)</f>
        <v>4010</v>
      </c>
    </row>
    <row r="3182">
      <c r="A3182" s="9" t="s">
        <v>13533</v>
      </c>
      <c r="B3182" s="9" t="s">
        <v>13534</v>
      </c>
      <c r="G3182" s="6" t="s">
        <v>13535</v>
      </c>
      <c r="O3182" s="10">
        <f>IFERROR(__xludf.DUMMYFUNCTION("VALUE(REGEXEXTRACT(A3182, ""\d+""))"),4011.0)</f>
        <v>4011</v>
      </c>
    </row>
    <row r="3183">
      <c r="A3183" s="9" t="s">
        <v>13536</v>
      </c>
      <c r="B3183" s="9" t="s">
        <v>13537</v>
      </c>
      <c r="G3183" s="6" t="s">
        <v>13538</v>
      </c>
      <c r="O3183" s="10">
        <f>IFERROR(__xludf.DUMMYFUNCTION("VALUE(REGEXEXTRACT(A3183, ""\d+""))"),4012.0)</f>
        <v>4012</v>
      </c>
    </row>
    <row r="3184">
      <c r="A3184" s="9" t="s">
        <v>13539</v>
      </c>
      <c r="B3184" s="9" t="s">
        <v>13540</v>
      </c>
      <c r="G3184" s="6" t="s">
        <v>13541</v>
      </c>
      <c r="O3184" s="10">
        <f>IFERROR(__xludf.DUMMYFUNCTION("VALUE(REGEXEXTRACT(A3184, ""\d+""))"),4013.0)</f>
        <v>4013</v>
      </c>
    </row>
    <row r="3185">
      <c r="A3185" s="9" t="s">
        <v>13542</v>
      </c>
      <c r="B3185" s="9" t="s">
        <v>13543</v>
      </c>
      <c r="G3185" s="6" t="s">
        <v>13544</v>
      </c>
      <c r="O3185" s="10">
        <f>IFERROR(__xludf.DUMMYFUNCTION("VALUE(REGEXEXTRACT(A3185, ""\d+""))"),4014.0)</f>
        <v>4014</v>
      </c>
    </row>
    <row r="3186">
      <c r="A3186" s="9" t="s">
        <v>13545</v>
      </c>
      <c r="B3186" s="9" t="s">
        <v>13546</v>
      </c>
      <c r="G3186" s="6" t="s">
        <v>13547</v>
      </c>
      <c r="O3186" s="10">
        <f>IFERROR(__xludf.DUMMYFUNCTION("VALUE(REGEXEXTRACT(A3186, ""\d+""))"),4015.0)</f>
        <v>4015</v>
      </c>
    </row>
    <row r="3187">
      <c r="A3187" s="9" t="s">
        <v>13548</v>
      </c>
      <c r="B3187" s="9" t="s">
        <v>13549</v>
      </c>
      <c r="G3187" s="6" t="s">
        <v>13550</v>
      </c>
      <c r="O3187" s="10">
        <f>IFERROR(__xludf.DUMMYFUNCTION("VALUE(REGEXEXTRACT(A3187, ""\d+""))"),4016.0)</f>
        <v>4016</v>
      </c>
    </row>
    <row r="3188">
      <c r="A3188" s="9" t="s">
        <v>13551</v>
      </c>
      <c r="B3188" s="9" t="s">
        <v>13552</v>
      </c>
      <c r="G3188" s="6" t="s">
        <v>13553</v>
      </c>
      <c r="O3188" s="10">
        <f>IFERROR(__xludf.DUMMYFUNCTION("VALUE(REGEXEXTRACT(A3188, ""\d+""))"),4017.0)</f>
        <v>4017</v>
      </c>
    </row>
    <row r="3189">
      <c r="A3189" s="9" t="s">
        <v>13554</v>
      </c>
      <c r="B3189" s="9" t="s">
        <v>13555</v>
      </c>
      <c r="G3189" s="6" t="s">
        <v>13556</v>
      </c>
      <c r="O3189" s="10">
        <f>IFERROR(__xludf.DUMMYFUNCTION("VALUE(REGEXEXTRACT(A3189, ""\d+""))"),4018.0)</f>
        <v>4018</v>
      </c>
    </row>
    <row r="3190">
      <c r="A3190" s="9" t="s">
        <v>13557</v>
      </c>
      <c r="B3190" s="9" t="s">
        <v>13558</v>
      </c>
      <c r="G3190" s="6" t="s">
        <v>13559</v>
      </c>
      <c r="O3190" s="10">
        <f>IFERROR(__xludf.DUMMYFUNCTION("VALUE(REGEXEXTRACT(A3190, ""\d+""))"),4019.0)</f>
        <v>4019</v>
      </c>
    </row>
    <row r="3191">
      <c r="A3191" s="9" t="s">
        <v>13560</v>
      </c>
      <c r="B3191" s="9" t="s">
        <v>13561</v>
      </c>
      <c r="G3191" s="6" t="s">
        <v>13562</v>
      </c>
      <c r="O3191" s="10">
        <f>IFERROR(__xludf.DUMMYFUNCTION("VALUE(REGEXEXTRACT(A3191, ""\d+""))"),4020.0)</f>
        <v>4020</v>
      </c>
    </row>
    <row r="3192">
      <c r="A3192" s="9" t="s">
        <v>13563</v>
      </c>
      <c r="B3192" s="9" t="s">
        <v>13564</v>
      </c>
      <c r="G3192" s="6" t="s">
        <v>13565</v>
      </c>
      <c r="O3192" s="10">
        <f>IFERROR(__xludf.DUMMYFUNCTION("VALUE(REGEXEXTRACT(A3192, ""\d+""))"),4021.0)</f>
        <v>4021</v>
      </c>
    </row>
    <row r="3193">
      <c r="A3193" s="9" t="s">
        <v>13566</v>
      </c>
      <c r="B3193" s="9" t="s">
        <v>13567</v>
      </c>
      <c r="G3193" s="6" t="s">
        <v>13568</v>
      </c>
      <c r="O3193" s="10">
        <f>IFERROR(__xludf.DUMMYFUNCTION("VALUE(REGEXEXTRACT(A3193, ""\d+""))"),4022.0)</f>
        <v>4022</v>
      </c>
    </row>
    <row r="3194">
      <c r="A3194" s="9" t="s">
        <v>13569</v>
      </c>
      <c r="B3194" s="9" t="s">
        <v>13570</v>
      </c>
      <c r="G3194" s="6" t="s">
        <v>13571</v>
      </c>
      <c r="O3194" s="10">
        <f>IFERROR(__xludf.DUMMYFUNCTION("VALUE(REGEXEXTRACT(A3194, ""\d+""))"),4023.0)</f>
        <v>4023</v>
      </c>
    </row>
    <row r="3195">
      <c r="A3195" s="9" t="s">
        <v>13572</v>
      </c>
      <c r="B3195" s="9" t="s">
        <v>13573</v>
      </c>
      <c r="G3195" s="6" t="s">
        <v>13574</v>
      </c>
      <c r="O3195" s="10">
        <f>IFERROR(__xludf.DUMMYFUNCTION("VALUE(REGEXEXTRACT(A3195, ""\d+""))"),4024.0)</f>
        <v>4024</v>
      </c>
    </row>
    <row r="3196">
      <c r="A3196" s="9" t="s">
        <v>13575</v>
      </c>
      <c r="B3196" s="9" t="s">
        <v>13576</v>
      </c>
      <c r="G3196" s="6" t="s">
        <v>13577</v>
      </c>
      <c r="O3196" s="10">
        <f>IFERROR(__xludf.DUMMYFUNCTION("VALUE(REGEXEXTRACT(A3196, ""\d+""))"),4025.0)</f>
        <v>4025</v>
      </c>
    </row>
    <row r="3197">
      <c r="A3197" s="9" t="s">
        <v>13578</v>
      </c>
      <c r="B3197" s="9" t="s">
        <v>13579</v>
      </c>
      <c r="G3197" s="6" t="s">
        <v>13580</v>
      </c>
      <c r="O3197" s="10">
        <f>IFERROR(__xludf.DUMMYFUNCTION("VALUE(REGEXEXTRACT(A3197, ""\d+""))"),4026.0)</f>
        <v>4026</v>
      </c>
    </row>
    <row r="3198">
      <c r="A3198" s="9" t="s">
        <v>13581</v>
      </c>
      <c r="B3198" s="9" t="s">
        <v>13582</v>
      </c>
      <c r="G3198" s="6" t="s">
        <v>13583</v>
      </c>
      <c r="O3198" s="10">
        <f>IFERROR(__xludf.DUMMYFUNCTION("VALUE(REGEXEXTRACT(A3198, ""\d+""))"),4027.0)</f>
        <v>4027</v>
      </c>
    </row>
    <row r="3199">
      <c r="A3199" s="9" t="s">
        <v>13584</v>
      </c>
      <c r="B3199" s="9" t="s">
        <v>13585</v>
      </c>
      <c r="G3199" s="6" t="s">
        <v>13586</v>
      </c>
      <c r="O3199" s="10">
        <f>IFERROR(__xludf.DUMMYFUNCTION("VALUE(REGEXEXTRACT(A3199, ""\d+""))"),4028.0)</f>
        <v>4028</v>
      </c>
    </row>
    <row r="3200">
      <c r="A3200" s="9" t="s">
        <v>13587</v>
      </c>
      <c r="B3200" s="9" t="s">
        <v>13588</v>
      </c>
      <c r="G3200" s="6" t="s">
        <v>13589</v>
      </c>
      <c r="O3200" s="10">
        <f>IFERROR(__xludf.DUMMYFUNCTION("VALUE(REGEXEXTRACT(A3200, ""\d+""))"),4029.0)</f>
        <v>4029</v>
      </c>
    </row>
    <row r="3201">
      <c r="A3201" s="9" t="s">
        <v>13590</v>
      </c>
      <c r="B3201" s="9" t="s">
        <v>13591</v>
      </c>
      <c r="G3201" s="6" t="s">
        <v>13592</v>
      </c>
      <c r="O3201" s="10">
        <f>IFERROR(__xludf.DUMMYFUNCTION("VALUE(REGEXEXTRACT(A3201, ""\d+""))"),4030.0)</f>
        <v>4030</v>
      </c>
    </row>
    <row r="3202">
      <c r="A3202" s="9" t="s">
        <v>13593</v>
      </c>
      <c r="B3202" s="9" t="s">
        <v>13594</v>
      </c>
      <c r="G3202" s="6" t="s">
        <v>13595</v>
      </c>
      <c r="O3202" s="10">
        <f>IFERROR(__xludf.DUMMYFUNCTION("VALUE(REGEXEXTRACT(A3202, ""\d+""))"),4031.0)</f>
        <v>4031</v>
      </c>
    </row>
    <row r="3203">
      <c r="A3203" s="9" t="s">
        <v>13596</v>
      </c>
      <c r="B3203" s="9" t="s">
        <v>13597</v>
      </c>
      <c r="G3203" s="6" t="s">
        <v>13598</v>
      </c>
      <c r="O3203" s="10">
        <f>IFERROR(__xludf.DUMMYFUNCTION("VALUE(REGEXEXTRACT(A3203, ""\d+""))"),4032.0)</f>
        <v>4032</v>
      </c>
    </row>
    <row r="3204">
      <c r="A3204" s="9" t="s">
        <v>13599</v>
      </c>
      <c r="B3204" s="9" t="s">
        <v>13600</v>
      </c>
      <c r="G3204" s="6" t="s">
        <v>13601</v>
      </c>
      <c r="O3204" s="10">
        <f>IFERROR(__xludf.DUMMYFUNCTION("VALUE(REGEXEXTRACT(A3204, ""\d+""))"),4034.0)</f>
        <v>4034</v>
      </c>
    </row>
    <row r="3205">
      <c r="A3205" s="9" t="s">
        <v>13602</v>
      </c>
      <c r="B3205" s="9" t="s">
        <v>13603</v>
      </c>
      <c r="G3205" s="6" t="s">
        <v>13604</v>
      </c>
      <c r="O3205" s="10">
        <f>IFERROR(__xludf.DUMMYFUNCTION("VALUE(REGEXEXTRACT(A3205, ""\d+""))"),4035.0)</f>
        <v>4035</v>
      </c>
    </row>
    <row r="3206">
      <c r="A3206" s="9" t="s">
        <v>13605</v>
      </c>
      <c r="B3206" s="9" t="s">
        <v>13606</v>
      </c>
      <c r="G3206" s="6" t="s">
        <v>13607</v>
      </c>
      <c r="O3206" s="10">
        <f>IFERROR(__xludf.DUMMYFUNCTION("VALUE(REGEXEXTRACT(A3206, ""\d+""))"),4036.0)</f>
        <v>4036</v>
      </c>
    </row>
    <row r="3207">
      <c r="A3207" s="9" t="s">
        <v>13608</v>
      </c>
      <c r="B3207" s="9" t="s">
        <v>13609</v>
      </c>
      <c r="G3207" s="6" t="s">
        <v>13610</v>
      </c>
      <c r="O3207" s="10">
        <f>IFERROR(__xludf.DUMMYFUNCTION("VALUE(REGEXEXTRACT(A3207, ""\d+""))"),4037.0)</f>
        <v>4037</v>
      </c>
    </row>
    <row r="3208">
      <c r="A3208" s="9" t="s">
        <v>13611</v>
      </c>
      <c r="B3208" s="9" t="s">
        <v>13612</v>
      </c>
      <c r="G3208" s="6" t="s">
        <v>13613</v>
      </c>
      <c r="O3208" s="10">
        <f>IFERROR(__xludf.DUMMYFUNCTION("VALUE(REGEXEXTRACT(A3208, ""\d+""))"),4038.0)</f>
        <v>4038</v>
      </c>
    </row>
    <row r="3209">
      <c r="A3209" s="9" t="s">
        <v>13614</v>
      </c>
      <c r="B3209" s="9" t="s">
        <v>13615</v>
      </c>
      <c r="G3209" s="6" t="s">
        <v>13616</v>
      </c>
      <c r="O3209" s="10">
        <f>IFERROR(__xludf.DUMMYFUNCTION("VALUE(REGEXEXTRACT(A3209, ""\d+""))"),4039.0)</f>
        <v>4039</v>
      </c>
    </row>
    <row r="3210">
      <c r="A3210" s="9" t="s">
        <v>13617</v>
      </c>
      <c r="B3210" s="9" t="s">
        <v>13618</v>
      </c>
      <c r="G3210" s="6" t="s">
        <v>13619</v>
      </c>
      <c r="O3210" s="10">
        <f>IFERROR(__xludf.DUMMYFUNCTION("VALUE(REGEXEXTRACT(A3210, ""\d+""))"),4040.0)</f>
        <v>4040</v>
      </c>
    </row>
    <row r="3211">
      <c r="A3211" s="9" t="s">
        <v>13620</v>
      </c>
      <c r="B3211" s="9" t="s">
        <v>13621</v>
      </c>
      <c r="G3211" s="6" t="s">
        <v>13622</v>
      </c>
      <c r="O3211" s="10">
        <f>IFERROR(__xludf.DUMMYFUNCTION("VALUE(REGEXEXTRACT(A3211, ""\d+""))"),4041.0)</f>
        <v>4041</v>
      </c>
    </row>
    <row r="3212">
      <c r="A3212" s="9" t="s">
        <v>13623</v>
      </c>
      <c r="B3212" s="9" t="s">
        <v>13624</v>
      </c>
      <c r="G3212" s="6" t="s">
        <v>13625</v>
      </c>
      <c r="O3212" s="10">
        <f>IFERROR(__xludf.DUMMYFUNCTION("VALUE(REGEXEXTRACT(A3212, ""\d+""))"),4042.0)</f>
        <v>4042</v>
      </c>
    </row>
    <row r="3213">
      <c r="A3213" s="9" t="s">
        <v>13626</v>
      </c>
      <c r="B3213" s="9" t="s">
        <v>13627</v>
      </c>
      <c r="G3213" s="6" t="s">
        <v>13625</v>
      </c>
      <c r="O3213" s="10">
        <f>IFERROR(__xludf.DUMMYFUNCTION("VALUE(REGEXEXTRACT(A3213, ""\d+""))"),4043.0)</f>
        <v>4043</v>
      </c>
    </row>
    <row r="3214">
      <c r="A3214" s="9" t="s">
        <v>13628</v>
      </c>
      <c r="B3214" s="9" t="s">
        <v>13629</v>
      </c>
      <c r="G3214" s="6" t="s">
        <v>13630</v>
      </c>
      <c r="O3214" s="10">
        <f>IFERROR(__xludf.DUMMYFUNCTION("VALUE(REGEXEXTRACT(A3214, ""\d+""))"),4044.0)</f>
        <v>4044</v>
      </c>
    </row>
    <row r="3215">
      <c r="A3215" s="9" t="s">
        <v>13631</v>
      </c>
      <c r="B3215" s="9" t="s">
        <v>13632</v>
      </c>
      <c r="G3215" s="6" t="s">
        <v>13633</v>
      </c>
      <c r="O3215" s="10">
        <f>IFERROR(__xludf.DUMMYFUNCTION("VALUE(REGEXEXTRACT(A3215, ""\d+""))"),4045.0)</f>
        <v>4045</v>
      </c>
    </row>
    <row r="3216">
      <c r="A3216" s="9" t="s">
        <v>13634</v>
      </c>
      <c r="B3216" s="9" t="s">
        <v>13635</v>
      </c>
      <c r="G3216" s="6" t="s">
        <v>13633</v>
      </c>
      <c r="O3216" s="10">
        <f>IFERROR(__xludf.DUMMYFUNCTION("VALUE(REGEXEXTRACT(A3216, ""\d+""))"),4046.0)</f>
        <v>4046</v>
      </c>
    </row>
    <row r="3217">
      <c r="A3217" s="9" t="s">
        <v>13636</v>
      </c>
      <c r="B3217" s="9" t="s">
        <v>13637</v>
      </c>
      <c r="G3217" s="6" t="s">
        <v>13638</v>
      </c>
      <c r="O3217" s="10">
        <f>IFERROR(__xludf.DUMMYFUNCTION("VALUE(REGEXEXTRACT(A3217, ""\d+""))"),4047.0)</f>
        <v>4047</v>
      </c>
    </row>
    <row r="3218">
      <c r="A3218" s="9" t="s">
        <v>13639</v>
      </c>
      <c r="B3218" s="9" t="s">
        <v>13640</v>
      </c>
      <c r="G3218" s="6" t="s">
        <v>13640</v>
      </c>
      <c r="O3218" s="10">
        <f>IFERROR(__xludf.DUMMYFUNCTION("VALUE(REGEXEXTRACT(A3218, ""\d+""))"),4048.0)</f>
        <v>4048</v>
      </c>
    </row>
    <row r="3219">
      <c r="A3219" s="9" t="s">
        <v>13641</v>
      </c>
      <c r="B3219" s="9" t="s">
        <v>13642</v>
      </c>
      <c r="G3219" s="6" t="s">
        <v>13643</v>
      </c>
      <c r="O3219" s="10">
        <f>IFERROR(__xludf.DUMMYFUNCTION("VALUE(REGEXEXTRACT(A3219, ""\d+""))"),4049.0)</f>
        <v>4049</v>
      </c>
    </row>
    <row r="3220">
      <c r="A3220" s="9" t="s">
        <v>13644</v>
      </c>
      <c r="B3220" s="9" t="s">
        <v>13645</v>
      </c>
      <c r="G3220" s="6" t="s">
        <v>13646</v>
      </c>
      <c r="O3220" s="10">
        <f>IFERROR(__xludf.DUMMYFUNCTION("VALUE(REGEXEXTRACT(A3220, ""\d+""))"),4050.0)</f>
        <v>4050</v>
      </c>
    </row>
    <row r="3221">
      <c r="A3221" s="9" t="s">
        <v>13647</v>
      </c>
      <c r="B3221" s="9" t="s">
        <v>13648</v>
      </c>
      <c r="G3221" s="6" t="s">
        <v>13649</v>
      </c>
      <c r="O3221" s="10">
        <f>IFERROR(__xludf.DUMMYFUNCTION("VALUE(REGEXEXTRACT(A3221, ""\d+""))"),4051.0)</f>
        <v>4051</v>
      </c>
    </row>
    <row r="3222">
      <c r="A3222" s="9" t="s">
        <v>13650</v>
      </c>
      <c r="B3222" s="9" t="s">
        <v>13651</v>
      </c>
      <c r="G3222" s="6" t="s">
        <v>13652</v>
      </c>
      <c r="O3222" s="10">
        <f>IFERROR(__xludf.DUMMYFUNCTION("VALUE(REGEXEXTRACT(A3222, ""\d+""))"),4053.0)</f>
        <v>4053</v>
      </c>
    </row>
    <row r="3223">
      <c r="A3223" s="9" t="s">
        <v>13653</v>
      </c>
      <c r="B3223" s="9" t="s">
        <v>13654</v>
      </c>
      <c r="G3223" s="6" t="s">
        <v>13655</v>
      </c>
      <c r="O3223" s="10">
        <f>IFERROR(__xludf.DUMMYFUNCTION("VALUE(REGEXEXTRACT(A3223, ""\d+""))"),4054.0)</f>
        <v>4054</v>
      </c>
    </row>
    <row r="3224">
      <c r="A3224" s="9" t="s">
        <v>13656</v>
      </c>
      <c r="B3224" s="9" t="s">
        <v>13657</v>
      </c>
      <c r="G3224" s="6" t="s">
        <v>13658</v>
      </c>
      <c r="O3224" s="10">
        <f>IFERROR(__xludf.DUMMYFUNCTION("VALUE(REGEXEXTRACT(A3224, ""\d+""))"),4055.0)</f>
        <v>4055</v>
      </c>
    </row>
    <row r="3225">
      <c r="A3225" s="9" t="s">
        <v>13659</v>
      </c>
      <c r="B3225" s="9" t="s">
        <v>13660</v>
      </c>
      <c r="G3225" s="6" t="s">
        <v>13661</v>
      </c>
      <c r="O3225" s="10">
        <f>IFERROR(__xludf.DUMMYFUNCTION("VALUE(REGEXEXTRACT(A3225, ""\d+""))"),4056.0)</f>
        <v>4056</v>
      </c>
    </row>
    <row r="3226">
      <c r="A3226" s="9" t="s">
        <v>13662</v>
      </c>
      <c r="B3226" s="9" t="s">
        <v>13663</v>
      </c>
      <c r="G3226" s="6" t="s">
        <v>13664</v>
      </c>
      <c r="O3226" s="10">
        <f>IFERROR(__xludf.DUMMYFUNCTION("VALUE(REGEXEXTRACT(A3226, ""\d+""))"),4057.0)</f>
        <v>4057</v>
      </c>
    </row>
    <row r="3227">
      <c r="A3227" s="9" t="s">
        <v>13665</v>
      </c>
      <c r="B3227" s="9" t="s">
        <v>13666</v>
      </c>
      <c r="G3227" s="6" t="s">
        <v>13667</v>
      </c>
      <c r="O3227" s="10">
        <f>IFERROR(__xludf.DUMMYFUNCTION("VALUE(REGEXEXTRACT(A3227, ""\d+""))"),4058.0)</f>
        <v>4058</v>
      </c>
    </row>
    <row r="3228">
      <c r="A3228" s="9" t="s">
        <v>13668</v>
      </c>
      <c r="B3228" s="9" t="s">
        <v>13669</v>
      </c>
      <c r="G3228" s="6" t="s">
        <v>13670</v>
      </c>
      <c r="O3228" s="10">
        <f>IFERROR(__xludf.DUMMYFUNCTION("VALUE(REGEXEXTRACT(A3228, ""\d+""))"),4059.0)</f>
        <v>4059</v>
      </c>
    </row>
    <row r="3229">
      <c r="A3229" s="9" t="s">
        <v>13671</v>
      </c>
      <c r="B3229" s="9" t="s">
        <v>13672</v>
      </c>
      <c r="G3229" s="6" t="s">
        <v>13673</v>
      </c>
      <c r="O3229" s="10">
        <f>IFERROR(__xludf.DUMMYFUNCTION("VALUE(REGEXEXTRACT(A3229, ""\d+""))"),4060.0)</f>
        <v>4060</v>
      </c>
    </row>
    <row r="3230">
      <c r="A3230" s="9" t="s">
        <v>13674</v>
      </c>
      <c r="B3230" s="9" t="s">
        <v>13675</v>
      </c>
      <c r="G3230" s="6" t="s">
        <v>13676</v>
      </c>
      <c r="O3230" s="10">
        <f>IFERROR(__xludf.DUMMYFUNCTION("VALUE(REGEXEXTRACT(A3230, ""\d+""))"),4062.0)</f>
        <v>4062</v>
      </c>
    </row>
    <row r="3231">
      <c r="A3231" s="9" t="s">
        <v>13677</v>
      </c>
      <c r="B3231" s="9" t="s">
        <v>13678</v>
      </c>
      <c r="G3231" s="6" t="s">
        <v>13679</v>
      </c>
      <c r="O3231" s="10">
        <f>IFERROR(__xludf.DUMMYFUNCTION("VALUE(REGEXEXTRACT(A3231, ""\d+""))"),4063.0)</f>
        <v>4063</v>
      </c>
    </row>
    <row r="3232">
      <c r="A3232" s="9" t="s">
        <v>13680</v>
      </c>
      <c r="B3232" s="9" t="s">
        <v>13681</v>
      </c>
      <c r="G3232" s="6" t="s">
        <v>13682</v>
      </c>
      <c r="O3232" s="10">
        <f>IFERROR(__xludf.DUMMYFUNCTION("VALUE(REGEXEXTRACT(A3232, ""\d+""))"),4064.0)</f>
        <v>4064</v>
      </c>
    </row>
    <row r="3233">
      <c r="A3233" s="9" t="s">
        <v>13683</v>
      </c>
      <c r="B3233" s="9" t="s">
        <v>13684</v>
      </c>
      <c r="G3233" s="6" t="s">
        <v>13685</v>
      </c>
      <c r="O3233" s="10">
        <f>IFERROR(__xludf.DUMMYFUNCTION("VALUE(REGEXEXTRACT(A3233, ""\d+""))"),4065.0)</f>
        <v>4065</v>
      </c>
    </row>
    <row r="3234">
      <c r="A3234" s="9" t="s">
        <v>13686</v>
      </c>
      <c r="B3234" s="9" t="s">
        <v>13687</v>
      </c>
      <c r="G3234" s="6" t="s">
        <v>13688</v>
      </c>
      <c r="O3234" s="10">
        <f>IFERROR(__xludf.DUMMYFUNCTION("VALUE(REGEXEXTRACT(A3234, ""\d+""))"),4066.0)</f>
        <v>4066</v>
      </c>
    </row>
    <row r="3235">
      <c r="A3235" s="9" t="s">
        <v>13689</v>
      </c>
      <c r="B3235" s="9" t="s">
        <v>13690</v>
      </c>
      <c r="G3235" s="6" t="s">
        <v>13691</v>
      </c>
      <c r="O3235" s="10">
        <f>IFERROR(__xludf.DUMMYFUNCTION("VALUE(REGEXEXTRACT(A3235, ""\d+""))"),4067.0)</f>
        <v>4067</v>
      </c>
    </row>
    <row r="3236">
      <c r="A3236" s="9" t="s">
        <v>13692</v>
      </c>
      <c r="B3236" s="9" t="s">
        <v>13693</v>
      </c>
      <c r="G3236" s="6" t="s">
        <v>13694</v>
      </c>
      <c r="O3236" s="10">
        <f>IFERROR(__xludf.DUMMYFUNCTION("VALUE(REGEXEXTRACT(A3236, ""\d+""))"),4068.0)</f>
        <v>4068</v>
      </c>
    </row>
    <row r="3237">
      <c r="A3237" s="9" t="s">
        <v>13695</v>
      </c>
      <c r="B3237" s="9" t="s">
        <v>797</v>
      </c>
      <c r="G3237" s="6" t="s">
        <v>799</v>
      </c>
      <c r="O3237" s="10">
        <f>IFERROR(__xludf.DUMMYFUNCTION("VALUE(REGEXEXTRACT(A3237, ""\d+""))"),4069.0)</f>
        <v>4069</v>
      </c>
    </row>
    <row r="3238">
      <c r="A3238" s="9" t="s">
        <v>13696</v>
      </c>
      <c r="B3238" s="9" t="s">
        <v>13697</v>
      </c>
      <c r="G3238" s="6" t="s">
        <v>13698</v>
      </c>
      <c r="O3238" s="10">
        <f>IFERROR(__xludf.DUMMYFUNCTION("VALUE(REGEXEXTRACT(A3238, ""\d+""))"),4070.0)</f>
        <v>4070</v>
      </c>
    </row>
    <row r="3239">
      <c r="A3239" s="9" t="s">
        <v>13699</v>
      </c>
      <c r="B3239" s="9" t="s">
        <v>13700</v>
      </c>
      <c r="G3239" s="6" t="s">
        <v>13701</v>
      </c>
      <c r="O3239" s="10">
        <f>IFERROR(__xludf.DUMMYFUNCTION("VALUE(REGEXEXTRACT(A3239, ""\d+""))"),4071.0)</f>
        <v>4071</v>
      </c>
    </row>
    <row r="3240">
      <c r="A3240" s="9" t="s">
        <v>13702</v>
      </c>
      <c r="B3240" s="9" t="s">
        <v>13703</v>
      </c>
      <c r="G3240" s="6" t="s">
        <v>13704</v>
      </c>
      <c r="O3240" s="10">
        <f>IFERROR(__xludf.DUMMYFUNCTION("VALUE(REGEXEXTRACT(A3240, ""\d+""))"),4072.0)</f>
        <v>4072</v>
      </c>
    </row>
    <row r="3241">
      <c r="A3241" s="9" t="s">
        <v>13705</v>
      </c>
      <c r="B3241" s="9" t="s">
        <v>13706</v>
      </c>
      <c r="G3241" s="6" t="s">
        <v>13707</v>
      </c>
      <c r="O3241" s="10">
        <f>IFERROR(__xludf.DUMMYFUNCTION("VALUE(REGEXEXTRACT(A3241, ""\d+""))"),4073.0)</f>
        <v>4073</v>
      </c>
    </row>
    <row r="3242">
      <c r="A3242" s="9" t="s">
        <v>13708</v>
      </c>
      <c r="B3242" s="9" t="s">
        <v>13709</v>
      </c>
      <c r="G3242" s="6" t="s">
        <v>13710</v>
      </c>
      <c r="O3242" s="10">
        <f>IFERROR(__xludf.DUMMYFUNCTION("VALUE(REGEXEXTRACT(A3242, ""\d+""))"),4074.0)</f>
        <v>4074</v>
      </c>
    </row>
    <row r="3243">
      <c r="A3243" s="9" t="s">
        <v>13711</v>
      </c>
      <c r="B3243" s="9" t="s">
        <v>13712</v>
      </c>
      <c r="G3243" s="6" t="s">
        <v>13713</v>
      </c>
      <c r="O3243" s="10">
        <f>IFERROR(__xludf.DUMMYFUNCTION("VALUE(REGEXEXTRACT(A3243, ""\d+""))"),4075.0)</f>
        <v>4075</v>
      </c>
    </row>
    <row r="3244">
      <c r="A3244" s="9" t="s">
        <v>13714</v>
      </c>
      <c r="B3244" s="9" t="s">
        <v>13715</v>
      </c>
      <c r="G3244" s="6" t="s">
        <v>13716</v>
      </c>
      <c r="O3244" s="10">
        <f>IFERROR(__xludf.DUMMYFUNCTION("VALUE(REGEXEXTRACT(A3244, ""\d+""))"),4076.0)</f>
        <v>4076</v>
      </c>
    </row>
    <row r="3245">
      <c r="A3245" s="9" t="s">
        <v>13717</v>
      </c>
      <c r="B3245" s="9" t="s">
        <v>13718</v>
      </c>
      <c r="G3245" s="6" t="s">
        <v>13719</v>
      </c>
      <c r="O3245" s="10">
        <f>IFERROR(__xludf.DUMMYFUNCTION("VALUE(REGEXEXTRACT(A3245, ""\d+""))"),4077.0)</f>
        <v>4077</v>
      </c>
    </row>
    <row r="3246">
      <c r="A3246" s="9" t="s">
        <v>13720</v>
      </c>
      <c r="B3246" s="9" t="s">
        <v>13721</v>
      </c>
      <c r="G3246" s="6" t="s">
        <v>13722</v>
      </c>
      <c r="O3246" s="10">
        <f>IFERROR(__xludf.DUMMYFUNCTION("VALUE(REGEXEXTRACT(A3246, ""\d+""))"),4078.0)</f>
        <v>4078</v>
      </c>
    </row>
    <row r="3247">
      <c r="A3247" s="9" t="s">
        <v>13723</v>
      </c>
      <c r="B3247" s="9" t="s">
        <v>13724</v>
      </c>
      <c r="G3247" s="6" t="s">
        <v>13725</v>
      </c>
      <c r="O3247" s="10">
        <f>IFERROR(__xludf.DUMMYFUNCTION("VALUE(REGEXEXTRACT(A3247, ""\d+""))"),4079.0)</f>
        <v>4079</v>
      </c>
    </row>
    <row r="3248">
      <c r="A3248" s="9" t="s">
        <v>13726</v>
      </c>
      <c r="B3248" s="9" t="s">
        <v>13727</v>
      </c>
      <c r="G3248" s="6" t="s">
        <v>13728</v>
      </c>
      <c r="O3248" s="10">
        <f>IFERROR(__xludf.DUMMYFUNCTION("VALUE(REGEXEXTRACT(A3248, ""\d+""))"),4081.0)</f>
        <v>4081</v>
      </c>
    </row>
    <row r="3249">
      <c r="A3249" s="9" t="s">
        <v>13729</v>
      </c>
      <c r="B3249" s="9" t="s">
        <v>13730</v>
      </c>
      <c r="G3249" s="6" t="s">
        <v>13731</v>
      </c>
      <c r="O3249" s="10">
        <f>IFERROR(__xludf.DUMMYFUNCTION("VALUE(REGEXEXTRACT(A3249, ""\d+""))"),4082.0)</f>
        <v>4082</v>
      </c>
    </row>
    <row r="3250">
      <c r="A3250" s="9" t="s">
        <v>13732</v>
      </c>
      <c r="B3250" s="9" t="s">
        <v>13733</v>
      </c>
      <c r="G3250" s="6" t="s">
        <v>13734</v>
      </c>
      <c r="O3250" s="10">
        <f>IFERROR(__xludf.DUMMYFUNCTION("VALUE(REGEXEXTRACT(A3250, ""\d+""))"),4083.0)</f>
        <v>4083</v>
      </c>
    </row>
    <row r="3251">
      <c r="A3251" s="9" t="s">
        <v>13735</v>
      </c>
      <c r="B3251" s="9" t="s">
        <v>13736</v>
      </c>
      <c r="G3251" s="6" t="s">
        <v>13737</v>
      </c>
      <c r="O3251" s="10">
        <f>IFERROR(__xludf.DUMMYFUNCTION("VALUE(REGEXEXTRACT(A3251, ""\d+""))"),4084.0)</f>
        <v>4084</v>
      </c>
    </row>
    <row r="3252">
      <c r="A3252" s="9" t="s">
        <v>13738</v>
      </c>
      <c r="B3252" s="9" t="s">
        <v>13739</v>
      </c>
      <c r="G3252" s="6" t="s">
        <v>13740</v>
      </c>
      <c r="O3252" s="10">
        <f>IFERROR(__xludf.DUMMYFUNCTION("VALUE(REGEXEXTRACT(A3252, ""\d+""))"),4085.0)</f>
        <v>4085</v>
      </c>
    </row>
    <row r="3253">
      <c r="A3253" s="9" t="s">
        <v>13741</v>
      </c>
      <c r="B3253" s="9" t="s">
        <v>13742</v>
      </c>
      <c r="G3253" s="6" t="s">
        <v>13743</v>
      </c>
      <c r="O3253" s="10">
        <f>IFERROR(__xludf.DUMMYFUNCTION("VALUE(REGEXEXTRACT(A3253, ""\d+""))"),4086.0)</f>
        <v>4086</v>
      </c>
    </row>
    <row r="3254">
      <c r="A3254" s="9" t="s">
        <v>13744</v>
      </c>
      <c r="B3254" s="9" t="s">
        <v>13745</v>
      </c>
      <c r="G3254" s="6" t="s">
        <v>13746</v>
      </c>
      <c r="O3254" s="10">
        <f>IFERROR(__xludf.DUMMYFUNCTION("VALUE(REGEXEXTRACT(A3254, ""\d+""))"),4087.0)</f>
        <v>4087</v>
      </c>
    </row>
    <row r="3255">
      <c r="A3255" s="9" t="s">
        <v>13747</v>
      </c>
      <c r="B3255" s="9" t="s">
        <v>13748</v>
      </c>
      <c r="G3255" s="6" t="s">
        <v>13749</v>
      </c>
      <c r="O3255" s="10">
        <f>IFERROR(__xludf.DUMMYFUNCTION("VALUE(REGEXEXTRACT(A3255, ""\d+""))"),4089.0)</f>
        <v>4089</v>
      </c>
    </row>
    <row r="3256">
      <c r="A3256" s="9" t="s">
        <v>13750</v>
      </c>
      <c r="B3256" s="9" t="s">
        <v>13751</v>
      </c>
      <c r="G3256" s="6" t="s">
        <v>13752</v>
      </c>
      <c r="O3256" s="10">
        <f>IFERROR(__xludf.DUMMYFUNCTION("VALUE(REGEXEXTRACT(A3256, ""\d+""))"),4090.0)</f>
        <v>4090</v>
      </c>
    </row>
    <row r="3257">
      <c r="A3257" s="9" t="s">
        <v>13753</v>
      </c>
      <c r="B3257" s="9" t="s">
        <v>13754</v>
      </c>
      <c r="G3257" s="6" t="s">
        <v>13755</v>
      </c>
      <c r="O3257" s="10">
        <f>IFERROR(__xludf.DUMMYFUNCTION("VALUE(REGEXEXTRACT(A3257, ""\d+""))"),4091.0)</f>
        <v>4091</v>
      </c>
    </row>
    <row r="3258">
      <c r="A3258" s="9" t="s">
        <v>13756</v>
      </c>
      <c r="B3258" s="9" t="s">
        <v>13757</v>
      </c>
      <c r="G3258" s="6" t="s">
        <v>13758</v>
      </c>
      <c r="O3258" s="10">
        <f>IFERROR(__xludf.DUMMYFUNCTION("VALUE(REGEXEXTRACT(A3258, ""\d+""))"),4092.0)</f>
        <v>4092</v>
      </c>
    </row>
    <row r="3259">
      <c r="A3259" s="9" t="s">
        <v>13759</v>
      </c>
      <c r="B3259" s="9" t="s">
        <v>13760</v>
      </c>
      <c r="G3259" s="6" t="s">
        <v>13761</v>
      </c>
      <c r="O3259" s="10">
        <f>IFERROR(__xludf.DUMMYFUNCTION("VALUE(REGEXEXTRACT(A3259, ""\d+""))"),4093.0)</f>
        <v>4093</v>
      </c>
    </row>
    <row r="3260">
      <c r="A3260" s="9" t="s">
        <v>13762</v>
      </c>
      <c r="B3260" s="9" t="s">
        <v>13763</v>
      </c>
      <c r="G3260" s="6" t="s">
        <v>13764</v>
      </c>
      <c r="O3260" s="10">
        <f>IFERROR(__xludf.DUMMYFUNCTION("VALUE(REGEXEXTRACT(A3260, ""\d+""))"),4094.0)</f>
        <v>4094</v>
      </c>
    </row>
    <row r="3261">
      <c r="A3261" s="9" t="s">
        <v>13765</v>
      </c>
      <c r="B3261" s="9" t="s">
        <v>13766</v>
      </c>
      <c r="G3261" s="6" t="s">
        <v>13767</v>
      </c>
      <c r="O3261" s="10">
        <f>IFERROR(__xludf.DUMMYFUNCTION("VALUE(REGEXEXTRACT(A3261, ""\d+""))"),4095.0)</f>
        <v>4095</v>
      </c>
    </row>
    <row r="3262">
      <c r="A3262" s="9" t="s">
        <v>13768</v>
      </c>
      <c r="B3262" s="9" t="s">
        <v>13769</v>
      </c>
      <c r="G3262" s="6" t="s">
        <v>13770</v>
      </c>
      <c r="O3262" s="10">
        <f>IFERROR(__xludf.DUMMYFUNCTION("VALUE(REGEXEXTRACT(A3262, ""\d+""))"),4096.0)</f>
        <v>4096</v>
      </c>
    </row>
    <row r="3263">
      <c r="A3263" s="9" t="s">
        <v>13771</v>
      </c>
      <c r="B3263" s="9" t="s">
        <v>13772</v>
      </c>
      <c r="G3263" s="6" t="s">
        <v>13773</v>
      </c>
      <c r="O3263" s="10">
        <f>IFERROR(__xludf.DUMMYFUNCTION("VALUE(REGEXEXTRACT(A3263, ""\d+""))"),4097.0)</f>
        <v>4097</v>
      </c>
    </row>
    <row r="3264">
      <c r="A3264" s="9" t="s">
        <v>13774</v>
      </c>
      <c r="B3264" s="9" t="s">
        <v>13775</v>
      </c>
      <c r="G3264" s="6" t="s">
        <v>13776</v>
      </c>
      <c r="O3264" s="10">
        <f>IFERROR(__xludf.DUMMYFUNCTION("VALUE(REGEXEXTRACT(A3264, ""\d+""))"),4098.0)</f>
        <v>4098</v>
      </c>
    </row>
    <row r="3265">
      <c r="A3265" s="9" t="s">
        <v>13777</v>
      </c>
      <c r="B3265" s="9" t="s">
        <v>13778</v>
      </c>
      <c r="G3265" s="6" t="s">
        <v>13779</v>
      </c>
      <c r="O3265" s="10">
        <f>IFERROR(__xludf.DUMMYFUNCTION("VALUE(REGEXEXTRACT(A3265, ""\d+""))"),4099.0)</f>
        <v>4099</v>
      </c>
    </row>
    <row r="3266">
      <c r="A3266" s="9" t="s">
        <v>13780</v>
      </c>
      <c r="B3266" s="9" t="s">
        <v>13781</v>
      </c>
      <c r="G3266" s="6" t="s">
        <v>13782</v>
      </c>
      <c r="O3266" s="10">
        <f>IFERROR(__xludf.DUMMYFUNCTION("VALUE(REGEXEXTRACT(A3266, ""\d+""))"),4100.0)</f>
        <v>4100</v>
      </c>
    </row>
    <row r="3267">
      <c r="A3267" s="9" t="s">
        <v>13783</v>
      </c>
      <c r="B3267" s="9" t="s">
        <v>13784</v>
      </c>
      <c r="G3267" s="6" t="s">
        <v>13785</v>
      </c>
      <c r="O3267" s="10">
        <f>IFERROR(__xludf.DUMMYFUNCTION("VALUE(REGEXEXTRACT(A3267, ""\d+""))"),4101.0)</f>
        <v>4101</v>
      </c>
    </row>
    <row r="3268">
      <c r="A3268" s="9" t="s">
        <v>13786</v>
      </c>
      <c r="B3268" s="9" t="s">
        <v>13787</v>
      </c>
      <c r="G3268" s="6" t="s">
        <v>13788</v>
      </c>
      <c r="O3268" s="10">
        <f>IFERROR(__xludf.DUMMYFUNCTION("VALUE(REGEXEXTRACT(A3268, ""\d+""))"),4102.0)</f>
        <v>4102</v>
      </c>
    </row>
    <row r="3269">
      <c r="A3269" s="9" t="s">
        <v>13789</v>
      </c>
      <c r="B3269" s="9" t="s">
        <v>13790</v>
      </c>
      <c r="G3269" s="6" t="s">
        <v>13791</v>
      </c>
      <c r="O3269" s="10">
        <f>IFERROR(__xludf.DUMMYFUNCTION("VALUE(REGEXEXTRACT(A3269, ""\d+""))"),4103.0)</f>
        <v>4103</v>
      </c>
    </row>
    <row r="3270">
      <c r="A3270" s="9" t="s">
        <v>13792</v>
      </c>
      <c r="B3270" s="9" t="s">
        <v>13793</v>
      </c>
      <c r="G3270" s="6" t="s">
        <v>13794</v>
      </c>
      <c r="O3270" s="10">
        <f>IFERROR(__xludf.DUMMYFUNCTION("VALUE(REGEXEXTRACT(A3270, ""\d+""))"),4104.0)</f>
        <v>4104</v>
      </c>
    </row>
    <row r="3271">
      <c r="A3271" s="9" t="s">
        <v>13795</v>
      </c>
      <c r="B3271" s="9" t="s">
        <v>13796</v>
      </c>
      <c r="G3271" s="6" t="s">
        <v>13797</v>
      </c>
      <c r="O3271" s="10">
        <f>IFERROR(__xludf.DUMMYFUNCTION("VALUE(REGEXEXTRACT(A3271, ""\d+""))"),4106.0)</f>
        <v>4106</v>
      </c>
    </row>
    <row r="3272">
      <c r="A3272" s="9" t="s">
        <v>13798</v>
      </c>
      <c r="B3272" s="9" t="s">
        <v>13799</v>
      </c>
      <c r="G3272" s="6" t="s">
        <v>13800</v>
      </c>
      <c r="O3272" s="10">
        <f>IFERROR(__xludf.DUMMYFUNCTION("VALUE(REGEXEXTRACT(A3272, ""\d+""))"),4107.0)</f>
        <v>4107</v>
      </c>
    </row>
    <row r="3273">
      <c r="A3273" s="9" t="s">
        <v>13801</v>
      </c>
      <c r="B3273" s="9" t="s">
        <v>13802</v>
      </c>
      <c r="G3273" s="6" t="s">
        <v>13803</v>
      </c>
      <c r="O3273" s="10">
        <f>IFERROR(__xludf.DUMMYFUNCTION("VALUE(REGEXEXTRACT(A3273, ""\d+""))"),4108.0)</f>
        <v>4108</v>
      </c>
    </row>
    <row r="3274">
      <c r="A3274" s="9" t="s">
        <v>13804</v>
      </c>
      <c r="B3274" s="9" t="s">
        <v>13805</v>
      </c>
      <c r="G3274" s="6" t="s">
        <v>13806</v>
      </c>
      <c r="O3274" s="10">
        <f>IFERROR(__xludf.DUMMYFUNCTION("VALUE(REGEXEXTRACT(A3274, ""\d+""))"),4109.0)</f>
        <v>4109</v>
      </c>
    </row>
    <row r="3275">
      <c r="A3275" s="9" t="s">
        <v>13807</v>
      </c>
      <c r="B3275" s="9" t="s">
        <v>13808</v>
      </c>
      <c r="G3275" s="6" t="s">
        <v>13809</v>
      </c>
      <c r="O3275" s="10">
        <f>IFERROR(__xludf.DUMMYFUNCTION("VALUE(REGEXEXTRACT(A3275, ""\d+""))"),4110.0)</f>
        <v>4110</v>
      </c>
    </row>
    <row r="3276">
      <c r="A3276" s="9" t="s">
        <v>13810</v>
      </c>
      <c r="B3276" s="9" t="s">
        <v>13811</v>
      </c>
      <c r="G3276" s="6" t="s">
        <v>13812</v>
      </c>
      <c r="O3276" s="10">
        <f>IFERROR(__xludf.DUMMYFUNCTION("VALUE(REGEXEXTRACT(A3276, ""\d+""))"),4111.0)</f>
        <v>4111</v>
      </c>
    </row>
    <row r="3277">
      <c r="A3277" s="9" t="s">
        <v>13813</v>
      </c>
      <c r="B3277" s="9" t="s">
        <v>13814</v>
      </c>
      <c r="G3277" s="6" t="s">
        <v>13815</v>
      </c>
      <c r="O3277" s="10">
        <f>IFERROR(__xludf.DUMMYFUNCTION("VALUE(REGEXEXTRACT(A3277, ""\d+""))"),4112.0)</f>
        <v>4112</v>
      </c>
    </row>
    <row r="3278">
      <c r="A3278" s="9" t="s">
        <v>13816</v>
      </c>
      <c r="B3278" s="9" t="s">
        <v>13817</v>
      </c>
      <c r="G3278" s="6" t="s">
        <v>13818</v>
      </c>
      <c r="O3278" s="10">
        <f>IFERROR(__xludf.DUMMYFUNCTION("VALUE(REGEXEXTRACT(A3278, ""\d+""))"),4113.0)</f>
        <v>4113</v>
      </c>
    </row>
    <row r="3279">
      <c r="A3279" s="9" t="s">
        <v>13819</v>
      </c>
      <c r="B3279" s="9" t="s">
        <v>13820</v>
      </c>
      <c r="G3279" s="6" t="s">
        <v>13821</v>
      </c>
      <c r="O3279" s="10">
        <f>IFERROR(__xludf.DUMMYFUNCTION("VALUE(REGEXEXTRACT(A3279, ""\d+""))"),4114.0)</f>
        <v>4114</v>
      </c>
    </row>
    <row r="3280">
      <c r="A3280" s="9" t="s">
        <v>13822</v>
      </c>
      <c r="B3280" s="9" t="s">
        <v>13823</v>
      </c>
      <c r="G3280" s="6" t="s">
        <v>13824</v>
      </c>
      <c r="O3280" s="10">
        <f>IFERROR(__xludf.DUMMYFUNCTION("VALUE(REGEXEXTRACT(A3280, ""\d+""))"),4115.0)</f>
        <v>4115</v>
      </c>
    </row>
    <row r="3281">
      <c r="A3281" s="9" t="s">
        <v>13825</v>
      </c>
      <c r="B3281" s="9" t="s">
        <v>13826</v>
      </c>
      <c r="G3281" s="6" t="s">
        <v>13826</v>
      </c>
      <c r="O3281" s="10">
        <f>IFERROR(__xludf.DUMMYFUNCTION("VALUE(REGEXEXTRACT(A3281, ""\d+""))"),4116.0)</f>
        <v>4116</v>
      </c>
    </row>
    <row r="3282">
      <c r="A3282" s="9" t="s">
        <v>13827</v>
      </c>
      <c r="B3282" s="9" t="s">
        <v>13828</v>
      </c>
      <c r="G3282" s="6" t="s">
        <v>13828</v>
      </c>
      <c r="O3282" s="10">
        <f>IFERROR(__xludf.DUMMYFUNCTION("VALUE(REGEXEXTRACT(A3282, ""\d+""))"),4117.0)</f>
        <v>4117</v>
      </c>
    </row>
    <row r="3283">
      <c r="A3283" s="9" t="s">
        <v>13829</v>
      </c>
      <c r="B3283" s="9" t="s">
        <v>13830</v>
      </c>
      <c r="G3283" s="6" t="s">
        <v>13830</v>
      </c>
      <c r="O3283" s="10">
        <f>IFERROR(__xludf.DUMMYFUNCTION("VALUE(REGEXEXTRACT(A3283, ""\d+""))"),4118.0)</f>
        <v>4118</v>
      </c>
    </row>
    <row r="3284">
      <c r="A3284" s="9" t="s">
        <v>13831</v>
      </c>
      <c r="B3284" s="9" t="s">
        <v>13832</v>
      </c>
      <c r="G3284" s="6" t="s">
        <v>13832</v>
      </c>
      <c r="O3284" s="10">
        <f>IFERROR(__xludf.DUMMYFUNCTION("VALUE(REGEXEXTRACT(A3284, ""\d+""))"),4119.0)</f>
        <v>4119</v>
      </c>
    </row>
    <row r="3285">
      <c r="A3285" s="9" t="s">
        <v>13833</v>
      </c>
      <c r="B3285" s="9" t="s">
        <v>13834</v>
      </c>
      <c r="G3285" s="6" t="s">
        <v>13834</v>
      </c>
      <c r="O3285" s="10">
        <f>IFERROR(__xludf.DUMMYFUNCTION("VALUE(REGEXEXTRACT(A3285, ""\d+""))"),4120.0)</f>
        <v>4120</v>
      </c>
    </row>
    <row r="3286">
      <c r="A3286" s="9" t="s">
        <v>13835</v>
      </c>
      <c r="B3286" s="9" t="s">
        <v>13836</v>
      </c>
      <c r="G3286" s="6" t="s">
        <v>13836</v>
      </c>
      <c r="O3286" s="10">
        <f>IFERROR(__xludf.DUMMYFUNCTION("VALUE(REGEXEXTRACT(A3286, ""\d+""))"),4121.0)</f>
        <v>4121</v>
      </c>
    </row>
    <row r="3287">
      <c r="A3287" s="9" t="s">
        <v>13837</v>
      </c>
      <c r="B3287" s="9" t="s">
        <v>13838</v>
      </c>
      <c r="G3287" s="6" t="s">
        <v>13839</v>
      </c>
      <c r="O3287" s="10">
        <f>IFERROR(__xludf.DUMMYFUNCTION("VALUE(REGEXEXTRACT(A3287, ""\d+""))"),4122.0)</f>
        <v>4122</v>
      </c>
    </row>
    <row r="3288">
      <c r="A3288" s="9" t="s">
        <v>13840</v>
      </c>
      <c r="B3288" s="9" t="s">
        <v>13841</v>
      </c>
      <c r="G3288" s="6" t="s">
        <v>13842</v>
      </c>
      <c r="O3288" s="10">
        <f>IFERROR(__xludf.DUMMYFUNCTION("VALUE(REGEXEXTRACT(A3288, ""\d+""))"),4123.0)</f>
        <v>4123</v>
      </c>
    </row>
    <row r="3289">
      <c r="A3289" s="9" t="s">
        <v>13843</v>
      </c>
      <c r="B3289" s="9" t="s">
        <v>13844</v>
      </c>
      <c r="G3289" s="6" t="s">
        <v>13845</v>
      </c>
      <c r="O3289" s="10">
        <f>IFERROR(__xludf.DUMMYFUNCTION("VALUE(REGEXEXTRACT(A3289, ""\d+""))"),4124.0)</f>
        <v>4124</v>
      </c>
    </row>
    <row r="3290">
      <c r="A3290" s="9" t="s">
        <v>13846</v>
      </c>
      <c r="B3290" s="9" t="s">
        <v>13847</v>
      </c>
      <c r="G3290" s="6" t="s">
        <v>13848</v>
      </c>
      <c r="O3290" s="10">
        <f>IFERROR(__xludf.DUMMYFUNCTION("VALUE(REGEXEXTRACT(A3290, ""\d+""))"),4125.0)</f>
        <v>4125</v>
      </c>
    </row>
    <row r="3291">
      <c r="A3291" s="9" t="s">
        <v>13849</v>
      </c>
      <c r="B3291" s="9" t="s">
        <v>13850</v>
      </c>
      <c r="G3291" s="6" t="s">
        <v>13851</v>
      </c>
      <c r="O3291" s="10">
        <f>IFERROR(__xludf.DUMMYFUNCTION("VALUE(REGEXEXTRACT(A3291, ""\d+""))"),4126.0)</f>
        <v>4126</v>
      </c>
    </row>
    <row r="3292">
      <c r="A3292" s="9" t="s">
        <v>13852</v>
      </c>
      <c r="B3292" s="9" t="s">
        <v>13853</v>
      </c>
      <c r="G3292" s="6" t="s">
        <v>13854</v>
      </c>
      <c r="O3292" s="10">
        <f>IFERROR(__xludf.DUMMYFUNCTION("VALUE(REGEXEXTRACT(A3292, ""\d+""))"),4127.0)</f>
        <v>4127</v>
      </c>
    </row>
    <row r="3293">
      <c r="A3293" s="9" t="s">
        <v>13855</v>
      </c>
      <c r="B3293" s="9" t="s">
        <v>13856</v>
      </c>
      <c r="G3293" s="6" t="s">
        <v>13857</v>
      </c>
      <c r="O3293" s="10">
        <f>IFERROR(__xludf.DUMMYFUNCTION("VALUE(REGEXEXTRACT(A3293, ""\d+""))"),4128.0)</f>
        <v>4128</v>
      </c>
    </row>
    <row r="3294">
      <c r="A3294" s="9" t="s">
        <v>13858</v>
      </c>
      <c r="B3294" s="9" t="s">
        <v>13859</v>
      </c>
      <c r="G3294" s="6" t="s">
        <v>13860</v>
      </c>
      <c r="O3294" s="10">
        <f>IFERROR(__xludf.DUMMYFUNCTION("VALUE(REGEXEXTRACT(A3294, ""\d+""))"),4131.0)</f>
        <v>4131</v>
      </c>
    </row>
    <row r="3295">
      <c r="A3295" s="9" t="s">
        <v>13861</v>
      </c>
      <c r="B3295" s="9" t="s">
        <v>13862</v>
      </c>
      <c r="G3295" s="6" t="s">
        <v>13863</v>
      </c>
      <c r="O3295" s="10">
        <f>IFERROR(__xludf.DUMMYFUNCTION("VALUE(REGEXEXTRACT(A3295, ""\d+""))"),4132.0)</f>
        <v>4132</v>
      </c>
    </row>
    <row r="3296">
      <c r="A3296" s="9" t="s">
        <v>13864</v>
      </c>
      <c r="B3296" s="9" t="s">
        <v>13865</v>
      </c>
      <c r="G3296" s="6" t="s">
        <v>13866</v>
      </c>
      <c r="O3296" s="10">
        <f>IFERROR(__xludf.DUMMYFUNCTION("VALUE(REGEXEXTRACT(A3296, ""\d+""))"),4133.0)</f>
        <v>4133</v>
      </c>
    </row>
    <row r="3297">
      <c r="A3297" s="9" t="s">
        <v>13867</v>
      </c>
      <c r="B3297" s="9" t="s">
        <v>13868</v>
      </c>
      <c r="G3297" s="6" t="s">
        <v>13869</v>
      </c>
      <c r="O3297" s="10">
        <f>IFERROR(__xludf.DUMMYFUNCTION("VALUE(REGEXEXTRACT(A3297, ""\d+""))"),4134.0)</f>
        <v>4134</v>
      </c>
    </row>
    <row r="3298">
      <c r="A3298" s="9" t="s">
        <v>13870</v>
      </c>
      <c r="B3298" s="9" t="s">
        <v>13871</v>
      </c>
      <c r="G3298" s="6" t="s">
        <v>13872</v>
      </c>
      <c r="O3298" s="10">
        <f>IFERROR(__xludf.DUMMYFUNCTION("VALUE(REGEXEXTRACT(A3298, ""\d+""))"),4135.0)</f>
        <v>4135</v>
      </c>
    </row>
    <row r="3299">
      <c r="A3299" s="9" t="s">
        <v>13873</v>
      </c>
      <c r="B3299" s="9" t="s">
        <v>13874</v>
      </c>
      <c r="G3299" s="6" t="s">
        <v>13875</v>
      </c>
      <c r="O3299" s="10">
        <f>IFERROR(__xludf.DUMMYFUNCTION("VALUE(REGEXEXTRACT(A3299, ""\d+""))"),4136.0)</f>
        <v>4136</v>
      </c>
    </row>
    <row r="3300">
      <c r="A3300" s="9" t="s">
        <v>13876</v>
      </c>
      <c r="B3300" s="9" t="s">
        <v>13877</v>
      </c>
      <c r="G3300" s="6" t="s">
        <v>13878</v>
      </c>
      <c r="O3300" s="10">
        <f>IFERROR(__xludf.DUMMYFUNCTION("VALUE(REGEXEXTRACT(A3300, ""\d+""))"),4137.0)</f>
        <v>4137</v>
      </c>
    </row>
    <row r="3301">
      <c r="A3301" s="9" t="s">
        <v>13879</v>
      </c>
      <c r="B3301" s="9" t="s">
        <v>13880</v>
      </c>
      <c r="G3301" s="6" t="s">
        <v>13881</v>
      </c>
      <c r="O3301" s="10">
        <f>IFERROR(__xludf.DUMMYFUNCTION("VALUE(REGEXEXTRACT(A3301, ""\d+""))"),4138.0)</f>
        <v>4138</v>
      </c>
    </row>
    <row r="3302">
      <c r="A3302" s="9" t="s">
        <v>13882</v>
      </c>
      <c r="B3302" s="9" t="s">
        <v>13883</v>
      </c>
      <c r="G3302" s="6" t="s">
        <v>13884</v>
      </c>
      <c r="O3302" s="10">
        <f>IFERROR(__xludf.DUMMYFUNCTION("VALUE(REGEXEXTRACT(A3302, ""\d+""))"),4139.0)</f>
        <v>4139</v>
      </c>
    </row>
    <row r="3303">
      <c r="A3303" s="9" t="s">
        <v>13885</v>
      </c>
      <c r="B3303" s="9" t="s">
        <v>13886</v>
      </c>
      <c r="G3303" s="6" t="s">
        <v>13887</v>
      </c>
      <c r="O3303" s="10">
        <f>IFERROR(__xludf.DUMMYFUNCTION("VALUE(REGEXEXTRACT(A3303, ""\d+""))"),4140.0)</f>
        <v>4140</v>
      </c>
    </row>
    <row r="3304">
      <c r="A3304" s="9" t="s">
        <v>13888</v>
      </c>
      <c r="B3304" s="9" t="s">
        <v>13889</v>
      </c>
      <c r="G3304" s="6" t="s">
        <v>13890</v>
      </c>
      <c r="O3304" s="10">
        <f>IFERROR(__xludf.DUMMYFUNCTION("VALUE(REGEXEXTRACT(A3304, ""\d+""))"),4141.0)</f>
        <v>4141</v>
      </c>
    </row>
    <row r="3305">
      <c r="A3305" s="9" t="s">
        <v>13891</v>
      </c>
      <c r="B3305" s="9" t="s">
        <v>13892</v>
      </c>
      <c r="G3305" s="6" t="s">
        <v>13893</v>
      </c>
      <c r="O3305" s="10">
        <f>IFERROR(__xludf.DUMMYFUNCTION("VALUE(REGEXEXTRACT(A3305, ""\d+""))"),4142.0)</f>
        <v>4142</v>
      </c>
    </row>
    <row r="3306">
      <c r="A3306" s="9" t="s">
        <v>13894</v>
      </c>
      <c r="B3306" s="9" t="s">
        <v>13895</v>
      </c>
      <c r="G3306" s="6" t="s">
        <v>13896</v>
      </c>
      <c r="O3306" s="10">
        <f>IFERROR(__xludf.DUMMYFUNCTION("VALUE(REGEXEXTRACT(A3306, ""\d+""))"),4143.0)</f>
        <v>4143</v>
      </c>
    </row>
    <row r="3307">
      <c r="A3307" s="9" t="s">
        <v>13897</v>
      </c>
      <c r="B3307" s="9" t="s">
        <v>13898</v>
      </c>
      <c r="G3307" s="6" t="s">
        <v>4309</v>
      </c>
      <c r="O3307" s="10">
        <f>IFERROR(__xludf.DUMMYFUNCTION("VALUE(REGEXEXTRACT(A3307, ""\d+""))"),4144.0)</f>
        <v>4144</v>
      </c>
    </row>
    <row r="3308">
      <c r="A3308" s="9" t="s">
        <v>13899</v>
      </c>
      <c r="B3308" s="9" t="s">
        <v>13900</v>
      </c>
      <c r="G3308" s="6" t="s">
        <v>13901</v>
      </c>
      <c r="O3308" s="10">
        <f>IFERROR(__xludf.DUMMYFUNCTION("VALUE(REGEXEXTRACT(A3308, ""\d+""))"),4145.0)</f>
        <v>4145</v>
      </c>
    </row>
    <row r="3309">
      <c r="A3309" s="9" t="s">
        <v>13902</v>
      </c>
      <c r="B3309" s="9" t="s">
        <v>13903</v>
      </c>
      <c r="G3309" s="6" t="s">
        <v>13903</v>
      </c>
      <c r="O3309" s="10">
        <f>IFERROR(__xludf.DUMMYFUNCTION("VALUE(REGEXEXTRACT(A3309, ""\d+""))"),4146.0)</f>
        <v>4146</v>
      </c>
    </row>
    <row r="3310">
      <c r="A3310" s="9" t="s">
        <v>13904</v>
      </c>
      <c r="B3310" s="9" t="s">
        <v>13905</v>
      </c>
      <c r="G3310" s="6" t="s">
        <v>13906</v>
      </c>
      <c r="O3310" s="10">
        <f>IFERROR(__xludf.DUMMYFUNCTION("VALUE(REGEXEXTRACT(A3310, ""\d+""))"),4147.0)</f>
        <v>4147</v>
      </c>
    </row>
    <row r="3311">
      <c r="A3311" s="9" t="s">
        <v>13907</v>
      </c>
      <c r="B3311" s="9" t="s">
        <v>13908</v>
      </c>
      <c r="G3311" s="6" t="s">
        <v>13909</v>
      </c>
      <c r="O3311" s="10">
        <f>IFERROR(__xludf.DUMMYFUNCTION("VALUE(REGEXEXTRACT(A3311, ""\d+""))"),4148.0)</f>
        <v>4148</v>
      </c>
    </row>
    <row r="3312">
      <c r="A3312" s="9" t="s">
        <v>13910</v>
      </c>
      <c r="B3312" s="9" t="s">
        <v>13911</v>
      </c>
      <c r="G3312" s="6" t="s">
        <v>13912</v>
      </c>
      <c r="O3312" s="10">
        <f>IFERROR(__xludf.DUMMYFUNCTION("VALUE(REGEXEXTRACT(A3312, ""\d+""))"),4149.0)</f>
        <v>4149</v>
      </c>
    </row>
    <row r="3313">
      <c r="A3313" s="9" t="s">
        <v>13913</v>
      </c>
      <c r="B3313" s="9" t="s">
        <v>13914</v>
      </c>
      <c r="G3313" s="6" t="s">
        <v>13915</v>
      </c>
      <c r="O3313" s="10">
        <f>IFERROR(__xludf.DUMMYFUNCTION("VALUE(REGEXEXTRACT(A3313, ""\d+""))"),4151.0)</f>
        <v>4151</v>
      </c>
    </row>
    <row r="3314">
      <c r="A3314" s="9" t="s">
        <v>13916</v>
      </c>
      <c r="B3314" s="9" t="s">
        <v>13917</v>
      </c>
      <c r="G3314" s="6" t="s">
        <v>13917</v>
      </c>
      <c r="O3314" s="10">
        <f>IFERROR(__xludf.DUMMYFUNCTION("VALUE(REGEXEXTRACT(A3314, ""\d+""))"),4152.0)</f>
        <v>4152</v>
      </c>
    </row>
    <row r="3315">
      <c r="A3315" s="9" t="s">
        <v>13918</v>
      </c>
      <c r="B3315" s="9" t="s">
        <v>13919</v>
      </c>
      <c r="G3315" s="6" t="s">
        <v>13920</v>
      </c>
      <c r="O3315" s="10">
        <f>IFERROR(__xludf.DUMMYFUNCTION("VALUE(REGEXEXTRACT(A3315, ""\d+""))"),4153.0)</f>
        <v>4153</v>
      </c>
    </row>
    <row r="3316">
      <c r="A3316" s="9" t="s">
        <v>13921</v>
      </c>
      <c r="B3316" s="9" t="s">
        <v>13922</v>
      </c>
      <c r="G3316" s="6" t="s">
        <v>13923</v>
      </c>
      <c r="O3316" s="10">
        <f>IFERROR(__xludf.DUMMYFUNCTION("VALUE(REGEXEXTRACT(A3316, ""\d+""))"),4154.0)</f>
        <v>4154</v>
      </c>
    </row>
    <row r="3317">
      <c r="A3317" s="9" t="s">
        <v>13924</v>
      </c>
      <c r="B3317" s="9" t="s">
        <v>13925</v>
      </c>
      <c r="G3317" s="6" t="s">
        <v>13926</v>
      </c>
      <c r="O3317" s="10">
        <f>IFERROR(__xludf.DUMMYFUNCTION("VALUE(REGEXEXTRACT(A3317, ""\d+""))"),4156.0)</f>
        <v>4156</v>
      </c>
    </row>
    <row r="3318">
      <c r="A3318" s="9" t="s">
        <v>13927</v>
      </c>
      <c r="B3318" s="9" t="s">
        <v>13928</v>
      </c>
      <c r="G3318" s="6" t="s">
        <v>13929</v>
      </c>
      <c r="O3318" s="10">
        <f>IFERROR(__xludf.DUMMYFUNCTION("VALUE(REGEXEXTRACT(A3318, ""\d+""))"),4157.0)</f>
        <v>4157</v>
      </c>
    </row>
    <row r="3319">
      <c r="A3319" s="9" t="s">
        <v>13930</v>
      </c>
      <c r="B3319" s="9" t="s">
        <v>13931</v>
      </c>
      <c r="G3319" s="6" t="s">
        <v>13932</v>
      </c>
      <c r="O3319" s="10">
        <f>IFERROR(__xludf.DUMMYFUNCTION("VALUE(REGEXEXTRACT(A3319, ""\d+""))"),4158.0)</f>
        <v>4158</v>
      </c>
    </row>
    <row r="3320">
      <c r="A3320" s="9" t="s">
        <v>13933</v>
      </c>
      <c r="B3320" s="9" t="s">
        <v>13934</v>
      </c>
      <c r="G3320" s="6" t="s">
        <v>13935</v>
      </c>
      <c r="O3320" s="10">
        <f>IFERROR(__xludf.DUMMYFUNCTION("VALUE(REGEXEXTRACT(A3320, ""\d+""))"),4159.0)</f>
        <v>4159</v>
      </c>
    </row>
    <row r="3321">
      <c r="A3321" s="9" t="s">
        <v>13936</v>
      </c>
      <c r="B3321" s="9" t="s">
        <v>13937</v>
      </c>
      <c r="G3321" s="6" t="s">
        <v>13938</v>
      </c>
      <c r="O3321" s="10">
        <f>IFERROR(__xludf.DUMMYFUNCTION("VALUE(REGEXEXTRACT(A3321, ""\d+""))"),4160.0)</f>
        <v>4160</v>
      </c>
    </row>
    <row r="3322">
      <c r="A3322" s="9" t="s">
        <v>13939</v>
      </c>
      <c r="B3322" s="9" t="s">
        <v>13940</v>
      </c>
      <c r="G3322" s="6" t="s">
        <v>13941</v>
      </c>
      <c r="O3322" s="10">
        <f>IFERROR(__xludf.DUMMYFUNCTION("VALUE(REGEXEXTRACT(A3322, ""\d+""))"),4161.0)</f>
        <v>4161</v>
      </c>
    </row>
    <row r="3323">
      <c r="A3323" s="9" t="s">
        <v>13942</v>
      </c>
      <c r="B3323" s="9" t="s">
        <v>13943</v>
      </c>
      <c r="G3323" s="6" t="s">
        <v>13944</v>
      </c>
      <c r="O3323" s="10">
        <f>IFERROR(__xludf.DUMMYFUNCTION("VALUE(REGEXEXTRACT(A3323, ""\d+""))"),4162.0)</f>
        <v>4162</v>
      </c>
    </row>
    <row r="3324">
      <c r="A3324" s="9" t="s">
        <v>13945</v>
      </c>
      <c r="B3324" s="9" t="s">
        <v>13946</v>
      </c>
      <c r="G3324" s="6" t="s">
        <v>13947</v>
      </c>
      <c r="O3324" s="10">
        <f>IFERROR(__xludf.DUMMYFUNCTION("VALUE(REGEXEXTRACT(A3324, ""\d+""))"),4163.0)</f>
        <v>4163</v>
      </c>
    </row>
    <row r="3325">
      <c r="A3325" s="9" t="s">
        <v>13948</v>
      </c>
      <c r="B3325" s="9" t="s">
        <v>13949</v>
      </c>
      <c r="G3325" s="6" t="s">
        <v>13950</v>
      </c>
      <c r="O3325" s="10">
        <f>IFERROR(__xludf.DUMMYFUNCTION("VALUE(REGEXEXTRACT(A3325, ""\d+""))"),4164.0)</f>
        <v>4164</v>
      </c>
    </row>
    <row r="3326">
      <c r="A3326" s="9" t="s">
        <v>13951</v>
      </c>
      <c r="B3326" s="9" t="s">
        <v>13952</v>
      </c>
      <c r="G3326" s="6" t="s">
        <v>13953</v>
      </c>
      <c r="O3326" s="10">
        <f>IFERROR(__xludf.DUMMYFUNCTION("VALUE(REGEXEXTRACT(A3326, ""\d+""))"),4165.0)</f>
        <v>4165</v>
      </c>
    </row>
    <row r="3327">
      <c r="A3327" s="9" t="s">
        <v>13954</v>
      </c>
      <c r="B3327" s="9" t="s">
        <v>13955</v>
      </c>
      <c r="G3327" s="6" t="s">
        <v>13956</v>
      </c>
      <c r="O3327" s="10">
        <f>IFERROR(__xludf.DUMMYFUNCTION("VALUE(REGEXEXTRACT(A3327, ""\d+""))"),4166.0)</f>
        <v>4166</v>
      </c>
    </row>
    <row r="3328">
      <c r="A3328" s="9" t="s">
        <v>13957</v>
      </c>
      <c r="B3328" s="9" t="s">
        <v>13958</v>
      </c>
      <c r="G3328" s="6" t="s">
        <v>13959</v>
      </c>
      <c r="O3328" s="10">
        <f>IFERROR(__xludf.DUMMYFUNCTION("VALUE(REGEXEXTRACT(A3328, ""\d+""))"),4167.0)</f>
        <v>4167</v>
      </c>
    </row>
    <row r="3329">
      <c r="A3329" s="9" t="s">
        <v>13960</v>
      </c>
      <c r="B3329" s="9" t="s">
        <v>13961</v>
      </c>
      <c r="G3329" s="6" t="s">
        <v>13962</v>
      </c>
      <c r="O3329" s="10">
        <f>IFERROR(__xludf.DUMMYFUNCTION("VALUE(REGEXEXTRACT(A3329, ""\d+""))"),4168.0)</f>
        <v>4168</v>
      </c>
    </row>
    <row r="3330">
      <c r="A3330" s="9" t="s">
        <v>13963</v>
      </c>
      <c r="B3330" s="9" t="s">
        <v>13964</v>
      </c>
      <c r="G3330" s="6" t="s">
        <v>13965</v>
      </c>
      <c r="O3330" s="10">
        <f>IFERROR(__xludf.DUMMYFUNCTION("VALUE(REGEXEXTRACT(A3330, ""\d+""))"),4169.0)</f>
        <v>4169</v>
      </c>
    </row>
    <row r="3331">
      <c r="A3331" s="9" t="s">
        <v>13966</v>
      </c>
      <c r="B3331" s="9" t="s">
        <v>13967</v>
      </c>
      <c r="G3331" s="6" t="s">
        <v>13968</v>
      </c>
      <c r="O3331" s="10">
        <f>IFERROR(__xludf.DUMMYFUNCTION("VALUE(REGEXEXTRACT(A3331, ""\d+""))"),4170.0)</f>
        <v>4170</v>
      </c>
    </row>
    <row r="3332">
      <c r="A3332" s="9" t="s">
        <v>13969</v>
      </c>
      <c r="B3332" s="9" t="s">
        <v>13970</v>
      </c>
      <c r="G3332" s="6" t="s">
        <v>13971</v>
      </c>
      <c r="O3332" s="10">
        <f>IFERROR(__xludf.DUMMYFUNCTION("VALUE(REGEXEXTRACT(A3332, ""\d+""))"),4171.0)</f>
        <v>4171</v>
      </c>
    </row>
    <row r="3333">
      <c r="A3333" s="9" t="s">
        <v>13972</v>
      </c>
      <c r="B3333" s="9" t="s">
        <v>13973</v>
      </c>
      <c r="G3333" s="6" t="s">
        <v>13974</v>
      </c>
      <c r="O3333" s="10">
        <f>IFERROR(__xludf.DUMMYFUNCTION("VALUE(REGEXEXTRACT(A3333, ""\d+""))"),4172.0)</f>
        <v>4172</v>
      </c>
    </row>
    <row r="3334">
      <c r="A3334" s="9" t="s">
        <v>13975</v>
      </c>
      <c r="B3334" s="9" t="s">
        <v>13976</v>
      </c>
      <c r="G3334" s="6" t="s">
        <v>13977</v>
      </c>
      <c r="O3334" s="10">
        <f>IFERROR(__xludf.DUMMYFUNCTION("VALUE(REGEXEXTRACT(A3334, ""\d+""))"),4173.0)</f>
        <v>4173</v>
      </c>
    </row>
    <row r="3335">
      <c r="A3335" s="9" t="s">
        <v>13978</v>
      </c>
      <c r="B3335" s="9" t="s">
        <v>13979</v>
      </c>
      <c r="G3335" s="6" t="s">
        <v>13980</v>
      </c>
      <c r="O3335" s="10">
        <f>IFERROR(__xludf.DUMMYFUNCTION("VALUE(REGEXEXTRACT(A3335, ""\d+""))"),4174.0)</f>
        <v>4174</v>
      </c>
    </row>
    <row r="3336">
      <c r="A3336" s="9" t="s">
        <v>13981</v>
      </c>
      <c r="B3336" s="9" t="s">
        <v>13982</v>
      </c>
      <c r="G3336" s="6" t="s">
        <v>13982</v>
      </c>
      <c r="O3336" s="10">
        <f>IFERROR(__xludf.DUMMYFUNCTION("VALUE(REGEXEXTRACT(A3336, ""\d+""))"),4175.0)</f>
        <v>4175</v>
      </c>
    </row>
    <row r="3337">
      <c r="A3337" s="9" t="s">
        <v>13983</v>
      </c>
      <c r="B3337" s="9" t="s">
        <v>13984</v>
      </c>
      <c r="G3337" s="6" t="s">
        <v>13984</v>
      </c>
      <c r="O3337" s="10">
        <f>IFERROR(__xludf.DUMMYFUNCTION("VALUE(REGEXEXTRACT(A3337, ""\d+""))"),4176.0)</f>
        <v>4176</v>
      </c>
    </row>
    <row r="3338">
      <c r="A3338" s="9" t="s">
        <v>13985</v>
      </c>
      <c r="B3338" s="9" t="s">
        <v>13986</v>
      </c>
      <c r="G3338" s="6" t="s">
        <v>13986</v>
      </c>
      <c r="O3338" s="10">
        <f>IFERROR(__xludf.DUMMYFUNCTION("VALUE(REGEXEXTRACT(A3338, ""\d+""))"),4177.0)</f>
        <v>4177</v>
      </c>
    </row>
    <row r="3339">
      <c r="A3339" s="9" t="s">
        <v>13987</v>
      </c>
      <c r="B3339" s="9" t="s">
        <v>13988</v>
      </c>
      <c r="G3339" s="6" t="s">
        <v>13989</v>
      </c>
      <c r="O3339" s="10">
        <f>IFERROR(__xludf.DUMMYFUNCTION("VALUE(REGEXEXTRACT(A3339, ""\d+""))"),4178.0)</f>
        <v>4178</v>
      </c>
    </row>
    <row r="3340">
      <c r="A3340" s="9" t="s">
        <v>13990</v>
      </c>
      <c r="B3340" s="9" t="s">
        <v>13991</v>
      </c>
      <c r="G3340" s="6" t="s">
        <v>13992</v>
      </c>
      <c r="O3340" s="10">
        <f>IFERROR(__xludf.DUMMYFUNCTION("VALUE(REGEXEXTRACT(A3340, ""\d+""))"),4179.0)</f>
        <v>4179</v>
      </c>
    </row>
    <row r="3341">
      <c r="A3341" s="9" t="s">
        <v>13993</v>
      </c>
      <c r="B3341" s="9" t="s">
        <v>13994</v>
      </c>
      <c r="G3341" s="6" t="s">
        <v>13994</v>
      </c>
      <c r="O3341" s="10">
        <f>IFERROR(__xludf.DUMMYFUNCTION("VALUE(REGEXEXTRACT(A3341, ""\d+""))"),4180.0)</f>
        <v>4180</v>
      </c>
    </row>
    <row r="3342">
      <c r="A3342" s="9" t="s">
        <v>13995</v>
      </c>
      <c r="B3342" s="9" t="s">
        <v>13996</v>
      </c>
      <c r="G3342" s="6" t="s">
        <v>13996</v>
      </c>
      <c r="O3342" s="10">
        <f>IFERROR(__xludf.DUMMYFUNCTION("VALUE(REGEXEXTRACT(A3342, ""\d+""))"),4181.0)</f>
        <v>4181</v>
      </c>
    </row>
    <row r="3343">
      <c r="A3343" s="9" t="s">
        <v>13997</v>
      </c>
      <c r="B3343" s="9" t="s">
        <v>13998</v>
      </c>
      <c r="G3343" s="6" t="s">
        <v>13998</v>
      </c>
      <c r="O3343" s="10">
        <f>IFERROR(__xludf.DUMMYFUNCTION("VALUE(REGEXEXTRACT(A3343, ""\d+""))"),4182.0)</f>
        <v>4182</v>
      </c>
    </row>
    <row r="3344">
      <c r="A3344" s="9" t="s">
        <v>13999</v>
      </c>
      <c r="B3344" s="9" t="s">
        <v>14000</v>
      </c>
      <c r="G3344" s="6" t="s">
        <v>14000</v>
      </c>
      <c r="O3344" s="10">
        <f>IFERROR(__xludf.DUMMYFUNCTION("VALUE(REGEXEXTRACT(A3344, ""\d+""))"),4183.0)</f>
        <v>4183</v>
      </c>
    </row>
    <row r="3345">
      <c r="A3345" s="9" t="s">
        <v>14001</v>
      </c>
      <c r="B3345" s="9" t="s">
        <v>14002</v>
      </c>
      <c r="G3345" s="6" t="s">
        <v>14003</v>
      </c>
      <c r="O3345" s="10">
        <f>IFERROR(__xludf.DUMMYFUNCTION("VALUE(REGEXEXTRACT(A3345, ""\d+""))"),4184.0)</f>
        <v>4184</v>
      </c>
    </row>
    <row r="3346">
      <c r="A3346" s="9" t="s">
        <v>14004</v>
      </c>
      <c r="B3346" s="9" t="s">
        <v>14005</v>
      </c>
      <c r="G3346" s="6" t="s">
        <v>14006</v>
      </c>
      <c r="O3346" s="10">
        <f>IFERROR(__xludf.DUMMYFUNCTION("VALUE(REGEXEXTRACT(A3346, ""\d+""))"),4185.0)</f>
        <v>4185</v>
      </c>
    </row>
    <row r="3347">
      <c r="A3347" s="9" t="s">
        <v>14007</v>
      </c>
      <c r="B3347" s="9" t="s">
        <v>14008</v>
      </c>
      <c r="G3347" s="6" t="s">
        <v>14009</v>
      </c>
      <c r="O3347" s="10">
        <f>IFERROR(__xludf.DUMMYFUNCTION("VALUE(REGEXEXTRACT(A3347, ""\d+""))"),4186.0)</f>
        <v>4186</v>
      </c>
    </row>
    <row r="3348">
      <c r="A3348" s="9" t="s">
        <v>14010</v>
      </c>
      <c r="B3348" s="9" t="s">
        <v>14011</v>
      </c>
      <c r="G3348" s="6" t="s">
        <v>14012</v>
      </c>
      <c r="O3348" s="10">
        <f>IFERROR(__xludf.DUMMYFUNCTION("VALUE(REGEXEXTRACT(A3348, ""\d+""))"),4187.0)</f>
        <v>4187</v>
      </c>
    </row>
    <row r="3349">
      <c r="A3349" s="9" t="s">
        <v>14013</v>
      </c>
      <c r="B3349" s="9" t="s">
        <v>14014</v>
      </c>
      <c r="G3349" s="6" t="s">
        <v>14015</v>
      </c>
      <c r="O3349" s="10">
        <f>IFERROR(__xludf.DUMMYFUNCTION("VALUE(REGEXEXTRACT(A3349, ""\d+""))"),4188.0)</f>
        <v>4188</v>
      </c>
    </row>
    <row r="3350">
      <c r="A3350" s="9" t="s">
        <v>14016</v>
      </c>
      <c r="B3350" s="9" t="s">
        <v>14017</v>
      </c>
      <c r="G3350" s="6" t="s">
        <v>14017</v>
      </c>
      <c r="O3350" s="10">
        <f>IFERROR(__xludf.DUMMYFUNCTION("VALUE(REGEXEXTRACT(A3350, ""\d+""))"),4189.0)</f>
        <v>4189</v>
      </c>
    </row>
    <row r="3351">
      <c r="A3351" s="9" t="s">
        <v>14018</v>
      </c>
      <c r="B3351" s="9" t="s">
        <v>14019</v>
      </c>
      <c r="G3351" s="6" t="s">
        <v>14020</v>
      </c>
      <c r="O3351" s="10">
        <f>IFERROR(__xludf.DUMMYFUNCTION("VALUE(REGEXEXTRACT(A3351, ""\d+""))"),4190.0)</f>
        <v>4190</v>
      </c>
    </row>
    <row r="3352">
      <c r="A3352" s="9" t="s">
        <v>14021</v>
      </c>
      <c r="B3352" s="9" t="s">
        <v>14022</v>
      </c>
      <c r="G3352" s="6" t="s">
        <v>14023</v>
      </c>
      <c r="O3352" s="10">
        <f>IFERROR(__xludf.DUMMYFUNCTION("VALUE(REGEXEXTRACT(A3352, ""\d+""))"),4191.0)</f>
        <v>4191</v>
      </c>
    </row>
    <row r="3353">
      <c r="A3353" s="9" t="s">
        <v>14024</v>
      </c>
      <c r="B3353" s="9" t="s">
        <v>14025</v>
      </c>
      <c r="G3353" s="6" t="s">
        <v>14026</v>
      </c>
      <c r="O3353" s="10">
        <f>IFERROR(__xludf.DUMMYFUNCTION("VALUE(REGEXEXTRACT(A3353, ""\d+""))"),4192.0)</f>
        <v>4192</v>
      </c>
    </row>
    <row r="3354">
      <c r="A3354" s="9" t="s">
        <v>14027</v>
      </c>
      <c r="B3354" s="9" t="s">
        <v>14028</v>
      </c>
      <c r="G3354" s="6" t="s">
        <v>14029</v>
      </c>
      <c r="O3354" s="10">
        <f>IFERROR(__xludf.DUMMYFUNCTION("VALUE(REGEXEXTRACT(A3354, ""\d+""))"),4193.0)</f>
        <v>4193</v>
      </c>
    </row>
    <row r="3355">
      <c r="A3355" s="9" t="s">
        <v>14030</v>
      </c>
      <c r="B3355" s="9" t="s">
        <v>14031</v>
      </c>
      <c r="G3355" s="6" t="s">
        <v>4709</v>
      </c>
      <c r="O3355" s="10">
        <f>IFERROR(__xludf.DUMMYFUNCTION("VALUE(REGEXEXTRACT(A3355, ""\d+""))"),4194.0)</f>
        <v>4194</v>
      </c>
    </row>
    <row r="3356">
      <c r="A3356" s="9" t="s">
        <v>14032</v>
      </c>
      <c r="B3356" s="9" t="s">
        <v>14033</v>
      </c>
      <c r="G3356" s="6" t="s">
        <v>14034</v>
      </c>
      <c r="O3356" s="10">
        <f>IFERROR(__xludf.DUMMYFUNCTION("VALUE(REGEXEXTRACT(A3356, ""\d+""))"),4199.0)</f>
        <v>4199</v>
      </c>
    </row>
    <row r="3357">
      <c r="A3357" s="9" t="s">
        <v>14035</v>
      </c>
      <c r="B3357" s="9" t="s">
        <v>14036</v>
      </c>
      <c r="G3357" s="6" t="s">
        <v>14037</v>
      </c>
      <c r="O3357" s="10">
        <f>IFERROR(__xludf.DUMMYFUNCTION("VALUE(REGEXEXTRACT(A3357, ""\d+""))"),4200.0)</f>
        <v>4200</v>
      </c>
    </row>
    <row r="3358">
      <c r="A3358" s="9" t="s">
        <v>14038</v>
      </c>
      <c r="B3358" s="9" t="s">
        <v>14039</v>
      </c>
      <c r="G3358" s="6" t="s">
        <v>14040</v>
      </c>
      <c r="O3358" s="10">
        <f>IFERROR(__xludf.DUMMYFUNCTION("VALUE(REGEXEXTRACT(A3358, ""\d+""))"),4201.0)</f>
        <v>4201</v>
      </c>
    </row>
    <row r="3359">
      <c r="A3359" s="9" t="s">
        <v>14041</v>
      </c>
      <c r="B3359" s="9" t="s">
        <v>14042</v>
      </c>
      <c r="G3359" s="6" t="s">
        <v>14043</v>
      </c>
      <c r="O3359" s="10">
        <f>IFERROR(__xludf.DUMMYFUNCTION("VALUE(REGEXEXTRACT(A3359, ""\d+""))"),4202.0)</f>
        <v>4202</v>
      </c>
    </row>
    <row r="3360">
      <c r="A3360" s="9" t="s">
        <v>14044</v>
      </c>
      <c r="B3360" s="9" t="s">
        <v>14045</v>
      </c>
      <c r="G3360" s="6" t="s">
        <v>14046</v>
      </c>
      <c r="O3360" s="10">
        <f>IFERROR(__xludf.DUMMYFUNCTION("VALUE(REGEXEXTRACT(A3360, ""\d+""))"),4203.0)</f>
        <v>4203</v>
      </c>
    </row>
    <row r="3361">
      <c r="A3361" s="9" t="s">
        <v>14047</v>
      </c>
      <c r="B3361" s="9" t="s">
        <v>14048</v>
      </c>
      <c r="G3361" s="6" t="s">
        <v>14049</v>
      </c>
      <c r="O3361" s="10">
        <f>IFERROR(__xludf.DUMMYFUNCTION("VALUE(REGEXEXTRACT(A3361, ""\d+""))"),4204.0)</f>
        <v>4204</v>
      </c>
    </row>
    <row r="3362">
      <c r="A3362" s="9" t="s">
        <v>14050</v>
      </c>
      <c r="B3362" s="9" t="s">
        <v>14051</v>
      </c>
      <c r="G3362" s="6" t="s">
        <v>14052</v>
      </c>
      <c r="O3362" s="10">
        <f>IFERROR(__xludf.DUMMYFUNCTION("VALUE(REGEXEXTRACT(A3362, ""\d+""))"),4205.0)</f>
        <v>4205</v>
      </c>
    </row>
    <row r="3363">
      <c r="A3363" s="9" t="s">
        <v>14053</v>
      </c>
      <c r="B3363" s="9" t="s">
        <v>14054</v>
      </c>
      <c r="G3363" s="6" t="s">
        <v>14055</v>
      </c>
      <c r="O3363" s="10">
        <f>IFERROR(__xludf.DUMMYFUNCTION("VALUE(REGEXEXTRACT(A3363, ""\d+""))"),4206.0)</f>
        <v>4206</v>
      </c>
    </row>
    <row r="3364">
      <c r="A3364" s="9" t="s">
        <v>14056</v>
      </c>
      <c r="B3364" s="9" t="s">
        <v>14057</v>
      </c>
      <c r="G3364" s="6" t="s">
        <v>14058</v>
      </c>
      <c r="O3364" s="10">
        <f>IFERROR(__xludf.DUMMYFUNCTION("VALUE(REGEXEXTRACT(A3364, ""\d+""))"),4207.0)</f>
        <v>4207</v>
      </c>
    </row>
    <row r="3365">
      <c r="A3365" s="9" t="s">
        <v>14059</v>
      </c>
      <c r="B3365" s="9" t="s">
        <v>14060</v>
      </c>
      <c r="G3365" s="6" t="s">
        <v>14061</v>
      </c>
      <c r="O3365" s="10">
        <f>IFERROR(__xludf.DUMMYFUNCTION("VALUE(REGEXEXTRACT(A3365, ""\d+""))"),4208.0)</f>
        <v>4208</v>
      </c>
    </row>
    <row r="3366">
      <c r="A3366" s="9" t="s">
        <v>14062</v>
      </c>
      <c r="B3366" s="9" t="s">
        <v>14063</v>
      </c>
      <c r="G3366" s="6" t="s">
        <v>14064</v>
      </c>
      <c r="O3366" s="10">
        <f>IFERROR(__xludf.DUMMYFUNCTION("VALUE(REGEXEXTRACT(A3366, ""\d+""))"),4209.0)</f>
        <v>4209</v>
      </c>
    </row>
    <row r="3367">
      <c r="A3367" s="9" t="s">
        <v>14065</v>
      </c>
      <c r="B3367" s="9" t="s">
        <v>14066</v>
      </c>
      <c r="G3367" s="6" t="s">
        <v>14067</v>
      </c>
      <c r="O3367" s="10">
        <f>IFERROR(__xludf.DUMMYFUNCTION("VALUE(REGEXEXTRACT(A3367, ""\d+""))"),4210.0)</f>
        <v>4210</v>
      </c>
    </row>
    <row r="3368">
      <c r="A3368" s="9" t="s">
        <v>14068</v>
      </c>
      <c r="B3368" s="9" t="s">
        <v>14069</v>
      </c>
      <c r="G3368" s="6" t="s">
        <v>14070</v>
      </c>
      <c r="O3368" s="10">
        <f>IFERROR(__xludf.DUMMYFUNCTION("VALUE(REGEXEXTRACT(A3368, ""\d+""))"),4211.0)</f>
        <v>4211</v>
      </c>
    </row>
    <row r="3369">
      <c r="A3369" s="9" t="s">
        <v>14071</v>
      </c>
      <c r="B3369" s="9" t="s">
        <v>14072</v>
      </c>
      <c r="G3369" s="6" t="s">
        <v>14073</v>
      </c>
      <c r="O3369" s="10">
        <f>IFERROR(__xludf.DUMMYFUNCTION("VALUE(REGEXEXTRACT(A3369, ""\d+""))"),4213.0)</f>
        <v>4213</v>
      </c>
    </row>
    <row r="3370">
      <c r="A3370" s="9" t="s">
        <v>14074</v>
      </c>
      <c r="B3370" s="9" t="s">
        <v>14075</v>
      </c>
      <c r="G3370" s="6" t="s">
        <v>14076</v>
      </c>
      <c r="O3370" s="10">
        <f>IFERROR(__xludf.DUMMYFUNCTION("VALUE(REGEXEXTRACT(A3370, ""\d+""))"),4214.0)</f>
        <v>4214</v>
      </c>
    </row>
    <row r="3371">
      <c r="A3371" s="9" t="s">
        <v>14077</v>
      </c>
      <c r="B3371" s="9" t="s">
        <v>14078</v>
      </c>
      <c r="G3371" s="6" t="s">
        <v>14079</v>
      </c>
      <c r="O3371" s="10">
        <f>IFERROR(__xludf.DUMMYFUNCTION("VALUE(REGEXEXTRACT(A3371, ""\d+""))"),4215.0)</f>
        <v>4215</v>
      </c>
    </row>
    <row r="3372">
      <c r="A3372" s="9" t="s">
        <v>14080</v>
      </c>
      <c r="B3372" s="9" t="s">
        <v>14081</v>
      </c>
      <c r="G3372" s="6" t="s">
        <v>14082</v>
      </c>
      <c r="O3372" s="10">
        <f>IFERROR(__xludf.DUMMYFUNCTION("VALUE(REGEXEXTRACT(A3372, ""\d+""))"),4216.0)</f>
        <v>4216</v>
      </c>
    </row>
    <row r="3373">
      <c r="A3373" s="9" t="s">
        <v>14083</v>
      </c>
      <c r="B3373" s="9" t="s">
        <v>14084</v>
      </c>
      <c r="G3373" s="6" t="s">
        <v>14085</v>
      </c>
      <c r="O3373" s="10">
        <f>IFERROR(__xludf.DUMMYFUNCTION("VALUE(REGEXEXTRACT(A3373, ""\d+""))"),4217.0)</f>
        <v>4217</v>
      </c>
    </row>
    <row r="3374">
      <c r="A3374" s="9" t="s">
        <v>14086</v>
      </c>
      <c r="B3374" s="9" t="s">
        <v>14087</v>
      </c>
      <c r="G3374" s="6" t="s">
        <v>14088</v>
      </c>
      <c r="O3374" s="10">
        <f>IFERROR(__xludf.DUMMYFUNCTION("VALUE(REGEXEXTRACT(A3374, ""\d+""))"),4218.0)</f>
        <v>4218</v>
      </c>
    </row>
    <row r="3375">
      <c r="A3375" s="9" t="s">
        <v>14089</v>
      </c>
      <c r="B3375" s="9" t="s">
        <v>14090</v>
      </c>
      <c r="G3375" s="6" t="s">
        <v>14091</v>
      </c>
      <c r="O3375" s="10">
        <f>IFERROR(__xludf.DUMMYFUNCTION("VALUE(REGEXEXTRACT(A3375, ""\d+""))"),4219.0)</f>
        <v>4219</v>
      </c>
    </row>
    <row r="3376">
      <c r="A3376" s="9" t="s">
        <v>14092</v>
      </c>
      <c r="B3376" s="9" t="s">
        <v>14093</v>
      </c>
      <c r="G3376" s="6" t="s">
        <v>14094</v>
      </c>
      <c r="O3376" s="10">
        <f>IFERROR(__xludf.DUMMYFUNCTION("VALUE(REGEXEXTRACT(A3376, ""\d+""))"),4220.0)</f>
        <v>4220</v>
      </c>
    </row>
    <row r="3377">
      <c r="A3377" s="9" t="s">
        <v>14095</v>
      </c>
      <c r="B3377" s="9" t="s">
        <v>14096</v>
      </c>
      <c r="G3377" s="6" t="s">
        <v>14097</v>
      </c>
      <c r="O3377" s="10">
        <f>IFERROR(__xludf.DUMMYFUNCTION("VALUE(REGEXEXTRACT(A3377, ""\d+""))"),4221.0)</f>
        <v>4221</v>
      </c>
    </row>
    <row r="3378">
      <c r="A3378" s="9" t="s">
        <v>14098</v>
      </c>
      <c r="B3378" s="9" t="s">
        <v>14099</v>
      </c>
      <c r="G3378" s="6" t="s">
        <v>14100</v>
      </c>
      <c r="O3378" s="10">
        <f>IFERROR(__xludf.DUMMYFUNCTION("VALUE(REGEXEXTRACT(A3378, ""\d+""))"),4222.0)</f>
        <v>4222</v>
      </c>
    </row>
    <row r="3379">
      <c r="A3379" s="9" t="s">
        <v>14101</v>
      </c>
      <c r="B3379" s="9" t="s">
        <v>14102</v>
      </c>
      <c r="G3379" s="6" t="s">
        <v>14103</v>
      </c>
      <c r="O3379" s="10">
        <f>IFERROR(__xludf.DUMMYFUNCTION("VALUE(REGEXEXTRACT(A3379, ""\d+""))"),4223.0)</f>
        <v>4223</v>
      </c>
    </row>
    <row r="3380">
      <c r="A3380" s="9" t="s">
        <v>14104</v>
      </c>
      <c r="B3380" s="9" t="s">
        <v>14105</v>
      </c>
      <c r="G3380" s="6" t="s">
        <v>14106</v>
      </c>
      <c r="O3380" s="10">
        <f>IFERROR(__xludf.DUMMYFUNCTION("VALUE(REGEXEXTRACT(A3380, ""\d+""))"),4224.0)</f>
        <v>4224</v>
      </c>
    </row>
    <row r="3381">
      <c r="A3381" s="9" t="s">
        <v>14107</v>
      </c>
      <c r="B3381" s="9" t="s">
        <v>14108</v>
      </c>
      <c r="G3381" s="6" t="s">
        <v>14109</v>
      </c>
      <c r="O3381" s="10">
        <f>IFERROR(__xludf.DUMMYFUNCTION("VALUE(REGEXEXTRACT(A3381, ""\d+""))"),4225.0)</f>
        <v>4225</v>
      </c>
    </row>
    <row r="3382">
      <c r="A3382" s="9" t="s">
        <v>14110</v>
      </c>
      <c r="B3382" s="9" t="s">
        <v>14111</v>
      </c>
      <c r="G3382" s="6" t="s">
        <v>14112</v>
      </c>
      <c r="O3382" s="10">
        <f>IFERROR(__xludf.DUMMYFUNCTION("VALUE(REGEXEXTRACT(A3382, ""\d+""))"),4226.0)</f>
        <v>4226</v>
      </c>
    </row>
    <row r="3383">
      <c r="A3383" s="9" t="s">
        <v>14113</v>
      </c>
      <c r="B3383" s="9" t="s">
        <v>14114</v>
      </c>
      <c r="D3383" s="9" t="s">
        <v>14115</v>
      </c>
      <c r="G3383" s="6" t="s">
        <v>14116</v>
      </c>
      <c r="J3383" s="9" t="s">
        <v>14117</v>
      </c>
      <c r="O3383" s="10">
        <f>IFERROR(__xludf.DUMMYFUNCTION("VALUE(REGEXEXTRACT(A3383, ""\d+""))"),4234.0)</f>
        <v>4234</v>
      </c>
    </row>
    <row r="3384">
      <c r="A3384" s="9" t="s">
        <v>14118</v>
      </c>
      <c r="B3384" s="9" t="s">
        <v>14119</v>
      </c>
      <c r="D3384" s="9" t="s">
        <v>14120</v>
      </c>
      <c r="G3384" s="6" t="s">
        <v>14121</v>
      </c>
      <c r="J3384" s="9" t="s">
        <v>14122</v>
      </c>
      <c r="O3384" s="10">
        <f>IFERROR(__xludf.DUMMYFUNCTION("VALUE(REGEXEXTRACT(A3384, ""\d+""))"),4242.0)</f>
        <v>4242</v>
      </c>
    </row>
    <row r="3385">
      <c r="A3385" s="9" t="s">
        <v>14123</v>
      </c>
      <c r="B3385" s="9" t="s">
        <v>14124</v>
      </c>
      <c r="D3385" s="9" t="s">
        <v>14125</v>
      </c>
      <c r="G3385" s="6" t="s">
        <v>14126</v>
      </c>
      <c r="J3385" s="9" t="s">
        <v>14127</v>
      </c>
      <c r="O3385" s="10">
        <f>IFERROR(__xludf.DUMMYFUNCTION("VALUE(REGEXEXTRACT(A3385, ""\d+""))"),4243.0)</f>
        <v>4243</v>
      </c>
    </row>
    <row r="3386">
      <c r="A3386" s="9" t="s">
        <v>14128</v>
      </c>
      <c r="B3386" s="9" t="s">
        <v>14129</v>
      </c>
      <c r="D3386" s="9" t="s">
        <v>14130</v>
      </c>
      <c r="G3386" s="6" t="s">
        <v>14131</v>
      </c>
      <c r="J3386" s="9" t="s">
        <v>14132</v>
      </c>
      <c r="O3386" s="10">
        <f>IFERROR(__xludf.DUMMYFUNCTION("VALUE(REGEXEXTRACT(A3386, ""\d+""))"),4316.0)</f>
        <v>4316</v>
      </c>
    </row>
    <row r="3387">
      <c r="A3387" s="9" t="s">
        <v>14133</v>
      </c>
      <c r="B3387" s="9" t="s">
        <v>14134</v>
      </c>
      <c r="D3387" s="9" t="s">
        <v>14135</v>
      </c>
      <c r="G3387" s="6" t="s">
        <v>14136</v>
      </c>
      <c r="J3387" s="9" t="s">
        <v>14137</v>
      </c>
      <c r="O3387" s="10">
        <f>IFERROR(__xludf.DUMMYFUNCTION("VALUE(REGEXEXTRACT(A3387, ""\d+""))"),4317.0)</f>
        <v>4317</v>
      </c>
    </row>
    <row r="3388">
      <c r="A3388" s="9" t="s">
        <v>14138</v>
      </c>
      <c r="B3388" s="9" t="s">
        <v>14139</v>
      </c>
      <c r="D3388" s="9" t="s">
        <v>14140</v>
      </c>
      <c r="G3388" s="6" t="s">
        <v>14141</v>
      </c>
      <c r="J3388" s="9" t="s">
        <v>14142</v>
      </c>
      <c r="O3388" s="10">
        <f>IFERROR(__xludf.DUMMYFUNCTION("VALUE(REGEXEXTRACT(A3388, ""\d+""))"),4318.0)</f>
        <v>4318</v>
      </c>
    </row>
    <row r="3389">
      <c r="A3389" s="9" t="s">
        <v>14143</v>
      </c>
      <c r="B3389" s="9" t="s">
        <v>14144</v>
      </c>
      <c r="G3389" s="6" t="s">
        <v>14145</v>
      </c>
      <c r="O3389" s="10">
        <f>IFERROR(__xludf.DUMMYFUNCTION("VALUE(REGEXEXTRACT(A3389, ""\d+""))"),4320.0)</f>
        <v>4320</v>
      </c>
    </row>
    <row r="3390">
      <c r="A3390" s="9" t="s">
        <v>14146</v>
      </c>
      <c r="B3390" s="9" t="s">
        <v>14147</v>
      </c>
      <c r="G3390" s="6" t="s">
        <v>14148</v>
      </c>
      <c r="O3390" s="10">
        <f>IFERROR(__xludf.DUMMYFUNCTION("VALUE(REGEXEXTRACT(A3390, ""\d+""))"),4321.0)</f>
        <v>4321</v>
      </c>
    </row>
    <row r="3391">
      <c r="A3391" s="9" t="s">
        <v>14149</v>
      </c>
      <c r="B3391" s="9" t="s">
        <v>14150</v>
      </c>
      <c r="G3391" s="6" t="s">
        <v>14151</v>
      </c>
      <c r="O3391" s="10">
        <f>IFERROR(__xludf.DUMMYFUNCTION("VALUE(REGEXEXTRACT(A3391, ""\d+""))"),4322.0)</f>
        <v>4322</v>
      </c>
    </row>
    <row r="3392">
      <c r="A3392" s="9" t="s">
        <v>14152</v>
      </c>
      <c r="B3392" s="9" t="s">
        <v>14153</v>
      </c>
      <c r="D3392" s="9" t="s">
        <v>14154</v>
      </c>
      <c r="G3392" s="6" t="s">
        <v>14155</v>
      </c>
      <c r="J3392" s="9" t="s">
        <v>14156</v>
      </c>
      <c r="O3392" s="10">
        <f>IFERROR(__xludf.DUMMYFUNCTION("VALUE(REGEXEXTRACT(A3392, ""\d+""))"),4323.0)</f>
        <v>4323</v>
      </c>
    </row>
    <row r="3393">
      <c r="A3393" s="9" t="s">
        <v>14157</v>
      </c>
      <c r="B3393" s="9" t="s">
        <v>14158</v>
      </c>
      <c r="D3393" s="9" t="s">
        <v>14159</v>
      </c>
      <c r="G3393" s="6" t="s">
        <v>14160</v>
      </c>
      <c r="J3393" s="9" t="s">
        <v>14161</v>
      </c>
      <c r="O3393" s="10">
        <f>IFERROR(__xludf.DUMMYFUNCTION("VALUE(REGEXEXTRACT(A3393, ""\d+""))"),4336.0)</f>
        <v>4336</v>
      </c>
    </row>
    <row r="3394">
      <c r="A3394" s="9" t="s">
        <v>14162</v>
      </c>
      <c r="B3394" s="9" t="s">
        <v>14163</v>
      </c>
      <c r="D3394" s="9" t="s">
        <v>14164</v>
      </c>
      <c r="G3394" s="6" t="s">
        <v>14165</v>
      </c>
      <c r="J3394" s="9" t="s">
        <v>14166</v>
      </c>
      <c r="O3394" s="10">
        <f>IFERROR(__xludf.DUMMYFUNCTION("VALUE(REGEXEXTRACT(A3394, ""\d+""))"),4337.0)</f>
        <v>4337</v>
      </c>
    </row>
    <row r="3395">
      <c r="A3395" s="9" t="s">
        <v>14167</v>
      </c>
      <c r="B3395" s="9" t="s">
        <v>14168</v>
      </c>
      <c r="D3395" s="9" t="s">
        <v>14169</v>
      </c>
      <c r="G3395" s="6" t="s">
        <v>14170</v>
      </c>
      <c r="J3395" s="9" t="s">
        <v>14171</v>
      </c>
      <c r="O3395" s="10">
        <f>IFERROR(__xludf.DUMMYFUNCTION("VALUE(REGEXEXTRACT(A3395, ""\d+""))"),4339.0)</f>
        <v>4339</v>
      </c>
    </row>
    <row r="3396">
      <c r="A3396" s="9" t="s">
        <v>14172</v>
      </c>
      <c r="B3396" s="9" t="s">
        <v>14173</v>
      </c>
      <c r="G3396" s="6" t="s">
        <v>14174</v>
      </c>
      <c r="O3396" s="10">
        <f>IFERROR(__xludf.DUMMYFUNCTION("VALUE(REGEXEXTRACT(A3396, ""\d+""))"),4340.0)</f>
        <v>4340</v>
      </c>
    </row>
    <row r="3397">
      <c r="A3397" s="9" t="s">
        <v>14175</v>
      </c>
      <c r="B3397" s="9" t="s">
        <v>14176</v>
      </c>
      <c r="G3397" s="6" t="s">
        <v>12601</v>
      </c>
      <c r="O3397" s="10">
        <f>IFERROR(__xludf.DUMMYFUNCTION("VALUE(REGEXEXTRACT(A3397, ""\d+""))"),4341.0)</f>
        <v>4341</v>
      </c>
    </row>
    <row r="3398">
      <c r="A3398" s="9" t="s">
        <v>14177</v>
      </c>
      <c r="B3398" s="9" t="s">
        <v>14178</v>
      </c>
      <c r="G3398" s="6" t="s">
        <v>14179</v>
      </c>
      <c r="O3398" s="10">
        <f>IFERROR(__xludf.DUMMYFUNCTION("VALUE(REGEXEXTRACT(A3398, ""\d+""))"),4342.0)</f>
        <v>4342</v>
      </c>
    </row>
    <row r="3399">
      <c r="A3399" s="9" t="s">
        <v>14180</v>
      </c>
      <c r="B3399" s="9" t="s">
        <v>14181</v>
      </c>
      <c r="D3399" s="9" t="s">
        <v>14182</v>
      </c>
      <c r="G3399" s="6" t="s">
        <v>14183</v>
      </c>
      <c r="J3399" s="9" t="s">
        <v>14181</v>
      </c>
      <c r="O3399" s="10">
        <f>IFERROR(__xludf.DUMMYFUNCTION("VALUE(REGEXEXTRACT(A3399, ""\d+""))"),4343.0)</f>
        <v>4343</v>
      </c>
    </row>
    <row r="3400">
      <c r="A3400" s="9" t="s">
        <v>14184</v>
      </c>
      <c r="B3400" s="9" t="s">
        <v>14185</v>
      </c>
      <c r="G3400" s="6" t="s">
        <v>14186</v>
      </c>
      <c r="O3400" s="10">
        <f>IFERROR(__xludf.DUMMYFUNCTION("VALUE(REGEXEXTRACT(A3400, ""\d+""))"),4350.0)</f>
        <v>4350</v>
      </c>
    </row>
    <row r="3401">
      <c r="A3401" s="9" t="s">
        <v>14187</v>
      </c>
      <c r="B3401" s="9" t="s">
        <v>14188</v>
      </c>
      <c r="G3401" s="9" t="s">
        <v>14189</v>
      </c>
      <c r="O3401" s="10">
        <f>IFERROR(__xludf.DUMMYFUNCTION("VALUE(REGEXEXTRACT(A3401, ""\d+""))"),4351.0)</f>
        <v>4351</v>
      </c>
    </row>
    <row r="3402">
      <c r="A3402" s="9" t="s">
        <v>14190</v>
      </c>
      <c r="B3402" s="9" t="s">
        <v>14191</v>
      </c>
      <c r="G3402" s="6" t="s">
        <v>14192</v>
      </c>
      <c r="O3402" s="10">
        <f>IFERROR(__xludf.DUMMYFUNCTION("VALUE(REGEXEXTRACT(A3402, ""\d+""))"),4352.0)</f>
        <v>4352</v>
      </c>
    </row>
    <row r="3403">
      <c r="A3403" s="9" t="s">
        <v>14193</v>
      </c>
      <c r="B3403" s="9" t="s">
        <v>14194</v>
      </c>
      <c r="G3403" s="9" t="s">
        <v>14195</v>
      </c>
      <c r="O3403" s="10">
        <f>IFERROR(__xludf.DUMMYFUNCTION("VALUE(REGEXEXTRACT(A3403, ""\d+""))"),4353.0)</f>
        <v>4353</v>
      </c>
    </row>
    <row r="3404">
      <c r="A3404" s="9" t="s">
        <v>14196</v>
      </c>
      <c r="B3404" s="9" t="s">
        <v>14197</v>
      </c>
      <c r="G3404" s="9" t="s">
        <v>14198</v>
      </c>
      <c r="O3404" s="10">
        <f>IFERROR(__xludf.DUMMYFUNCTION("VALUE(REGEXEXTRACT(A3404, ""\d+""))"),4365.0)</f>
        <v>4365</v>
      </c>
    </row>
    <row r="3405">
      <c r="A3405" s="9" t="s">
        <v>14199</v>
      </c>
      <c r="B3405" s="9" t="s">
        <v>14200</v>
      </c>
      <c r="G3405" s="9" t="s">
        <v>14201</v>
      </c>
      <c r="O3405" s="10">
        <f>IFERROR(__xludf.DUMMYFUNCTION("VALUE(REGEXEXTRACT(A3405, ""\d+""))"),4366.0)</f>
        <v>4366</v>
      </c>
    </row>
    <row r="3406">
      <c r="A3406" s="9" t="s">
        <v>14202</v>
      </c>
      <c r="B3406" s="9" t="s">
        <v>14203</v>
      </c>
      <c r="G3406" s="9" t="s">
        <v>14204</v>
      </c>
      <c r="O3406" s="10">
        <f>IFERROR(__xludf.DUMMYFUNCTION("VALUE(REGEXEXTRACT(A3406, ""\d+""))"),4367.0)</f>
        <v>4367</v>
      </c>
    </row>
    <row r="3407">
      <c r="A3407" s="9" t="s">
        <v>14205</v>
      </c>
      <c r="B3407" s="9" t="s">
        <v>14206</v>
      </c>
      <c r="G3407" s="9" t="s">
        <v>14207</v>
      </c>
      <c r="O3407" s="10">
        <f>IFERROR(__xludf.DUMMYFUNCTION("VALUE(REGEXEXTRACT(A3407, ""\d+""))"),4368.0)</f>
        <v>4368</v>
      </c>
    </row>
    <row r="3408">
      <c r="A3408" s="9" t="s">
        <v>14208</v>
      </c>
      <c r="B3408" s="9" t="s">
        <v>14209</v>
      </c>
      <c r="D3408" s="9" t="s">
        <v>14210</v>
      </c>
      <c r="G3408" s="9" t="s">
        <v>14211</v>
      </c>
      <c r="J3408" s="9" t="s">
        <v>14212</v>
      </c>
      <c r="O3408" s="10">
        <f>IFERROR(__xludf.DUMMYFUNCTION("VALUE(REGEXEXTRACT(A3408, ""\d+""))"),4389.0)</f>
        <v>4389</v>
      </c>
    </row>
    <row r="3409">
      <c r="A3409" s="9" t="s">
        <v>14213</v>
      </c>
      <c r="B3409" s="9" t="s">
        <v>14214</v>
      </c>
      <c r="G3409" s="9" t="s">
        <v>14215</v>
      </c>
      <c r="O3409" s="10">
        <f>IFERROR(__xludf.DUMMYFUNCTION("VALUE(REGEXEXTRACT(A3409, ""\d+""))"),4406.0)</f>
        <v>4406</v>
      </c>
    </row>
    <row r="3410">
      <c r="A3410" s="9" t="s">
        <v>14216</v>
      </c>
      <c r="B3410" s="9" t="s">
        <v>14217</v>
      </c>
      <c r="G3410" s="9" t="s">
        <v>14218</v>
      </c>
      <c r="O3410" s="10">
        <f>IFERROR(__xludf.DUMMYFUNCTION("VALUE(REGEXEXTRACT(A3410, ""\d+""))"),4414.0)</f>
        <v>4414</v>
      </c>
    </row>
    <row r="3411">
      <c r="A3411" s="9" t="s">
        <v>14219</v>
      </c>
      <c r="B3411" s="9" t="s">
        <v>14220</v>
      </c>
      <c r="G3411" s="9" t="s">
        <v>14221</v>
      </c>
      <c r="O3411" s="10">
        <f>IFERROR(__xludf.DUMMYFUNCTION("VALUE(REGEXEXTRACT(A3411, ""\d+""))"),4415.0)</f>
        <v>4415</v>
      </c>
    </row>
    <row r="3412">
      <c r="A3412" s="9" t="s">
        <v>14222</v>
      </c>
      <c r="B3412" s="9" t="s">
        <v>14223</v>
      </c>
      <c r="G3412" s="9" t="s">
        <v>14224</v>
      </c>
      <c r="O3412" s="10">
        <f>IFERROR(__xludf.DUMMYFUNCTION("VALUE(REGEXEXTRACT(A3412, ""\d+""))"),4416.0)</f>
        <v>4416</v>
      </c>
    </row>
    <row r="3413">
      <c r="A3413" s="9" t="s">
        <v>14225</v>
      </c>
      <c r="B3413" s="9" t="s">
        <v>14226</v>
      </c>
      <c r="G3413" s="9" t="s">
        <v>14227</v>
      </c>
      <c r="O3413" s="10">
        <f>IFERROR(__xludf.DUMMYFUNCTION("VALUE(REGEXEXTRACT(A3413, ""\d+""))"),4417.0)</f>
        <v>4417</v>
      </c>
    </row>
    <row r="3414">
      <c r="A3414" s="9" t="s">
        <v>14228</v>
      </c>
      <c r="B3414" s="9" t="s">
        <v>14229</v>
      </c>
      <c r="G3414" s="9" t="s">
        <v>14230</v>
      </c>
      <c r="O3414" s="10">
        <f>IFERROR(__xludf.DUMMYFUNCTION("VALUE(REGEXEXTRACT(A3414, ""\d+""))"),4418.0)</f>
        <v>4418</v>
      </c>
    </row>
    <row r="3415">
      <c r="A3415" s="9" t="s">
        <v>14231</v>
      </c>
      <c r="B3415" s="9" t="s">
        <v>14232</v>
      </c>
      <c r="G3415" s="9" t="s">
        <v>14233</v>
      </c>
      <c r="O3415" s="10">
        <f>IFERROR(__xludf.DUMMYFUNCTION("VALUE(REGEXEXTRACT(A3415, ""\d+""))"),4419.0)</f>
        <v>4419</v>
      </c>
    </row>
    <row r="3416">
      <c r="A3416" s="9" t="s">
        <v>14234</v>
      </c>
      <c r="B3416" s="9" t="s">
        <v>14235</v>
      </c>
      <c r="G3416" s="9" t="s">
        <v>14236</v>
      </c>
      <c r="O3416" s="10">
        <f>IFERROR(__xludf.DUMMYFUNCTION("VALUE(REGEXEXTRACT(A3416, ""\d+""))"),4420.0)</f>
        <v>4420</v>
      </c>
    </row>
    <row r="3417">
      <c r="A3417" s="9" t="s">
        <v>14237</v>
      </c>
      <c r="B3417" s="9" t="s">
        <v>14238</v>
      </c>
      <c r="G3417" s="9" t="s">
        <v>14239</v>
      </c>
      <c r="O3417" s="10">
        <f>IFERROR(__xludf.DUMMYFUNCTION("VALUE(REGEXEXTRACT(A3417, ""\d+""))"),4421.0)</f>
        <v>4421</v>
      </c>
    </row>
    <row r="3418">
      <c r="A3418" s="9" t="s">
        <v>14240</v>
      </c>
      <c r="B3418" s="9" t="s">
        <v>14241</v>
      </c>
      <c r="G3418" s="9" t="s">
        <v>14242</v>
      </c>
      <c r="O3418" s="10">
        <f>IFERROR(__xludf.DUMMYFUNCTION("VALUE(REGEXEXTRACT(A3418, ""\d+""))"),4422.0)</f>
        <v>4422</v>
      </c>
    </row>
    <row r="3419">
      <c r="A3419" s="9" t="s">
        <v>14243</v>
      </c>
      <c r="B3419" s="9" t="s">
        <v>14244</v>
      </c>
      <c r="G3419" s="9" t="s">
        <v>14245</v>
      </c>
      <c r="O3419" s="10">
        <f>IFERROR(__xludf.DUMMYFUNCTION("VALUE(REGEXEXTRACT(A3419, ""\d+""))"),4423.0)</f>
        <v>4423</v>
      </c>
    </row>
    <row r="3420">
      <c r="A3420" s="9" t="s">
        <v>14246</v>
      </c>
      <c r="B3420" s="9" t="s">
        <v>14247</v>
      </c>
      <c r="G3420" s="9" t="s">
        <v>14248</v>
      </c>
      <c r="O3420" s="10">
        <f>IFERROR(__xludf.DUMMYFUNCTION("VALUE(REGEXEXTRACT(A3420, ""\d+""))"),4424.0)</f>
        <v>4424</v>
      </c>
    </row>
    <row r="3421">
      <c r="A3421" s="9" t="s">
        <v>14249</v>
      </c>
      <c r="B3421" s="9" t="s">
        <v>14250</v>
      </c>
      <c r="G3421" s="9" t="s">
        <v>14251</v>
      </c>
      <c r="O3421" s="10">
        <f>IFERROR(__xludf.DUMMYFUNCTION("VALUE(REGEXEXTRACT(A3421, ""\d+""))"),4425.0)</f>
        <v>4425</v>
      </c>
    </row>
    <row r="3422">
      <c r="A3422" s="9" t="s">
        <v>14252</v>
      </c>
      <c r="B3422" s="9" t="s">
        <v>14253</v>
      </c>
      <c r="G3422" s="9" t="s">
        <v>14254</v>
      </c>
      <c r="O3422" s="10">
        <f>IFERROR(__xludf.DUMMYFUNCTION("VALUE(REGEXEXTRACT(A3422, ""\d+""))"),4426.0)</f>
        <v>4426</v>
      </c>
    </row>
    <row r="3423">
      <c r="A3423" s="9" t="s">
        <v>14255</v>
      </c>
      <c r="B3423" s="9" t="s">
        <v>14256</v>
      </c>
      <c r="G3423" s="9" t="s">
        <v>14257</v>
      </c>
      <c r="O3423" s="10">
        <f>IFERROR(__xludf.DUMMYFUNCTION("VALUE(REGEXEXTRACT(A3423, ""\d+""))"),4427.0)</f>
        <v>4427</v>
      </c>
    </row>
    <row r="3424">
      <c r="A3424" s="9" t="s">
        <v>14258</v>
      </c>
      <c r="B3424" s="9" t="s">
        <v>14259</v>
      </c>
      <c r="G3424" s="9" t="s">
        <v>14260</v>
      </c>
      <c r="O3424" s="10">
        <f>IFERROR(__xludf.DUMMYFUNCTION("VALUE(REGEXEXTRACT(A3424, ""\d+""))"),4428.0)</f>
        <v>4428</v>
      </c>
    </row>
    <row r="3425">
      <c r="A3425" s="9" t="s">
        <v>14261</v>
      </c>
      <c r="B3425" s="9" t="s">
        <v>14262</v>
      </c>
      <c r="G3425" s="9" t="s">
        <v>14263</v>
      </c>
      <c r="O3425" s="10">
        <f>IFERROR(__xludf.DUMMYFUNCTION("VALUE(REGEXEXTRACT(A3425, ""\d+""))"),4429.0)</f>
        <v>4429</v>
      </c>
    </row>
    <row r="3426">
      <c r="A3426" s="9" t="s">
        <v>14264</v>
      </c>
      <c r="B3426" s="9" t="s">
        <v>14265</v>
      </c>
      <c r="G3426" s="9" t="s">
        <v>14266</v>
      </c>
      <c r="O3426" s="10">
        <f>IFERROR(__xludf.DUMMYFUNCTION("VALUE(REGEXEXTRACT(A3426, ""\d+""))"),4430.0)</f>
        <v>4430</v>
      </c>
    </row>
    <row r="3427">
      <c r="A3427" s="9" t="s">
        <v>14267</v>
      </c>
      <c r="B3427" s="9" t="s">
        <v>14268</v>
      </c>
      <c r="G3427" s="9" t="s">
        <v>14269</v>
      </c>
      <c r="O3427" s="10">
        <f>IFERROR(__xludf.DUMMYFUNCTION("VALUE(REGEXEXTRACT(A3427, ""\d+""))"),4431.0)</f>
        <v>4431</v>
      </c>
    </row>
    <row r="3428">
      <c r="A3428" s="9" t="s">
        <v>14270</v>
      </c>
      <c r="B3428" s="9" t="s">
        <v>14271</v>
      </c>
      <c r="G3428" s="9" t="s">
        <v>14272</v>
      </c>
      <c r="O3428" s="10">
        <f>IFERROR(__xludf.DUMMYFUNCTION("VALUE(REGEXEXTRACT(A3428, ""\d+""))"),4432.0)</f>
        <v>4432</v>
      </c>
    </row>
    <row r="3429">
      <c r="A3429" s="9" t="s">
        <v>14273</v>
      </c>
      <c r="B3429" s="9" t="s">
        <v>14274</v>
      </c>
      <c r="G3429" s="9" t="s">
        <v>14275</v>
      </c>
      <c r="O3429" s="10">
        <f>IFERROR(__xludf.DUMMYFUNCTION("VALUE(REGEXEXTRACT(A3429, ""\d+""))"),4435.0)</f>
        <v>4435</v>
      </c>
    </row>
    <row r="3430">
      <c r="A3430" s="9" t="s">
        <v>14276</v>
      </c>
      <c r="B3430" s="9" t="s">
        <v>14277</v>
      </c>
      <c r="G3430" s="9" t="s">
        <v>14278</v>
      </c>
      <c r="O3430" s="10">
        <f>IFERROR(__xludf.DUMMYFUNCTION("VALUE(REGEXEXTRACT(A3430, ""\d+""))"),4436.0)</f>
        <v>4436</v>
      </c>
    </row>
    <row r="3431">
      <c r="A3431" s="9" t="s">
        <v>14279</v>
      </c>
      <c r="B3431" s="9" t="s">
        <v>14280</v>
      </c>
      <c r="D3431" s="9" t="s">
        <v>3304</v>
      </c>
      <c r="G3431" s="9" t="s">
        <v>14281</v>
      </c>
      <c r="J3431" s="9" t="s">
        <v>14282</v>
      </c>
      <c r="O3431" s="10">
        <f>IFERROR(__xludf.DUMMYFUNCTION("VALUE(REGEXEXTRACT(A3431, ""\d+""))"),4437.0)</f>
        <v>4437</v>
      </c>
    </row>
    <row r="3432">
      <c r="A3432" s="9" t="s">
        <v>14283</v>
      </c>
      <c r="B3432" s="9" t="s">
        <v>14284</v>
      </c>
      <c r="G3432" s="9" t="s">
        <v>14285</v>
      </c>
      <c r="O3432" s="10">
        <f>IFERROR(__xludf.DUMMYFUNCTION("VALUE(REGEXEXTRACT(A3432, ""\d+""))"),4438.0)</f>
        <v>4438</v>
      </c>
    </row>
    <row r="3433">
      <c r="A3433" s="9" t="s">
        <v>14286</v>
      </c>
      <c r="B3433" s="9" t="s">
        <v>14287</v>
      </c>
      <c r="G3433" s="9" t="s">
        <v>14288</v>
      </c>
      <c r="O3433" s="10">
        <f>IFERROR(__xludf.DUMMYFUNCTION("VALUE(REGEXEXTRACT(A3433, ""\d+""))"),4439.0)</f>
        <v>4439</v>
      </c>
    </row>
    <row r="3434">
      <c r="A3434" s="9" t="s">
        <v>14289</v>
      </c>
      <c r="B3434" s="9" t="s">
        <v>14290</v>
      </c>
      <c r="G3434" s="9" t="s">
        <v>14291</v>
      </c>
      <c r="O3434" s="10">
        <f>IFERROR(__xludf.DUMMYFUNCTION("VALUE(REGEXEXTRACT(A3434, ""\d+""))"),4440.0)</f>
        <v>4440</v>
      </c>
    </row>
    <row r="3435">
      <c r="A3435" s="9" t="s">
        <v>14292</v>
      </c>
      <c r="B3435" s="9" t="s">
        <v>14293</v>
      </c>
      <c r="G3435" s="9" t="s">
        <v>14294</v>
      </c>
      <c r="O3435" s="10">
        <f>IFERROR(__xludf.DUMMYFUNCTION("VALUE(REGEXEXTRACT(A3435, ""\d+""))"),4442.0)</f>
        <v>4442</v>
      </c>
    </row>
    <row r="3436">
      <c r="A3436" s="9" t="s">
        <v>14295</v>
      </c>
      <c r="B3436" s="9" t="s">
        <v>14296</v>
      </c>
      <c r="G3436" s="9" t="s">
        <v>14297</v>
      </c>
      <c r="O3436" s="10">
        <f>IFERROR(__xludf.DUMMYFUNCTION("VALUE(REGEXEXTRACT(A3436, ""\d+""))"),4443.0)</f>
        <v>4443</v>
      </c>
    </row>
    <row r="3437">
      <c r="A3437" s="9" t="s">
        <v>14298</v>
      </c>
      <c r="B3437" s="9" t="s">
        <v>14299</v>
      </c>
      <c r="G3437" s="9" t="s">
        <v>14300</v>
      </c>
      <c r="O3437" s="10">
        <f>IFERROR(__xludf.DUMMYFUNCTION("VALUE(REGEXEXTRACT(A3437, ""\d+""))"),4445.0)</f>
        <v>4445</v>
      </c>
    </row>
    <row r="3438">
      <c r="A3438" s="9" t="s">
        <v>14301</v>
      </c>
      <c r="B3438" s="9" t="s">
        <v>14302</v>
      </c>
      <c r="G3438" s="9" t="s">
        <v>14303</v>
      </c>
      <c r="O3438" s="10">
        <f>IFERROR(__xludf.DUMMYFUNCTION("VALUE(REGEXEXTRACT(A3438, ""\d+""))"),4446.0)</f>
        <v>4446</v>
      </c>
    </row>
    <row r="3439">
      <c r="A3439" s="9" t="s">
        <v>14304</v>
      </c>
      <c r="B3439" s="9" t="s">
        <v>14305</v>
      </c>
      <c r="G3439" s="9" t="s">
        <v>14306</v>
      </c>
      <c r="O3439" s="10">
        <f>IFERROR(__xludf.DUMMYFUNCTION("VALUE(REGEXEXTRACT(A3439, ""\d+""))"),4447.0)</f>
        <v>4447</v>
      </c>
    </row>
    <row r="3440">
      <c r="A3440" s="9" t="s">
        <v>14307</v>
      </c>
      <c r="B3440" s="9" t="s">
        <v>14308</v>
      </c>
      <c r="G3440" s="9" t="s">
        <v>14309</v>
      </c>
      <c r="O3440" s="10">
        <f>IFERROR(__xludf.DUMMYFUNCTION("VALUE(REGEXEXTRACT(A3440, ""\d+""))"),4448.0)</f>
        <v>4448</v>
      </c>
    </row>
    <row r="3441">
      <c r="A3441" s="9" t="s">
        <v>14310</v>
      </c>
      <c r="B3441" s="9" t="s">
        <v>14311</v>
      </c>
      <c r="G3441" s="9" t="s">
        <v>14312</v>
      </c>
      <c r="O3441" s="10">
        <f>IFERROR(__xludf.DUMMYFUNCTION("VALUE(REGEXEXTRACT(A3441, ""\d+""))"),4449.0)</f>
        <v>4449</v>
      </c>
    </row>
    <row r="3442">
      <c r="A3442" s="9" t="s">
        <v>14313</v>
      </c>
      <c r="B3442" s="9" t="s">
        <v>14314</v>
      </c>
      <c r="G3442" s="9" t="s">
        <v>14315</v>
      </c>
      <c r="O3442" s="10">
        <f>IFERROR(__xludf.DUMMYFUNCTION("VALUE(REGEXEXTRACT(A3442, ""\d+""))"),4450.0)</f>
        <v>4450</v>
      </c>
    </row>
    <row r="3443">
      <c r="A3443" s="9" t="s">
        <v>14316</v>
      </c>
      <c r="B3443" s="9" t="s">
        <v>14317</v>
      </c>
      <c r="G3443" s="9" t="s">
        <v>14318</v>
      </c>
      <c r="O3443" s="10">
        <f>IFERROR(__xludf.DUMMYFUNCTION("VALUE(REGEXEXTRACT(A3443, ""\d+""))"),4451.0)</f>
        <v>4451</v>
      </c>
    </row>
    <row r="3444">
      <c r="A3444" s="9" t="s">
        <v>14319</v>
      </c>
      <c r="B3444" s="9" t="s">
        <v>14320</v>
      </c>
      <c r="G3444" s="9" t="s">
        <v>14321</v>
      </c>
      <c r="O3444" s="10">
        <f>IFERROR(__xludf.DUMMYFUNCTION("VALUE(REGEXEXTRACT(A3444, ""\d+""))"),4452.0)</f>
        <v>4452</v>
      </c>
    </row>
    <row r="3445">
      <c r="A3445" s="9" t="s">
        <v>14322</v>
      </c>
      <c r="B3445" s="9" t="s">
        <v>14323</v>
      </c>
      <c r="G3445" s="9" t="s">
        <v>14324</v>
      </c>
      <c r="O3445" s="10">
        <f>IFERROR(__xludf.DUMMYFUNCTION("VALUE(REGEXEXTRACT(A3445, ""\d+""))"),4453.0)</f>
        <v>4453</v>
      </c>
    </row>
    <row r="3446">
      <c r="A3446" s="9" t="s">
        <v>14325</v>
      </c>
      <c r="B3446" s="9" t="s">
        <v>14326</v>
      </c>
      <c r="G3446" s="9" t="s">
        <v>14327</v>
      </c>
      <c r="O3446" s="10">
        <f>IFERROR(__xludf.DUMMYFUNCTION("VALUE(REGEXEXTRACT(A3446, ""\d+""))"),4454.0)</f>
        <v>4454</v>
      </c>
    </row>
    <row r="3447">
      <c r="A3447" s="9" t="s">
        <v>14328</v>
      </c>
      <c r="B3447" s="9" t="s">
        <v>14329</v>
      </c>
      <c r="G3447" s="9" t="s">
        <v>14329</v>
      </c>
      <c r="O3447" s="10">
        <f>IFERROR(__xludf.DUMMYFUNCTION("VALUE(REGEXEXTRACT(A3447, ""\d+""))"),4455.0)</f>
        <v>4455</v>
      </c>
    </row>
    <row r="3448">
      <c r="A3448" s="9" t="s">
        <v>14330</v>
      </c>
      <c r="B3448" s="9" t="s">
        <v>14331</v>
      </c>
      <c r="G3448" s="9" t="s">
        <v>14332</v>
      </c>
      <c r="O3448" s="10">
        <f>IFERROR(__xludf.DUMMYFUNCTION("VALUE(REGEXEXTRACT(A3448, ""\d+""))"),4456.0)</f>
        <v>4456</v>
      </c>
    </row>
    <row r="3449">
      <c r="A3449" s="9" t="s">
        <v>14333</v>
      </c>
      <c r="B3449" s="9" t="s">
        <v>14334</v>
      </c>
      <c r="G3449" s="9" t="s">
        <v>14335</v>
      </c>
      <c r="O3449" s="10">
        <f>IFERROR(__xludf.DUMMYFUNCTION("VALUE(REGEXEXTRACT(A3449, ""\d+""))"),4457.0)</f>
        <v>4457</v>
      </c>
    </row>
    <row r="3450">
      <c r="A3450" s="9" t="s">
        <v>14336</v>
      </c>
      <c r="B3450" s="9" t="s">
        <v>14337</v>
      </c>
      <c r="G3450" s="9" t="s">
        <v>14338</v>
      </c>
      <c r="O3450" s="10">
        <f>IFERROR(__xludf.DUMMYFUNCTION("VALUE(REGEXEXTRACT(A3450, ""\d+""))"),4458.0)</f>
        <v>4458</v>
      </c>
    </row>
    <row r="3451">
      <c r="A3451" s="9" t="s">
        <v>14339</v>
      </c>
      <c r="B3451" s="9" t="s">
        <v>14340</v>
      </c>
      <c r="G3451" s="9" t="s">
        <v>14341</v>
      </c>
      <c r="O3451" s="10">
        <f>IFERROR(__xludf.DUMMYFUNCTION("VALUE(REGEXEXTRACT(A3451, ""\d+""))"),4459.0)</f>
        <v>4459</v>
      </c>
    </row>
    <row r="3452">
      <c r="A3452" s="9" t="s">
        <v>14342</v>
      </c>
      <c r="B3452" s="9" t="s">
        <v>14343</v>
      </c>
      <c r="G3452" s="9" t="s">
        <v>14344</v>
      </c>
      <c r="O3452" s="10">
        <f>IFERROR(__xludf.DUMMYFUNCTION("VALUE(REGEXEXTRACT(A3452, ""\d+""))"),4460.0)</f>
        <v>4460</v>
      </c>
    </row>
    <row r="3453">
      <c r="A3453" s="9" t="s">
        <v>14345</v>
      </c>
      <c r="B3453" s="9" t="s">
        <v>14346</v>
      </c>
      <c r="G3453" s="9" t="s">
        <v>14347</v>
      </c>
      <c r="O3453" s="10">
        <f>IFERROR(__xludf.DUMMYFUNCTION("VALUE(REGEXEXTRACT(A3453, ""\d+""))"),4461.0)</f>
        <v>4461</v>
      </c>
    </row>
    <row r="3454">
      <c r="A3454" s="9" t="s">
        <v>14348</v>
      </c>
      <c r="B3454" s="9" t="s">
        <v>14349</v>
      </c>
      <c r="G3454" s="9" t="s">
        <v>14350</v>
      </c>
      <c r="O3454" s="10">
        <f>IFERROR(__xludf.DUMMYFUNCTION("VALUE(REGEXEXTRACT(A3454, ""\d+""))"),4462.0)</f>
        <v>4462</v>
      </c>
    </row>
    <row r="3455">
      <c r="A3455" s="9" t="s">
        <v>14351</v>
      </c>
      <c r="B3455" s="9" t="s">
        <v>14352</v>
      </c>
      <c r="G3455" s="9" t="s">
        <v>14353</v>
      </c>
      <c r="O3455" s="10">
        <f>IFERROR(__xludf.DUMMYFUNCTION("VALUE(REGEXEXTRACT(A3455, ""\d+""))"),4463.0)</f>
        <v>4463</v>
      </c>
    </row>
    <row r="3456">
      <c r="A3456" s="9" t="s">
        <v>14354</v>
      </c>
      <c r="B3456" s="9" t="s">
        <v>14355</v>
      </c>
      <c r="G3456" s="9" t="s">
        <v>14356</v>
      </c>
      <c r="O3456" s="10">
        <f>IFERROR(__xludf.DUMMYFUNCTION("VALUE(REGEXEXTRACT(A3456, ""\d+""))"),4464.0)</f>
        <v>4464</v>
      </c>
    </row>
    <row r="3457">
      <c r="A3457" s="9" t="s">
        <v>14357</v>
      </c>
      <c r="B3457" s="9" t="s">
        <v>14358</v>
      </c>
      <c r="G3457" s="9" t="s">
        <v>14359</v>
      </c>
      <c r="O3457" s="10">
        <f>IFERROR(__xludf.DUMMYFUNCTION("VALUE(REGEXEXTRACT(A3457, ""\d+""))"),4468.0)</f>
        <v>4468</v>
      </c>
    </row>
    <row r="3458">
      <c r="A3458" s="9" t="s">
        <v>14360</v>
      </c>
      <c r="B3458" s="9" t="s">
        <v>14361</v>
      </c>
      <c r="G3458" s="9" t="s">
        <v>14362</v>
      </c>
      <c r="O3458" s="10">
        <f>IFERROR(__xludf.DUMMYFUNCTION("VALUE(REGEXEXTRACT(A3458, ""\d+""))"),4469.0)</f>
        <v>4469</v>
      </c>
    </row>
    <row r="3459">
      <c r="A3459" s="9" t="s">
        <v>14363</v>
      </c>
      <c r="B3459" s="9" t="s">
        <v>14364</v>
      </c>
      <c r="G3459" s="9" t="s">
        <v>14365</v>
      </c>
      <c r="O3459" s="10">
        <f>IFERROR(__xludf.DUMMYFUNCTION("VALUE(REGEXEXTRACT(A3459, ""\d+""))"),4470.0)</f>
        <v>4470</v>
      </c>
    </row>
    <row r="3460">
      <c r="A3460" s="9" t="s">
        <v>14366</v>
      </c>
      <c r="B3460" s="9" t="s">
        <v>14367</v>
      </c>
      <c r="G3460" s="9" t="s">
        <v>14368</v>
      </c>
      <c r="O3460" s="10">
        <f>IFERROR(__xludf.DUMMYFUNCTION("VALUE(REGEXEXTRACT(A3460, ""\d+""))"),4471.0)</f>
        <v>4471</v>
      </c>
    </row>
    <row r="3461">
      <c r="A3461" s="9" t="s">
        <v>14369</v>
      </c>
      <c r="B3461" s="9" t="s">
        <v>14370</v>
      </c>
      <c r="G3461" s="9" t="s">
        <v>14371</v>
      </c>
      <c r="O3461" s="10">
        <f>IFERROR(__xludf.DUMMYFUNCTION("VALUE(REGEXEXTRACT(A3461, ""\d+""))"),4472.0)</f>
        <v>4472</v>
      </c>
    </row>
    <row r="3462">
      <c r="A3462" s="9" t="s">
        <v>14372</v>
      </c>
      <c r="B3462" s="9" t="s">
        <v>14373</v>
      </c>
      <c r="G3462" s="9" t="s">
        <v>14374</v>
      </c>
      <c r="O3462" s="10">
        <f>IFERROR(__xludf.DUMMYFUNCTION("VALUE(REGEXEXTRACT(A3462, ""\d+""))"),4473.0)</f>
        <v>4473</v>
      </c>
    </row>
    <row r="3463">
      <c r="A3463" s="9" t="s">
        <v>14375</v>
      </c>
      <c r="B3463" s="9" t="s">
        <v>14376</v>
      </c>
      <c r="G3463" s="9" t="s">
        <v>14377</v>
      </c>
      <c r="O3463" s="10">
        <f>IFERROR(__xludf.DUMMYFUNCTION("VALUE(REGEXEXTRACT(A3463, ""\d+""))"),4474.0)</f>
        <v>4474</v>
      </c>
    </row>
    <row r="3464">
      <c r="A3464" s="9" t="s">
        <v>14378</v>
      </c>
      <c r="B3464" s="9" t="s">
        <v>14379</v>
      </c>
      <c r="G3464" s="9" t="s">
        <v>14380</v>
      </c>
      <c r="O3464" s="10">
        <f>IFERROR(__xludf.DUMMYFUNCTION("VALUE(REGEXEXTRACT(A3464, ""\d+""))"),4475.0)</f>
        <v>4475</v>
      </c>
    </row>
    <row r="3465">
      <c r="A3465" s="9" t="s">
        <v>14381</v>
      </c>
      <c r="B3465" s="9" t="s">
        <v>14382</v>
      </c>
      <c r="G3465" s="9" t="s">
        <v>14383</v>
      </c>
      <c r="O3465" s="10">
        <f>IFERROR(__xludf.DUMMYFUNCTION("VALUE(REGEXEXTRACT(A3465, ""\d+""))"),4476.0)</f>
        <v>4476</v>
      </c>
    </row>
    <row r="3466">
      <c r="A3466" s="9" t="s">
        <v>14384</v>
      </c>
      <c r="B3466" s="9" t="s">
        <v>14385</v>
      </c>
      <c r="G3466" s="9" t="s">
        <v>14386</v>
      </c>
      <c r="O3466" s="10">
        <f>IFERROR(__xludf.DUMMYFUNCTION("VALUE(REGEXEXTRACT(A3466, ""\d+""))"),4477.0)</f>
        <v>4477</v>
      </c>
    </row>
    <row r="3467">
      <c r="A3467" s="9" t="s">
        <v>14387</v>
      </c>
      <c r="B3467" s="9" t="s">
        <v>14388</v>
      </c>
      <c r="G3467" s="9" t="s">
        <v>14389</v>
      </c>
      <c r="O3467" s="10">
        <f>IFERROR(__xludf.DUMMYFUNCTION("VALUE(REGEXEXTRACT(A3467, ""\d+""))"),4478.0)</f>
        <v>4478</v>
      </c>
    </row>
    <row r="3468">
      <c r="A3468" s="9" t="s">
        <v>14390</v>
      </c>
      <c r="B3468" s="9" t="s">
        <v>14391</v>
      </c>
      <c r="G3468" s="9" t="s">
        <v>14392</v>
      </c>
      <c r="O3468" s="10">
        <f>IFERROR(__xludf.DUMMYFUNCTION("VALUE(REGEXEXTRACT(A3468, ""\d+""))"),4479.0)</f>
        <v>4479</v>
      </c>
    </row>
    <row r="3469">
      <c r="A3469" s="9" t="s">
        <v>14393</v>
      </c>
      <c r="B3469" s="9" t="s">
        <v>14394</v>
      </c>
      <c r="G3469" s="9" t="s">
        <v>14395</v>
      </c>
      <c r="O3469" s="10">
        <f>IFERROR(__xludf.DUMMYFUNCTION("VALUE(REGEXEXTRACT(A3469, ""\d+""))"),4480.0)</f>
        <v>4480</v>
      </c>
    </row>
    <row r="3470">
      <c r="A3470" s="9" t="s">
        <v>14396</v>
      </c>
      <c r="B3470" s="9" t="s">
        <v>14397</v>
      </c>
      <c r="G3470" s="9" t="s">
        <v>14398</v>
      </c>
      <c r="O3470" s="10">
        <f>IFERROR(__xludf.DUMMYFUNCTION("VALUE(REGEXEXTRACT(A3470, ""\d+""))"),4481.0)</f>
        <v>4481</v>
      </c>
    </row>
    <row r="3471">
      <c r="A3471" s="9" t="s">
        <v>14399</v>
      </c>
      <c r="B3471" s="9" t="s">
        <v>14400</v>
      </c>
      <c r="G3471" s="9" t="s">
        <v>14401</v>
      </c>
      <c r="O3471" s="10">
        <f>IFERROR(__xludf.DUMMYFUNCTION("VALUE(REGEXEXTRACT(A3471, ""\d+""))"),4482.0)</f>
        <v>4482</v>
      </c>
    </row>
    <row r="3472">
      <c r="A3472" s="9" t="s">
        <v>14402</v>
      </c>
      <c r="B3472" s="9" t="s">
        <v>14403</v>
      </c>
      <c r="G3472" s="9" t="s">
        <v>14404</v>
      </c>
      <c r="O3472" s="10">
        <f>IFERROR(__xludf.DUMMYFUNCTION("VALUE(REGEXEXTRACT(A3472, ""\d+""))"),4483.0)</f>
        <v>4483</v>
      </c>
    </row>
    <row r="3473">
      <c r="A3473" s="9" t="s">
        <v>14405</v>
      </c>
      <c r="B3473" s="9" t="s">
        <v>14406</v>
      </c>
      <c r="G3473" s="9" t="s">
        <v>14407</v>
      </c>
      <c r="O3473" s="10">
        <f>IFERROR(__xludf.DUMMYFUNCTION("VALUE(REGEXEXTRACT(A3473, ""\d+""))"),4484.0)</f>
        <v>4484</v>
      </c>
    </row>
    <row r="3474">
      <c r="A3474" s="9" t="s">
        <v>14408</v>
      </c>
      <c r="B3474" s="9" t="s">
        <v>14409</v>
      </c>
      <c r="G3474" s="9" t="s">
        <v>14410</v>
      </c>
      <c r="O3474" s="10">
        <f>IFERROR(__xludf.DUMMYFUNCTION("VALUE(REGEXEXTRACT(A3474, ""\d+""))"),4485.0)</f>
        <v>4485</v>
      </c>
    </row>
    <row r="3475">
      <c r="A3475" s="9" t="s">
        <v>14411</v>
      </c>
      <c r="B3475" s="9" t="s">
        <v>14412</v>
      </c>
      <c r="G3475" s="9" t="s">
        <v>14413</v>
      </c>
      <c r="O3475" s="10">
        <f>IFERROR(__xludf.DUMMYFUNCTION("VALUE(REGEXEXTRACT(A3475, ""\d+""))"),4486.0)</f>
        <v>4486</v>
      </c>
    </row>
    <row r="3476">
      <c r="A3476" s="9" t="s">
        <v>14414</v>
      </c>
      <c r="B3476" s="9" t="s">
        <v>14415</v>
      </c>
      <c r="G3476" s="9" t="s">
        <v>14416</v>
      </c>
      <c r="O3476" s="10">
        <f>IFERROR(__xludf.DUMMYFUNCTION("VALUE(REGEXEXTRACT(A3476, ""\d+""))"),4487.0)</f>
        <v>4487</v>
      </c>
    </row>
    <row r="3477">
      <c r="A3477" s="9" t="s">
        <v>14417</v>
      </c>
      <c r="B3477" s="9" t="s">
        <v>14418</v>
      </c>
      <c r="G3477" s="9" t="s">
        <v>14419</v>
      </c>
      <c r="O3477" s="10">
        <f>IFERROR(__xludf.DUMMYFUNCTION("VALUE(REGEXEXTRACT(A3477, ""\d+""))"),4488.0)</f>
        <v>4488</v>
      </c>
    </row>
    <row r="3478">
      <c r="A3478" s="9" t="s">
        <v>14420</v>
      </c>
      <c r="B3478" s="9" t="s">
        <v>14421</v>
      </c>
      <c r="G3478" s="9" t="s">
        <v>14422</v>
      </c>
      <c r="O3478" s="10">
        <f>IFERROR(__xludf.DUMMYFUNCTION("VALUE(REGEXEXTRACT(A3478, ""\d+""))"),4489.0)</f>
        <v>4489</v>
      </c>
    </row>
    <row r="3479">
      <c r="A3479" s="9" t="s">
        <v>14423</v>
      </c>
      <c r="B3479" s="9" t="s">
        <v>14424</v>
      </c>
      <c r="G3479" s="9" t="s">
        <v>14425</v>
      </c>
      <c r="O3479" s="10">
        <f>IFERROR(__xludf.DUMMYFUNCTION("VALUE(REGEXEXTRACT(A3479, ""\d+""))"),4490.0)</f>
        <v>4490</v>
      </c>
    </row>
    <row r="3480">
      <c r="A3480" s="9" t="s">
        <v>14426</v>
      </c>
      <c r="B3480" s="9" t="s">
        <v>14427</v>
      </c>
      <c r="G3480" s="9" t="s">
        <v>14428</v>
      </c>
      <c r="O3480" s="10">
        <f>IFERROR(__xludf.DUMMYFUNCTION("VALUE(REGEXEXTRACT(A3480, ""\d+""))"),4491.0)</f>
        <v>4491</v>
      </c>
    </row>
    <row r="3481">
      <c r="A3481" s="9" t="s">
        <v>14429</v>
      </c>
      <c r="B3481" s="9" t="s">
        <v>14430</v>
      </c>
      <c r="G3481" s="9" t="s">
        <v>14431</v>
      </c>
      <c r="O3481" s="10">
        <f>IFERROR(__xludf.DUMMYFUNCTION("VALUE(REGEXEXTRACT(A3481, ""\d+""))"),4492.0)</f>
        <v>4492</v>
      </c>
    </row>
    <row r="3482">
      <c r="A3482" s="9" t="s">
        <v>14432</v>
      </c>
      <c r="B3482" s="9" t="s">
        <v>14433</v>
      </c>
      <c r="G3482" s="9" t="s">
        <v>14434</v>
      </c>
      <c r="O3482" s="10">
        <f>IFERROR(__xludf.DUMMYFUNCTION("VALUE(REGEXEXTRACT(A3482, ""\d+""))"),4493.0)</f>
        <v>4493</v>
      </c>
    </row>
    <row r="3483">
      <c r="A3483" s="9" t="s">
        <v>14435</v>
      </c>
      <c r="B3483" s="9" t="s">
        <v>14436</v>
      </c>
      <c r="G3483" s="9" t="s">
        <v>14437</v>
      </c>
      <c r="O3483" s="10">
        <f>IFERROR(__xludf.DUMMYFUNCTION("VALUE(REGEXEXTRACT(A3483, ""\d+""))"),4494.0)</f>
        <v>4494</v>
      </c>
    </row>
    <row r="3484">
      <c r="A3484" s="9" t="s">
        <v>14438</v>
      </c>
      <c r="B3484" s="9" t="s">
        <v>14439</v>
      </c>
      <c r="G3484" s="9" t="s">
        <v>14440</v>
      </c>
      <c r="O3484" s="10">
        <f>IFERROR(__xludf.DUMMYFUNCTION("VALUE(REGEXEXTRACT(A3484, ""\d+""))"),4495.0)</f>
        <v>4495</v>
      </c>
    </row>
    <row r="3485">
      <c r="A3485" s="9" t="s">
        <v>14441</v>
      </c>
      <c r="B3485" s="9" t="s">
        <v>14442</v>
      </c>
      <c r="G3485" s="9" t="s">
        <v>14443</v>
      </c>
      <c r="O3485" s="10">
        <f>IFERROR(__xludf.DUMMYFUNCTION("VALUE(REGEXEXTRACT(A3485, ""\d+""))"),4496.0)</f>
        <v>4496</v>
      </c>
    </row>
    <row r="3486">
      <c r="A3486" s="9" t="s">
        <v>14444</v>
      </c>
      <c r="B3486" s="9" t="s">
        <v>14445</v>
      </c>
      <c r="G3486" s="9" t="s">
        <v>14446</v>
      </c>
      <c r="O3486" s="10">
        <f>IFERROR(__xludf.DUMMYFUNCTION("VALUE(REGEXEXTRACT(A3486, ""\d+""))"),4497.0)</f>
        <v>4497</v>
      </c>
    </row>
    <row r="3487">
      <c r="A3487" s="9" t="s">
        <v>14447</v>
      </c>
      <c r="B3487" s="9" t="s">
        <v>14448</v>
      </c>
      <c r="G3487" s="9" t="s">
        <v>14449</v>
      </c>
      <c r="O3487" s="10">
        <f>IFERROR(__xludf.DUMMYFUNCTION("VALUE(REGEXEXTRACT(A3487, ""\d+""))"),4498.0)</f>
        <v>4498</v>
      </c>
    </row>
    <row r="3488">
      <c r="A3488" s="9" t="s">
        <v>14450</v>
      </c>
      <c r="B3488" s="9" t="s">
        <v>14451</v>
      </c>
      <c r="G3488" s="9" t="s">
        <v>14452</v>
      </c>
      <c r="O3488" s="10">
        <f>IFERROR(__xludf.DUMMYFUNCTION("VALUE(REGEXEXTRACT(A3488, ""\d+""))"),4499.0)</f>
        <v>4499</v>
      </c>
    </row>
    <row r="3489">
      <c r="A3489" s="9" t="s">
        <v>14453</v>
      </c>
      <c r="B3489" s="9" t="s">
        <v>14454</v>
      </c>
      <c r="G3489" s="9" t="s">
        <v>14455</v>
      </c>
      <c r="O3489" s="10">
        <f>IFERROR(__xludf.DUMMYFUNCTION("VALUE(REGEXEXTRACT(A3489, ""\d+""))"),4500.0)</f>
        <v>4500</v>
      </c>
    </row>
    <row r="3490">
      <c r="A3490" s="9" t="s">
        <v>14456</v>
      </c>
      <c r="B3490" s="9" t="s">
        <v>14457</v>
      </c>
      <c r="G3490" s="9" t="s">
        <v>14458</v>
      </c>
      <c r="O3490" s="10">
        <f>IFERROR(__xludf.DUMMYFUNCTION("VALUE(REGEXEXTRACT(A3490, ""\d+""))"),4501.0)</f>
        <v>4501</v>
      </c>
    </row>
    <row r="3491">
      <c r="A3491" s="9" t="s">
        <v>14459</v>
      </c>
      <c r="B3491" s="9" t="s">
        <v>14460</v>
      </c>
      <c r="G3491" s="9" t="s">
        <v>14461</v>
      </c>
      <c r="O3491" s="10">
        <f>IFERROR(__xludf.DUMMYFUNCTION("VALUE(REGEXEXTRACT(A3491, ""\d+""))"),4502.0)</f>
        <v>4502</v>
      </c>
    </row>
    <row r="3492">
      <c r="A3492" s="9" t="s">
        <v>14462</v>
      </c>
      <c r="B3492" s="9" t="s">
        <v>14463</v>
      </c>
      <c r="G3492" s="9" t="s">
        <v>14464</v>
      </c>
      <c r="O3492" s="10">
        <f>IFERROR(__xludf.DUMMYFUNCTION("VALUE(REGEXEXTRACT(A3492, ""\d+""))"),4503.0)</f>
        <v>4503</v>
      </c>
    </row>
    <row r="3493">
      <c r="A3493" s="9" t="s">
        <v>14465</v>
      </c>
      <c r="B3493" s="9" t="s">
        <v>14463</v>
      </c>
      <c r="G3493" s="9" t="s">
        <v>14464</v>
      </c>
      <c r="O3493" s="10">
        <f>IFERROR(__xludf.DUMMYFUNCTION("VALUE(REGEXEXTRACT(A3493, ""\d+""))"),4504.0)</f>
        <v>4504</v>
      </c>
    </row>
    <row r="3494">
      <c r="A3494" s="9" t="s">
        <v>14466</v>
      </c>
      <c r="B3494" s="9" t="s">
        <v>14467</v>
      </c>
      <c r="G3494" s="9" t="s">
        <v>14468</v>
      </c>
      <c r="O3494" s="10">
        <f>IFERROR(__xludf.DUMMYFUNCTION("VALUE(REGEXEXTRACT(A3494, ""\d+""))"),4510.0)</f>
        <v>4510</v>
      </c>
    </row>
    <row r="3495">
      <c r="A3495" s="9" t="s">
        <v>14469</v>
      </c>
      <c r="B3495" s="9" t="s">
        <v>14470</v>
      </c>
      <c r="G3495" s="9" t="s">
        <v>14468</v>
      </c>
      <c r="O3495" s="10">
        <f>IFERROR(__xludf.DUMMYFUNCTION("VALUE(REGEXEXTRACT(A3495, ""\d+""))"),4511.0)</f>
        <v>4511</v>
      </c>
    </row>
    <row r="3496">
      <c r="A3496" s="9" t="s">
        <v>14471</v>
      </c>
      <c r="B3496" s="9" t="s">
        <v>14472</v>
      </c>
      <c r="G3496" s="9" t="s">
        <v>14473</v>
      </c>
      <c r="O3496" s="10">
        <f>IFERROR(__xludf.DUMMYFUNCTION("VALUE(REGEXEXTRACT(A3496, ""\d+""))"),4512.0)</f>
        <v>4512</v>
      </c>
    </row>
    <row r="3497">
      <c r="A3497" s="9" t="s">
        <v>14474</v>
      </c>
      <c r="B3497" s="9" t="s">
        <v>14475</v>
      </c>
      <c r="G3497" s="9" t="s">
        <v>14476</v>
      </c>
      <c r="O3497" s="10">
        <f>IFERROR(__xludf.DUMMYFUNCTION("VALUE(REGEXEXTRACT(A3497, ""\d+""))"),4514.0)</f>
        <v>4514</v>
      </c>
    </row>
    <row r="3498">
      <c r="A3498" s="9" t="s">
        <v>14477</v>
      </c>
      <c r="B3498" s="9" t="s">
        <v>14478</v>
      </c>
      <c r="G3498" s="9" t="s">
        <v>14479</v>
      </c>
      <c r="O3498" s="10">
        <f>IFERROR(__xludf.DUMMYFUNCTION("VALUE(REGEXEXTRACT(A3498, ""\d+""))"),4515.0)</f>
        <v>4515</v>
      </c>
    </row>
    <row r="3499">
      <c r="A3499" s="9" t="s">
        <v>14480</v>
      </c>
      <c r="B3499" s="9" t="s">
        <v>14481</v>
      </c>
      <c r="G3499" s="9" t="s">
        <v>14482</v>
      </c>
      <c r="O3499" s="10">
        <f>IFERROR(__xludf.DUMMYFUNCTION("VALUE(REGEXEXTRACT(A3499, ""\d+""))"),4516.0)</f>
        <v>4516</v>
      </c>
    </row>
    <row r="3500">
      <c r="A3500" s="9" t="s">
        <v>14483</v>
      </c>
      <c r="B3500" s="9" t="s">
        <v>14484</v>
      </c>
      <c r="G3500" s="9" t="s">
        <v>14485</v>
      </c>
      <c r="O3500" s="10">
        <f>IFERROR(__xludf.DUMMYFUNCTION("VALUE(REGEXEXTRACT(A3500, ""\d+""))"),4517.0)</f>
        <v>4517</v>
      </c>
    </row>
    <row r="3501">
      <c r="A3501" s="9" t="s">
        <v>14486</v>
      </c>
      <c r="B3501" s="9" t="s">
        <v>14487</v>
      </c>
      <c r="G3501" s="9" t="s">
        <v>14488</v>
      </c>
      <c r="O3501" s="10">
        <f>IFERROR(__xludf.DUMMYFUNCTION("VALUE(REGEXEXTRACT(A3501, ""\d+""))"),4518.0)</f>
        <v>4518</v>
      </c>
    </row>
    <row r="3502">
      <c r="A3502" s="9" t="s">
        <v>14489</v>
      </c>
      <c r="B3502" s="9" t="s">
        <v>14490</v>
      </c>
      <c r="G3502" s="9" t="s">
        <v>14491</v>
      </c>
      <c r="O3502" s="10">
        <f>IFERROR(__xludf.DUMMYFUNCTION("VALUE(REGEXEXTRACT(A3502, ""\d+""))"),4522.0)</f>
        <v>4522</v>
      </c>
    </row>
    <row r="3503">
      <c r="A3503" s="9" t="s">
        <v>14492</v>
      </c>
      <c r="B3503" s="9" t="s">
        <v>14493</v>
      </c>
      <c r="G3503" s="9" t="s">
        <v>14494</v>
      </c>
      <c r="O3503" s="10">
        <f>IFERROR(__xludf.DUMMYFUNCTION("VALUE(REGEXEXTRACT(A3503, ""\d+""))"),4523.0)</f>
        <v>4523</v>
      </c>
    </row>
    <row r="3504">
      <c r="A3504" s="9" t="s">
        <v>14495</v>
      </c>
      <c r="B3504" s="9" t="s">
        <v>14496</v>
      </c>
      <c r="G3504" s="9" t="s">
        <v>14497</v>
      </c>
      <c r="O3504" s="10">
        <f>IFERROR(__xludf.DUMMYFUNCTION("VALUE(REGEXEXTRACT(A3504, ""\d+""))"),4527.0)</f>
        <v>4527</v>
      </c>
    </row>
    <row r="3505">
      <c r="A3505" s="9" t="s">
        <v>14498</v>
      </c>
      <c r="B3505" s="9" t="s">
        <v>14499</v>
      </c>
      <c r="G3505" s="9" t="s">
        <v>14500</v>
      </c>
      <c r="O3505" s="10">
        <f>IFERROR(__xludf.DUMMYFUNCTION("VALUE(REGEXEXTRACT(A3505, ""\d+""))"),4530.0)</f>
        <v>4530</v>
      </c>
    </row>
    <row r="3506">
      <c r="A3506" s="9" t="s">
        <v>14501</v>
      </c>
      <c r="B3506" s="9" t="s">
        <v>14502</v>
      </c>
      <c r="G3506" s="9" t="s">
        <v>14503</v>
      </c>
      <c r="O3506" s="10">
        <f>IFERROR(__xludf.DUMMYFUNCTION("VALUE(REGEXEXTRACT(A3506, ""\d+""))"),4531.0)</f>
        <v>4531</v>
      </c>
    </row>
    <row r="3507">
      <c r="A3507" s="9" t="s">
        <v>14504</v>
      </c>
      <c r="B3507" s="9" t="s">
        <v>14505</v>
      </c>
      <c r="G3507" s="9" t="s">
        <v>14506</v>
      </c>
      <c r="O3507" s="10">
        <f>IFERROR(__xludf.DUMMYFUNCTION("VALUE(REGEXEXTRACT(A3507, ""\d+""))"),4532.0)</f>
        <v>4532</v>
      </c>
    </row>
    <row r="3508">
      <c r="A3508" s="9" t="s">
        <v>14507</v>
      </c>
      <c r="B3508" s="9" t="s">
        <v>14508</v>
      </c>
      <c r="G3508" s="9" t="s">
        <v>14509</v>
      </c>
      <c r="O3508" s="10">
        <f>IFERROR(__xludf.DUMMYFUNCTION("VALUE(REGEXEXTRACT(A3508, ""\d+""))"),4533.0)</f>
        <v>4533</v>
      </c>
    </row>
    <row r="3509">
      <c r="A3509" s="9" t="s">
        <v>14510</v>
      </c>
      <c r="B3509" s="9" t="s">
        <v>14511</v>
      </c>
      <c r="G3509" s="9" t="s">
        <v>14512</v>
      </c>
      <c r="O3509" s="10">
        <f>IFERROR(__xludf.DUMMYFUNCTION("VALUE(REGEXEXTRACT(A3509, ""\d+""))"),4534.0)</f>
        <v>4534</v>
      </c>
    </row>
    <row r="3510">
      <c r="A3510" s="9" t="s">
        <v>14513</v>
      </c>
      <c r="B3510" s="9" t="s">
        <v>14514</v>
      </c>
      <c r="G3510" s="9" t="s">
        <v>14515</v>
      </c>
      <c r="O3510" s="10">
        <f>IFERROR(__xludf.DUMMYFUNCTION("VALUE(REGEXEXTRACT(A3510, ""\d+""))"),4535.0)</f>
        <v>4535</v>
      </c>
    </row>
    <row r="3511">
      <c r="A3511" s="9" t="s">
        <v>14516</v>
      </c>
      <c r="B3511" s="9" t="s">
        <v>14517</v>
      </c>
      <c r="G3511" s="9" t="s">
        <v>14518</v>
      </c>
      <c r="O3511" s="10">
        <f>IFERROR(__xludf.DUMMYFUNCTION("VALUE(REGEXEXTRACT(A3511, ""\d+""))"),4537.0)</f>
        <v>4537</v>
      </c>
    </row>
    <row r="3512">
      <c r="A3512" s="9" t="s">
        <v>14519</v>
      </c>
      <c r="B3512" s="9" t="s">
        <v>14520</v>
      </c>
      <c r="G3512" s="9" t="s">
        <v>14521</v>
      </c>
      <c r="O3512" s="10">
        <f>IFERROR(__xludf.DUMMYFUNCTION("VALUE(REGEXEXTRACT(A3512, ""\d+""))"),4538.0)</f>
        <v>4538</v>
      </c>
    </row>
    <row r="3513">
      <c r="A3513" s="9" t="s">
        <v>14522</v>
      </c>
      <c r="B3513" s="9" t="s">
        <v>14523</v>
      </c>
      <c r="G3513" s="9" t="s">
        <v>14524</v>
      </c>
      <c r="O3513" s="10">
        <f>IFERROR(__xludf.DUMMYFUNCTION("VALUE(REGEXEXTRACT(A3513, ""\d+""))"),4539.0)</f>
        <v>4539</v>
      </c>
    </row>
    <row r="3514">
      <c r="A3514" s="9" t="s">
        <v>14525</v>
      </c>
      <c r="B3514" s="9" t="s">
        <v>14526</v>
      </c>
      <c r="G3514" s="9" t="s">
        <v>14527</v>
      </c>
      <c r="O3514" s="10">
        <f>IFERROR(__xludf.DUMMYFUNCTION("VALUE(REGEXEXTRACT(A3514, ""\d+""))"),4541.0)</f>
        <v>4541</v>
      </c>
    </row>
    <row r="3515">
      <c r="A3515" s="9" t="s">
        <v>14528</v>
      </c>
      <c r="B3515" s="9" t="s">
        <v>14529</v>
      </c>
      <c r="G3515" s="9" t="s">
        <v>14530</v>
      </c>
      <c r="O3515" s="10">
        <f>IFERROR(__xludf.DUMMYFUNCTION("VALUE(REGEXEXTRACT(A3515, ""\d+""))"),4542.0)</f>
        <v>4542</v>
      </c>
    </row>
    <row r="3516">
      <c r="A3516" s="9" t="s">
        <v>14531</v>
      </c>
      <c r="B3516" s="9" t="s">
        <v>14532</v>
      </c>
      <c r="G3516" s="9" t="s">
        <v>14533</v>
      </c>
      <c r="O3516" s="10">
        <f>IFERROR(__xludf.DUMMYFUNCTION("VALUE(REGEXEXTRACT(A3516, ""\d+""))"),4543.0)</f>
        <v>4543</v>
      </c>
    </row>
    <row r="3517">
      <c r="A3517" s="9" t="s">
        <v>14534</v>
      </c>
      <c r="B3517" s="9" t="s">
        <v>14535</v>
      </c>
      <c r="G3517" s="9" t="s">
        <v>14536</v>
      </c>
      <c r="O3517" s="10">
        <f>IFERROR(__xludf.DUMMYFUNCTION("VALUE(REGEXEXTRACT(A3517, ""\d+""))"),4544.0)</f>
        <v>4544</v>
      </c>
    </row>
    <row r="3518">
      <c r="A3518" s="9" t="s">
        <v>14537</v>
      </c>
      <c r="B3518" s="9" t="s">
        <v>14538</v>
      </c>
      <c r="G3518" s="9" t="s">
        <v>14539</v>
      </c>
      <c r="O3518" s="10">
        <f>IFERROR(__xludf.DUMMYFUNCTION("VALUE(REGEXEXTRACT(A3518, ""\d+""))"),4545.0)</f>
        <v>4545</v>
      </c>
    </row>
    <row r="3519">
      <c r="A3519" s="9" t="s">
        <v>14540</v>
      </c>
      <c r="B3519" s="9" t="s">
        <v>14541</v>
      </c>
      <c r="G3519" s="9" t="s">
        <v>14541</v>
      </c>
      <c r="O3519" s="10">
        <f>IFERROR(__xludf.DUMMYFUNCTION("VALUE(REGEXEXTRACT(A3519, ""\d+""))"),4546.0)</f>
        <v>4546</v>
      </c>
    </row>
    <row r="3520">
      <c r="A3520" s="9" t="s">
        <v>14542</v>
      </c>
      <c r="B3520" s="9" t="s">
        <v>14543</v>
      </c>
      <c r="G3520" s="9" t="s">
        <v>14544</v>
      </c>
      <c r="O3520" s="10">
        <f>IFERROR(__xludf.DUMMYFUNCTION("VALUE(REGEXEXTRACT(A3520, ""\d+""))"),4548.0)</f>
        <v>4548</v>
      </c>
    </row>
    <row r="3521">
      <c r="A3521" s="9" t="s">
        <v>14545</v>
      </c>
      <c r="B3521" s="9" t="s">
        <v>14546</v>
      </c>
      <c r="G3521" s="9" t="s">
        <v>14547</v>
      </c>
      <c r="O3521" s="10">
        <f>IFERROR(__xludf.DUMMYFUNCTION("VALUE(REGEXEXTRACT(A3521, ""\d+""))"),4557.0)</f>
        <v>4557</v>
      </c>
    </row>
    <row r="3522">
      <c r="A3522" s="9" t="s">
        <v>14548</v>
      </c>
      <c r="B3522" s="9" t="s">
        <v>14549</v>
      </c>
      <c r="G3522" s="9" t="s">
        <v>14550</v>
      </c>
      <c r="O3522" s="10">
        <f>IFERROR(__xludf.DUMMYFUNCTION("VALUE(REGEXEXTRACT(A3522, ""\d+""))"),4558.0)</f>
        <v>4558</v>
      </c>
    </row>
    <row r="3523">
      <c r="A3523" s="9" t="s">
        <v>14551</v>
      </c>
      <c r="B3523" s="9" t="s">
        <v>14552</v>
      </c>
      <c r="G3523" s="9" t="s">
        <v>14553</v>
      </c>
      <c r="O3523" s="10">
        <f>IFERROR(__xludf.DUMMYFUNCTION("VALUE(REGEXEXTRACT(A3523, ""\d+""))"),4561.0)</f>
        <v>4561</v>
      </c>
    </row>
    <row r="3524">
      <c r="A3524" s="9" t="s">
        <v>14554</v>
      </c>
      <c r="B3524" s="9" t="s">
        <v>14555</v>
      </c>
      <c r="G3524" s="9" t="s">
        <v>14556</v>
      </c>
      <c r="O3524" s="10">
        <f>IFERROR(__xludf.DUMMYFUNCTION("VALUE(REGEXEXTRACT(A3524, ""\d+""))"),4563.0)</f>
        <v>4563</v>
      </c>
    </row>
    <row r="3525">
      <c r="A3525" s="9" t="s">
        <v>14557</v>
      </c>
      <c r="B3525" s="9" t="s">
        <v>14558</v>
      </c>
      <c r="G3525" s="9" t="s">
        <v>14559</v>
      </c>
      <c r="O3525" s="10">
        <f>IFERROR(__xludf.DUMMYFUNCTION("VALUE(REGEXEXTRACT(A3525, ""\d+""))"),4564.0)</f>
        <v>4564</v>
      </c>
    </row>
    <row r="3526">
      <c r="A3526" s="9" t="s">
        <v>14560</v>
      </c>
      <c r="B3526" s="9" t="s">
        <v>14561</v>
      </c>
      <c r="G3526" s="9" t="s">
        <v>14562</v>
      </c>
      <c r="O3526" s="10">
        <f>IFERROR(__xludf.DUMMYFUNCTION("VALUE(REGEXEXTRACT(A3526, ""\d+""))"),4565.0)</f>
        <v>4565</v>
      </c>
    </row>
    <row r="3527">
      <c r="A3527" s="9" t="s">
        <v>14563</v>
      </c>
      <c r="B3527" s="9" t="s">
        <v>14564</v>
      </c>
      <c r="G3527" s="9" t="s">
        <v>14565</v>
      </c>
      <c r="O3527" s="10">
        <f>IFERROR(__xludf.DUMMYFUNCTION("VALUE(REGEXEXTRACT(A3527, ""\d+""))"),4566.0)</f>
        <v>4566</v>
      </c>
    </row>
    <row r="3528">
      <c r="A3528" s="9" t="s">
        <v>14566</v>
      </c>
      <c r="B3528" s="9" t="s">
        <v>14567</v>
      </c>
      <c r="G3528" s="9" t="s">
        <v>14568</v>
      </c>
      <c r="O3528" s="10">
        <f>IFERROR(__xludf.DUMMYFUNCTION("VALUE(REGEXEXTRACT(A3528, ""\d+""))"),4567.0)</f>
        <v>4567</v>
      </c>
    </row>
    <row r="3529">
      <c r="A3529" s="9" t="s">
        <v>14569</v>
      </c>
      <c r="B3529" s="9" t="s">
        <v>14570</v>
      </c>
      <c r="G3529" s="9" t="s">
        <v>14571</v>
      </c>
      <c r="O3529" s="10">
        <f>IFERROR(__xludf.DUMMYFUNCTION("VALUE(REGEXEXTRACT(A3529, ""\d+""))"),4568.0)</f>
        <v>4568</v>
      </c>
    </row>
    <row r="3530">
      <c r="A3530" s="9" t="s">
        <v>14572</v>
      </c>
      <c r="B3530" s="9" t="s">
        <v>14573</v>
      </c>
      <c r="G3530" s="9" t="s">
        <v>14574</v>
      </c>
      <c r="O3530" s="10">
        <f>IFERROR(__xludf.DUMMYFUNCTION("VALUE(REGEXEXTRACT(A3530, ""\d+""))"),4569.0)</f>
        <v>4569</v>
      </c>
    </row>
    <row r="3531">
      <c r="A3531" s="9" t="s">
        <v>14575</v>
      </c>
      <c r="B3531" s="9" t="s">
        <v>14576</v>
      </c>
      <c r="O3531" s="10">
        <f>IFERROR(__xludf.DUMMYFUNCTION("VALUE(REGEXEXTRACT(A3531, ""\d+""))"),4570.0)</f>
        <v>4570</v>
      </c>
    </row>
    <row r="3532">
      <c r="A3532" s="9" t="s">
        <v>14577</v>
      </c>
      <c r="B3532" s="9" t="s">
        <v>14578</v>
      </c>
      <c r="O3532" s="10">
        <f>IFERROR(__xludf.DUMMYFUNCTION("VALUE(REGEXEXTRACT(A3532, ""\d+""))"),4571.0)</f>
        <v>4571</v>
      </c>
    </row>
    <row r="3533">
      <c r="A3533" s="9" t="s">
        <v>14579</v>
      </c>
      <c r="B3533" s="9" t="s">
        <v>14580</v>
      </c>
      <c r="G3533" s="9" t="s">
        <v>14581</v>
      </c>
      <c r="O3533" s="10">
        <f>IFERROR(__xludf.DUMMYFUNCTION("VALUE(REGEXEXTRACT(A3533, ""\d+""))"),4572.0)</f>
        <v>4572</v>
      </c>
    </row>
    <row r="3534">
      <c r="A3534" s="9" t="s">
        <v>14582</v>
      </c>
      <c r="B3534" s="9" t="s">
        <v>14583</v>
      </c>
      <c r="G3534" s="9" t="s">
        <v>14584</v>
      </c>
      <c r="O3534" s="10">
        <f>IFERROR(__xludf.DUMMYFUNCTION("VALUE(REGEXEXTRACT(A3534, ""\d+""))"),4573.0)</f>
        <v>4573</v>
      </c>
    </row>
    <row r="3535">
      <c r="A3535" s="9" t="s">
        <v>14585</v>
      </c>
      <c r="B3535" s="9" t="s">
        <v>14586</v>
      </c>
      <c r="G3535" s="9" t="s">
        <v>14587</v>
      </c>
      <c r="O3535" s="10">
        <f>IFERROR(__xludf.DUMMYFUNCTION("VALUE(REGEXEXTRACT(A3535, ""\d+""))"),4574.0)</f>
        <v>4574</v>
      </c>
    </row>
    <row r="3536">
      <c r="A3536" s="9" t="s">
        <v>14588</v>
      </c>
      <c r="B3536" s="9" t="s">
        <v>14589</v>
      </c>
      <c r="G3536" s="9" t="s">
        <v>14590</v>
      </c>
      <c r="O3536" s="10">
        <f>IFERROR(__xludf.DUMMYFUNCTION("VALUE(REGEXEXTRACT(A3536, ""\d+""))"),4575.0)</f>
        <v>4575</v>
      </c>
    </row>
    <row r="3537">
      <c r="A3537" s="9" t="s">
        <v>14591</v>
      </c>
      <c r="B3537" s="9" t="s">
        <v>14592</v>
      </c>
      <c r="G3537" s="9" t="s">
        <v>14593</v>
      </c>
      <c r="O3537" s="10">
        <f>IFERROR(__xludf.DUMMYFUNCTION("VALUE(REGEXEXTRACT(A3537, ""\d+""))"),4576.0)</f>
        <v>4576</v>
      </c>
    </row>
    <row r="3538">
      <c r="A3538" s="9" t="s">
        <v>14594</v>
      </c>
      <c r="B3538" s="9" t="s">
        <v>14595</v>
      </c>
      <c r="G3538" s="9" t="s">
        <v>14596</v>
      </c>
      <c r="O3538" s="10">
        <f>IFERROR(__xludf.DUMMYFUNCTION("VALUE(REGEXEXTRACT(A3538, ""\d+""))"),4577.0)</f>
        <v>4577</v>
      </c>
    </row>
    <row r="3539">
      <c r="A3539" s="9" t="s">
        <v>14597</v>
      </c>
      <c r="B3539" s="9" t="s">
        <v>14598</v>
      </c>
      <c r="G3539" s="9" t="s">
        <v>14599</v>
      </c>
      <c r="O3539" s="10">
        <f>IFERROR(__xludf.DUMMYFUNCTION("VALUE(REGEXEXTRACT(A3539, ""\d+""))"),4578.0)</f>
        <v>4578</v>
      </c>
    </row>
    <row r="3540">
      <c r="A3540" s="9" t="s">
        <v>14600</v>
      </c>
      <c r="B3540" s="9" t="s">
        <v>14601</v>
      </c>
      <c r="G3540" s="9" t="s">
        <v>14602</v>
      </c>
      <c r="O3540" s="10">
        <f>IFERROR(__xludf.DUMMYFUNCTION("VALUE(REGEXEXTRACT(A3540, ""\d+""))"),4579.0)</f>
        <v>4579</v>
      </c>
    </row>
    <row r="3541">
      <c r="A3541" s="9" t="s">
        <v>14603</v>
      </c>
      <c r="B3541" s="9" t="s">
        <v>14604</v>
      </c>
      <c r="G3541" s="9" t="s">
        <v>14605</v>
      </c>
      <c r="O3541" s="10">
        <f>IFERROR(__xludf.DUMMYFUNCTION("VALUE(REGEXEXTRACT(A3541, ""\d+""))"),4580.0)</f>
        <v>4580</v>
      </c>
    </row>
    <row r="3542">
      <c r="A3542" s="9" t="s">
        <v>14606</v>
      </c>
      <c r="B3542" s="9" t="s">
        <v>14607</v>
      </c>
      <c r="O3542" s="10">
        <f>IFERROR(__xludf.DUMMYFUNCTION("VALUE(REGEXEXTRACT(A3542, ""\d+""))"),4583.0)</f>
        <v>4583</v>
      </c>
    </row>
    <row r="3543">
      <c r="A3543" s="9" t="s">
        <v>14608</v>
      </c>
      <c r="B3543" s="9" t="s">
        <v>14609</v>
      </c>
      <c r="G3543" s="9" t="s">
        <v>14610</v>
      </c>
      <c r="O3543" s="10">
        <f>IFERROR(__xludf.DUMMYFUNCTION("VALUE(REGEXEXTRACT(A3543, ""\d+""))"),4584.0)</f>
        <v>4584</v>
      </c>
    </row>
    <row r="3544">
      <c r="A3544" s="9" t="s">
        <v>14611</v>
      </c>
      <c r="B3544" s="9" t="s">
        <v>14612</v>
      </c>
      <c r="G3544" s="9" t="s">
        <v>14613</v>
      </c>
      <c r="O3544" s="10">
        <f>IFERROR(__xludf.DUMMYFUNCTION("VALUE(REGEXEXTRACT(A3544, ""\d+""))"),4585.0)</f>
        <v>4585</v>
      </c>
    </row>
    <row r="3545">
      <c r="A3545" s="9" t="s">
        <v>14614</v>
      </c>
      <c r="B3545" s="9" t="s">
        <v>14615</v>
      </c>
      <c r="G3545" s="9" t="s">
        <v>14616</v>
      </c>
      <c r="O3545" s="10">
        <f>IFERROR(__xludf.DUMMYFUNCTION("VALUE(REGEXEXTRACT(A3545, ""\d+""))"),4589.0)</f>
        <v>4589</v>
      </c>
    </row>
    <row r="3546">
      <c r="A3546" s="9" t="s">
        <v>14617</v>
      </c>
      <c r="B3546" s="9" t="s">
        <v>14618</v>
      </c>
      <c r="G3546" s="9" t="s">
        <v>14619</v>
      </c>
      <c r="O3546" s="10">
        <f>IFERROR(__xludf.DUMMYFUNCTION("VALUE(REGEXEXTRACT(A3546, ""\d+""))"),4590.0)</f>
        <v>4590</v>
      </c>
    </row>
    <row r="3547">
      <c r="A3547" s="9" t="s">
        <v>14620</v>
      </c>
      <c r="B3547" s="9" t="s">
        <v>14621</v>
      </c>
      <c r="G3547" s="9" t="s">
        <v>14622</v>
      </c>
      <c r="O3547" s="10">
        <f>IFERROR(__xludf.DUMMYFUNCTION("VALUE(REGEXEXTRACT(A3547, ""\d+""))"),4591.0)</f>
        <v>4591</v>
      </c>
    </row>
    <row r="3548">
      <c r="A3548" s="9" t="s">
        <v>14623</v>
      </c>
      <c r="B3548" s="9" t="s">
        <v>14624</v>
      </c>
      <c r="G3548" s="9" t="s">
        <v>14625</v>
      </c>
      <c r="O3548" s="10">
        <f>IFERROR(__xludf.DUMMYFUNCTION("VALUE(REGEXEXTRACT(A3548, ""\d+""))"),4592.0)</f>
        <v>4592</v>
      </c>
    </row>
    <row r="3549">
      <c r="A3549" s="9" t="s">
        <v>14626</v>
      </c>
      <c r="B3549" s="9" t="s">
        <v>14627</v>
      </c>
      <c r="G3549" s="9" t="s">
        <v>14628</v>
      </c>
      <c r="O3549" s="10">
        <f>IFERROR(__xludf.DUMMYFUNCTION("VALUE(REGEXEXTRACT(A3549, ""\d+""))"),4593.0)</f>
        <v>4593</v>
      </c>
    </row>
    <row r="3550">
      <c r="A3550" s="9" t="s">
        <v>14629</v>
      </c>
      <c r="B3550" s="9" t="s">
        <v>14630</v>
      </c>
      <c r="G3550" s="9" t="s">
        <v>14631</v>
      </c>
      <c r="O3550" s="10">
        <f>IFERROR(__xludf.DUMMYFUNCTION("VALUE(REGEXEXTRACT(A3550, ""\d+""))"),4594.0)</f>
        <v>4594</v>
      </c>
    </row>
    <row r="3551">
      <c r="A3551" s="9" t="s">
        <v>14632</v>
      </c>
      <c r="B3551" s="9" t="s">
        <v>14633</v>
      </c>
      <c r="G3551" s="9" t="s">
        <v>14634</v>
      </c>
      <c r="O3551" s="10">
        <f>IFERROR(__xludf.DUMMYFUNCTION("VALUE(REGEXEXTRACT(A3551, ""\d+""))"),4595.0)</f>
        <v>4595</v>
      </c>
    </row>
    <row r="3552">
      <c r="A3552" s="9" t="s">
        <v>14635</v>
      </c>
      <c r="B3552" s="9" t="s">
        <v>14636</v>
      </c>
      <c r="G3552" s="9" t="s">
        <v>14637</v>
      </c>
      <c r="O3552" s="10">
        <f>IFERROR(__xludf.DUMMYFUNCTION("VALUE(REGEXEXTRACT(A3552, ""\d+""))"),4596.0)</f>
        <v>4596</v>
      </c>
    </row>
    <row r="3553">
      <c r="A3553" s="9" t="s">
        <v>14638</v>
      </c>
      <c r="B3553" s="9" t="s">
        <v>14639</v>
      </c>
      <c r="G3553" s="9" t="s">
        <v>14640</v>
      </c>
      <c r="O3553" s="10">
        <f>IFERROR(__xludf.DUMMYFUNCTION("VALUE(REGEXEXTRACT(A3553, ""\d+""))"),4597.0)</f>
        <v>4597</v>
      </c>
    </row>
    <row r="3554">
      <c r="A3554" s="9" t="s">
        <v>14641</v>
      </c>
      <c r="B3554" s="9" t="s">
        <v>14642</v>
      </c>
      <c r="G3554" s="9" t="s">
        <v>14643</v>
      </c>
      <c r="O3554" s="10">
        <f>IFERROR(__xludf.DUMMYFUNCTION("VALUE(REGEXEXTRACT(A3554, ""\d+""))"),4598.0)</f>
        <v>4598</v>
      </c>
    </row>
    <row r="3555">
      <c r="A3555" s="9" t="s">
        <v>14644</v>
      </c>
      <c r="B3555" s="9" t="s">
        <v>14645</v>
      </c>
      <c r="G3555" s="9" t="s">
        <v>14646</v>
      </c>
      <c r="O3555" s="10">
        <f>IFERROR(__xludf.DUMMYFUNCTION("VALUE(REGEXEXTRACT(A3555, ""\d+""))"),4599.0)</f>
        <v>4599</v>
      </c>
    </row>
    <row r="3556">
      <c r="A3556" s="9" t="s">
        <v>14647</v>
      </c>
      <c r="B3556" s="9" t="s">
        <v>14648</v>
      </c>
      <c r="G3556" s="9" t="s">
        <v>14649</v>
      </c>
      <c r="O3556" s="10">
        <f>IFERROR(__xludf.DUMMYFUNCTION("VALUE(REGEXEXTRACT(A3556, ""\d+""))"),4600.0)</f>
        <v>4600</v>
      </c>
    </row>
    <row r="3557">
      <c r="A3557" s="9" t="s">
        <v>14650</v>
      </c>
      <c r="B3557" s="9" t="s">
        <v>14651</v>
      </c>
      <c r="G3557" s="9" t="s">
        <v>14652</v>
      </c>
      <c r="O3557" s="10">
        <f>IFERROR(__xludf.DUMMYFUNCTION("VALUE(REGEXEXTRACT(A3557, ""\d+""))"),4601.0)</f>
        <v>4601</v>
      </c>
    </row>
    <row r="3558">
      <c r="A3558" s="9" t="s">
        <v>14653</v>
      </c>
      <c r="B3558" s="9" t="s">
        <v>14654</v>
      </c>
      <c r="G3558" s="9" t="s">
        <v>14655</v>
      </c>
      <c r="O3558" s="10">
        <f>IFERROR(__xludf.DUMMYFUNCTION("VALUE(REGEXEXTRACT(A3558, ""\d+""))"),4602.0)</f>
        <v>4602</v>
      </c>
    </row>
    <row r="3559">
      <c r="A3559" s="9" t="s">
        <v>14656</v>
      </c>
      <c r="B3559" s="9" t="s">
        <v>14657</v>
      </c>
      <c r="G3559" s="9" t="s">
        <v>14658</v>
      </c>
      <c r="O3559" s="10">
        <f>IFERROR(__xludf.DUMMYFUNCTION("VALUE(REGEXEXTRACT(A3559, ""\d+""))"),4603.0)</f>
        <v>4603</v>
      </c>
    </row>
    <row r="3560">
      <c r="A3560" s="9" t="s">
        <v>14659</v>
      </c>
      <c r="B3560" s="9" t="s">
        <v>14660</v>
      </c>
      <c r="G3560" s="9" t="s">
        <v>14661</v>
      </c>
      <c r="O3560" s="10">
        <f>IFERROR(__xludf.DUMMYFUNCTION("VALUE(REGEXEXTRACT(A3560, ""\d+""))"),4604.0)</f>
        <v>4604</v>
      </c>
    </row>
    <row r="3561">
      <c r="A3561" s="9" t="s">
        <v>14662</v>
      </c>
      <c r="B3561" s="9" t="s">
        <v>14663</v>
      </c>
      <c r="G3561" s="9" t="s">
        <v>14663</v>
      </c>
      <c r="O3561" s="10">
        <f>IFERROR(__xludf.DUMMYFUNCTION("VALUE(REGEXEXTRACT(A3561, ""\d+""))"),4605.0)</f>
        <v>4605</v>
      </c>
    </row>
    <row r="3562">
      <c r="A3562" s="9" t="s">
        <v>14664</v>
      </c>
      <c r="B3562" s="9" t="s">
        <v>14665</v>
      </c>
      <c r="G3562" s="9" t="s">
        <v>14665</v>
      </c>
      <c r="O3562" s="10">
        <f>IFERROR(__xludf.DUMMYFUNCTION("VALUE(REGEXEXTRACT(A3562, ""\d+""))"),4606.0)</f>
        <v>4606</v>
      </c>
    </row>
    <row r="3563">
      <c r="A3563" s="9" t="s">
        <v>14666</v>
      </c>
      <c r="B3563" s="9" t="s">
        <v>14667</v>
      </c>
      <c r="G3563" s="9" t="s">
        <v>14667</v>
      </c>
      <c r="O3563" s="10">
        <f>IFERROR(__xludf.DUMMYFUNCTION("VALUE(REGEXEXTRACT(A3563, ""\d+""))"),4607.0)</f>
        <v>4607</v>
      </c>
    </row>
    <row r="3564">
      <c r="A3564" s="9" t="s">
        <v>14668</v>
      </c>
      <c r="B3564" s="9" t="s">
        <v>14669</v>
      </c>
      <c r="G3564" s="9" t="s">
        <v>14669</v>
      </c>
      <c r="O3564" s="10">
        <f>IFERROR(__xludf.DUMMYFUNCTION("VALUE(REGEXEXTRACT(A3564, ""\d+""))"),4608.0)</f>
        <v>4608</v>
      </c>
    </row>
    <row r="3565">
      <c r="A3565" s="9" t="s">
        <v>14670</v>
      </c>
      <c r="B3565" s="9" t="s">
        <v>14671</v>
      </c>
      <c r="G3565" s="9" t="s">
        <v>14672</v>
      </c>
      <c r="O3565" s="10">
        <f>IFERROR(__xludf.DUMMYFUNCTION("VALUE(REGEXEXTRACT(A3565, ""\d+""))"),4609.0)</f>
        <v>4609</v>
      </c>
    </row>
    <row r="3566">
      <c r="A3566" s="9" t="s">
        <v>14673</v>
      </c>
      <c r="B3566" s="9" t="s">
        <v>14674</v>
      </c>
      <c r="G3566" s="9" t="s">
        <v>14675</v>
      </c>
      <c r="O3566" s="10">
        <f>IFERROR(__xludf.DUMMYFUNCTION("VALUE(REGEXEXTRACT(A3566, ""\d+""))"),4610.0)</f>
        <v>4610</v>
      </c>
    </row>
    <row r="3567">
      <c r="A3567" s="9" t="s">
        <v>14676</v>
      </c>
      <c r="B3567" s="9" t="s">
        <v>14677</v>
      </c>
      <c r="G3567" s="9" t="s">
        <v>14678</v>
      </c>
      <c r="O3567" s="10">
        <f>IFERROR(__xludf.DUMMYFUNCTION("VALUE(REGEXEXTRACT(A3567, ""\d+""))"),4611.0)</f>
        <v>4611</v>
      </c>
    </row>
    <row r="3568">
      <c r="A3568" s="9" t="s">
        <v>14679</v>
      </c>
      <c r="B3568" s="9" t="s">
        <v>14680</v>
      </c>
      <c r="G3568" s="9" t="s">
        <v>14680</v>
      </c>
      <c r="O3568" s="10">
        <f>IFERROR(__xludf.DUMMYFUNCTION("VALUE(REGEXEXTRACT(A3568, ""\d+""))"),4612.0)</f>
        <v>4612</v>
      </c>
    </row>
    <row r="3569">
      <c r="A3569" s="9" t="s">
        <v>14681</v>
      </c>
      <c r="B3569" s="9" t="s">
        <v>14682</v>
      </c>
      <c r="G3569" s="9" t="s">
        <v>14682</v>
      </c>
      <c r="O3569" s="10">
        <f>IFERROR(__xludf.DUMMYFUNCTION("VALUE(REGEXEXTRACT(A3569, ""\d+""))"),4613.0)</f>
        <v>4613</v>
      </c>
    </row>
    <row r="3570">
      <c r="A3570" s="9" t="s">
        <v>14683</v>
      </c>
      <c r="B3570" s="9" t="s">
        <v>14684</v>
      </c>
      <c r="G3570" s="9" t="s">
        <v>14685</v>
      </c>
      <c r="O3570" s="10">
        <f>IFERROR(__xludf.DUMMYFUNCTION("VALUE(REGEXEXTRACT(A3570, ""\d+""))"),4615.0)</f>
        <v>4615</v>
      </c>
    </row>
    <row r="3571">
      <c r="A3571" s="9" t="s">
        <v>14686</v>
      </c>
      <c r="B3571" s="9" t="s">
        <v>14687</v>
      </c>
      <c r="G3571" s="9" t="s">
        <v>14688</v>
      </c>
      <c r="O3571" s="10">
        <f>IFERROR(__xludf.DUMMYFUNCTION("VALUE(REGEXEXTRACT(A3571, ""\d+""))"),4620.0)</f>
        <v>4620</v>
      </c>
    </row>
    <row r="3572">
      <c r="A3572" s="9" t="s">
        <v>14689</v>
      </c>
      <c r="B3572" s="9" t="s">
        <v>14690</v>
      </c>
      <c r="G3572" s="9" t="s">
        <v>14691</v>
      </c>
      <c r="O3572" s="10">
        <f>IFERROR(__xludf.DUMMYFUNCTION("VALUE(REGEXEXTRACT(A3572, ""\d+""))"),4621.0)</f>
        <v>4621</v>
      </c>
    </row>
    <row r="3573">
      <c r="A3573" s="9" t="s">
        <v>14692</v>
      </c>
      <c r="B3573" s="9" t="s">
        <v>14693</v>
      </c>
      <c r="G3573" s="9" t="s">
        <v>14694</v>
      </c>
      <c r="O3573" s="10">
        <f>IFERROR(__xludf.DUMMYFUNCTION("VALUE(REGEXEXTRACT(A3573, ""\d+""))"),4624.0)</f>
        <v>4624</v>
      </c>
    </row>
    <row r="3574">
      <c r="A3574" s="9" t="s">
        <v>14695</v>
      </c>
      <c r="B3574" s="9" t="s">
        <v>14696</v>
      </c>
      <c r="G3574" s="9" t="s">
        <v>14697</v>
      </c>
      <c r="O3574" s="10">
        <f>IFERROR(__xludf.DUMMYFUNCTION("VALUE(REGEXEXTRACT(A3574, ""\d+""))"),4625.0)</f>
        <v>4625</v>
      </c>
    </row>
    <row r="3575">
      <c r="A3575" s="9" t="s">
        <v>14698</v>
      </c>
      <c r="B3575" s="9" t="s">
        <v>14699</v>
      </c>
      <c r="G3575" s="9" t="s">
        <v>14699</v>
      </c>
      <c r="O3575" s="10">
        <f>IFERROR(__xludf.DUMMYFUNCTION("VALUE(REGEXEXTRACT(A3575, ""\d+""))"),4627.0)</f>
        <v>4627</v>
      </c>
    </row>
    <row r="3576">
      <c r="A3576" s="9" t="s">
        <v>14700</v>
      </c>
      <c r="B3576" s="9" t="s">
        <v>14701</v>
      </c>
      <c r="G3576" s="9" t="s">
        <v>14702</v>
      </c>
      <c r="O3576" s="10">
        <f>IFERROR(__xludf.DUMMYFUNCTION("VALUE(REGEXEXTRACT(A3576, ""\d+""))"),4628.0)</f>
        <v>4628</v>
      </c>
    </row>
    <row r="3577">
      <c r="A3577" s="9" t="s">
        <v>14703</v>
      </c>
      <c r="B3577" s="9" t="s">
        <v>14704</v>
      </c>
      <c r="G3577" s="9" t="s">
        <v>14705</v>
      </c>
      <c r="O3577" s="10">
        <f>IFERROR(__xludf.DUMMYFUNCTION("VALUE(REGEXEXTRACT(A3577, ""\d+""))"),4629.0)</f>
        <v>4629</v>
      </c>
    </row>
    <row r="3578">
      <c r="A3578" s="9" t="s">
        <v>14706</v>
      </c>
      <c r="B3578" s="9" t="s">
        <v>14707</v>
      </c>
      <c r="G3578" s="9" t="s">
        <v>14708</v>
      </c>
      <c r="O3578" s="10">
        <f>IFERROR(__xludf.DUMMYFUNCTION("VALUE(REGEXEXTRACT(A3578, ""\d+""))"),4630.0)</f>
        <v>4630</v>
      </c>
    </row>
    <row r="3579">
      <c r="A3579" s="9" t="s">
        <v>14709</v>
      </c>
      <c r="B3579" s="9" t="s">
        <v>14710</v>
      </c>
      <c r="G3579" s="9" t="s">
        <v>14711</v>
      </c>
      <c r="O3579" s="10">
        <f>IFERROR(__xludf.DUMMYFUNCTION("VALUE(REGEXEXTRACT(A3579, ""\d+""))"),4631.0)</f>
        <v>4631</v>
      </c>
    </row>
    <row r="3580">
      <c r="A3580" s="9" t="s">
        <v>14712</v>
      </c>
      <c r="B3580" s="9" t="s">
        <v>14713</v>
      </c>
      <c r="G3580" s="9" t="s">
        <v>14714</v>
      </c>
      <c r="O3580" s="10">
        <f>IFERROR(__xludf.DUMMYFUNCTION("VALUE(REGEXEXTRACT(A3580, ""\d+""))"),4632.0)</f>
        <v>4632</v>
      </c>
    </row>
    <row r="3581">
      <c r="A3581" s="9" t="s">
        <v>14715</v>
      </c>
      <c r="B3581" s="9" t="s">
        <v>14716</v>
      </c>
      <c r="G3581" s="9" t="s">
        <v>14717</v>
      </c>
      <c r="O3581" s="10">
        <f>IFERROR(__xludf.DUMMYFUNCTION("VALUE(REGEXEXTRACT(A3581, ""\d+""))"),4633.0)</f>
        <v>4633</v>
      </c>
    </row>
    <row r="3582">
      <c r="A3582" s="9" t="s">
        <v>14718</v>
      </c>
      <c r="B3582" s="9" t="s">
        <v>14719</v>
      </c>
      <c r="G3582" s="9" t="s">
        <v>14720</v>
      </c>
      <c r="O3582" s="10">
        <f>IFERROR(__xludf.DUMMYFUNCTION("VALUE(REGEXEXTRACT(A3582, ""\d+""))"),4634.0)</f>
        <v>4634</v>
      </c>
    </row>
    <row r="3583">
      <c r="A3583" s="9" t="s">
        <v>14721</v>
      </c>
      <c r="B3583" s="9" t="s">
        <v>14722</v>
      </c>
      <c r="G3583" s="9" t="s">
        <v>14723</v>
      </c>
      <c r="O3583" s="10">
        <f>IFERROR(__xludf.DUMMYFUNCTION("VALUE(REGEXEXTRACT(A3583, ""\d+""))"),4635.0)</f>
        <v>4635</v>
      </c>
    </row>
    <row r="3584">
      <c r="A3584" s="9" t="s">
        <v>14724</v>
      </c>
      <c r="B3584" s="9" t="s">
        <v>14725</v>
      </c>
      <c r="G3584" s="9" t="s">
        <v>14726</v>
      </c>
      <c r="O3584" s="10">
        <f>IFERROR(__xludf.DUMMYFUNCTION("VALUE(REGEXEXTRACT(A3584, ""\d+""))"),4636.0)</f>
        <v>4636</v>
      </c>
    </row>
    <row r="3585">
      <c r="A3585" s="9" t="s">
        <v>14727</v>
      </c>
      <c r="B3585" s="9" t="s">
        <v>14728</v>
      </c>
      <c r="G3585" s="9" t="s">
        <v>14729</v>
      </c>
      <c r="O3585" s="10">
        <f>IFERROR(__xludf.DUMMYFUNCTION("VALUE(REGEXEXTRACT(A3585, ""\d+""))"),4637.0)</f>
        <v>4637</v>
      </c>
    </row>
    <row r="3586">
      <c r="A3586" s="9" t="s">
        <v>14730</v>
      </c>
      <c r="B3586" s="9" t="s">
        <v>14731</v>
      </c>
      <c r="G3586" s="9" t="s">
        <v>14732</v>
      </c>
      <c r="O3586" s="10">
        <f>IFERROR(__xludf.DUMMYFUNCTION("VALUE(REGEXEXTRACT(A3586, ""\d+""))"),4638.0)</f>
        <v>4638</v>
      </c>
    </row>
    <row r="3587">
      <c r="A3587" s="9" t="s">
        <v>14733</v>
      </c>
      <c r="B3587" s="9" t="s">
        <v>14734</v>
      </c>
      <c r="G3587" s="9" t="s">
        <v>14735</v>
      </c>
      <c r="O3587" s="10">
        <f>IFERROR(__xludf.DUMMYFUNCTION("VALUE(REGEXEXTRACT(A3587, ""\d+""))"),4639.0)</f>
        <v>4639</v>
      </c>
    </row>
    <row r="3588">
      <c r="A3588" s="9" t="s">
        <v>14736</v>
      </c>
      <c r="B3588" s="9" t="s">
        <v>14737</v>
      </c>
      <c r="G3588" s="9" t="s">
        <v>14738</v>
      </c>
      <c r="O3588" s="10">
        <f>IFERROR(__xludf.DUMMYFUNCTION("VALUE(REGEXEXTRACT(A3588, ""\d+""))"),4640.0)</f>
        <v>4640</v>
      </c>
    </row>
    <row r="3589">
      <c r="A3589" s="9" t="s">
        <v>14739</v>
      </c>
      <c r="B3589" s="9" t="s">
        <v>14740</v>
      </c>
      <c r="G3589" s="9" t="s">
        <v>14741</v>
      </c>
      <c r="O3589" s="10">
        <f>IFERROR(__xludf.DUMMYFUNCTION("VALUE(REGEXEXTRACT(A3589, ""\d+""))"),4641.0)</f>
        <v>4641</v>
      </c>
    </row>
    <row r="3590">
      <c r="A3590" s="9" t="s">
        <v>14742</v>
      </c>
      <c r="B3590" s="9" t="s">
        <v>14743</v>
      </c>
      <c r="G3590" s="9" t="s">
        <v>14744</v>
      </c>
      <c r="O3590" s="10">
        <f>IFERROR(__xludf.DUMMYFUNCTION("VALUE(REGEXEXTRACT(A3590, ""\d+""))"),4642.0)</f>
        <v>4642</v>
      </c>
    </row>
    <row r="3591">
      <c r="A3591" s="9" t="s">
        <v>14745</v>
      </c>
      <c r="B3591" s="9" t="s">
        <v>14746</v>
      </c>
      <c r="G3591" s="9" t="s">
        <v>14747</v>
      </c>
      <c r="O3591" s="10">
        <f>IFERROR(__xludf.DUMMYFUNCTION("VALUE(REGEXEXTRACT(A3591, ""\d+""))"),4643.0)</f>
        <v>4643</v>
      </c>
    </row>
    <row r="3592">
      <c r="A3592" s="9" t="s">
        <v>14748</v>
      </c>
      <c r="B3592" s="9" t="s">
        <v>14749</v>
      </c>
      <c r="G3592" s="9" t="s">
        <v>14750</v>
      </c>
      <c r="O3592" s="10">
        <f>IFERROR(__xludf.DUMMYFUNCTION("VALUE(REGEXEXTRACT(A3592, ""\d+""))"),4644.0)</f>
        <v>4644</v>
      </c>
    </row>
    <row r="3593">
      <c r="A3593" s="9" t="s">
        <v>14751</v>
      </c>
      <c r="B3593" s="9" t="s">
        <v>14752</v>
      </c>
      <c r="G3593" s="9" t="s">
        <v>14753</v>
      </c>
      <c r="O3593" s="10">
        <f>IFERROR(__xludf.DUMMYFUNCTION("VALUE(REGEXEXTRACT(A3593, ""\d+""))"),4645.0)</f>
        <v>4645</v>
      </c>
    </row>
    <row r="3594">
      <c r="A3594" s="9" t="s">
        <v>14754</v>
      </c>
      <c r="B3594" s="9" t="s">
        <v>14755</v>
      </c>
      <c r="G3594" s="9" t="s">
        <v>14756</v>
      </c>
      <c r="O3594" s="10">
        <f>IFERROR(__xludf.DUMMYFUNCTION("VALUE(REGEXEXTRACT(A3594, ""\d+""))"),4646.0)</f>
        <v>4646</v>
      </c>
    </row>
    <row r="3595">
      <c r="A3595" s="9" t="s">
        <v>14757</v>
      </c>
      <c r="B3595" s="9" t="s">
        <v>14758</v>
      </c>
      <c r="G3595" s="9" t="s">
        <v>14759</v>
      </c>
      <c r="O3595" s="10">
        <f>IFERROR(__xludf.DUMMYFUNCTION("VALUE(REGEXEXTRACT(A3595, ""\d+""))"),4647.0)</f>
        <v>4647</v>
      </c>
    </row>
    <row r="3596">
      <c r="A3596" s="9" t="s">
        <v>14760</v>
      </c>
      <c r="B3596" s="9" t="s">
        <v>14761</v>
      </c>
      <c r="G3596" s="9" t="s">
        <v>14762</v>
      </c>
      <c r="O3596" s="10">
        <f>IFERROR(__xludf.DUMMYFUNCTION("VALUE(REGEXEXTRACT(A3596, ""\d+""))"),4648.0)</f>
        <v>4648</v>
      </c>
    </row>
    <row r="3597">
      <c r="A3597" s="9" t="s">
        <v>14763</v>
      </c>
      <c r="B3597" s="9" t="s">
        <v>14764</v>
      </c>
      <c r="G3597" s="9" t="s">
        <v>14765</v>
      </c>
      <c r="O3597" s="10">
        <f>IFERROR(__xludf.DUMMYFUNCTION("VALUE(REGEXEXTRACT(A3597, ""\d+""))"),4649.0)</f>
        <v>4649</v>
      </c>
    </row>
    <row r="3598">
      <c r="A3598" s="9" t="s">
        <v>14766</v>
      </c>
      <c r="B3598" s="9" t="s">
        <v>14767</v>
      </c>
      <c r="G3598" s="9" t="s">
        <v>14767</v>
      </c>
      <c r="O3598" s="10">
        <f>IFERROR(__xludf.DUMMYFUNCTION("VALUE(REGEXEXTRACT(A3598, ""\d+""))"),4652.0)</f>
        <v>4652</v>
      </c>
    </row>
    <row r="3599">
      <c r="A3599" s="9" t="s">
        <v>14768</v>
      </c>
      <c r="B3599" s="9" t="s">
        <v>14769</v>
      </c>
      <c r="G3599" s="9" t="s">
        <v>14770</v>
      </c>
      <c r="O3599" s="10">
        <f>IFERROR(__xludf.DUMMYFUNCTION("VALUE(REGEXEXTRACT(A3599, ""\d+""))"),4660.0)</f>
        <v>4660</v>
      </c>
    </row>
    <row r="3600">
      <c r="A3600" s="9" t="s">
        <v>14771</v>
      </c>
      <c r="B3600" s="9" t="s">
        <v>14772</v>
      </c>
      <c r="G3600" s="9" t="s">
        <v>14773</v>
      </c>
      <c r="O3600" s="10">
        <f>IFERROR(__xludf.DUMMYFUNCTION("VALUE(REGEXEXTRACT(A3600, ""\d+""))"),4662.0)</f>
        <v>4662</v>
      </c>
    </row>
    <row r="3601">
      <c r="A3601" s="9" t="s">
        <v>14774</v>
      </c>
      <c r="B3601" s="9" t="s">
        <v>14775</v>
      </c>
      <c r="G3601" s="9" t="s">
        <v>14776</v>
      </c>
      <c r="O3601" s="10">
        <f>IFERROR(__xludf.DUMMYFUNCTION("VALUE(REGEXEXTRACT(A3601, ""\d+""))"),4666.0)</f>
        <v>4666</v>
      </c>
    </row>
    <row r="3602">
      <c r="A3602" s="9" t="s">
        <v>14777</v>
      </c>
      <c r="B3602" s="9" t="s">
        <v>14778</v>
      </c>
      <c r="G3602" s="9" t="s">
        <v>14779</v>
      </c>
      <c r="O3602" s="10">
        <f>IFERROR(__xludf.DUMMYFUNCTION("VALUE(REGEXEXTRACT(A3602, ""\d+""))"),4667.0)</f>
        <v>4667</v>
      </c>
    </row>
    <row r="3603">
      <c r="A3603" s="9" t="s">
        <v>14780</v>
      </c>
      <c r="B3603" s="9" t="s">
        <v>14781</v>
      </c>
      <c r="G3603" s="9" t="s">
        <v>14782</v>
      </c>
      <c r="O3603" s="10">
        <f>IFERROR(__xludf.DUMMYFUNCTION("VALUE(REGEXEXTRACT(A3603, ""\d+""))"),4668.0)</f>
        <v>4668</v>
      </c>
    </row>
    <row r="3604">
      <c r="A3604" s="9" t="s">
        <v>14783</v>
      </c>
      <c r="B3604" s="9" t="s">
        <v>14784</v>
      </c>
      <c r="G3604" s="9" t="s">
        <v>14785</v>
      </c>
      <c r="O3604" s="10">
        <f>IFERROR(__xludf.DUMMYFUNCTION("VALUE(REGEXEXTRACT(A3604, ""\d+""))"),4669.0)</f>
        <v>4669</v>
      </c>
    </row>
    <row r="3605">
      <c r="A3605" s="9" t="s">
        <v>14786</v>
      </c>
      <c r="B3605" s="9" t="s">
        <v>14787</v>
      </c>
      <c r="G3605" s="9" t="s">
        <v>14788</v>
      </c>
      <c r="O3605" s="10">
        <f>IFERROR(__xludf.DUMMYFUNCTION("VALUE(REGEXEXTRACT(A3605, ""\d+""))"),4671.0)</f>
        <v>4671</v>
      </c>
    </row>
    <row r="3606">
      <c r="A3606" s="9" t="s">
        <v>14789</v>
      </c>
      <c r="B3606" s="9" t="s">
        <v>14790</v>
      </c>
      <c r="G3606" s="9" t="s">
        <v>14791</v>
      </c>
      <c r="O3606" s="10">
        <f>IFERROR(__xludf.DUMMYFUNCTION("VALUE(REGEXEXTRACT(A3606, ""\d+""))"),4673.0)</f>
        <v>4673</v>
      </c>
    </row>
    <row r="3607">
      <c r="A3607" s="9" t="s">
        <v>14792</v>
      </c>
      <c r="B3607" s="9" t="s">
        <v>14793</v>
      </c>
      <c r="G3607" s="9" t="s">
        <v>14794</v>
      </c>
      <c r="O3607" s="10">
        <f>IFERROR(__xludf.DUMMYFUNCTION("VALUE(REGEXEXTRACT(A3607, ""\d+""))"),4674.0)</f>
        <v>4674</v>
      </c>
    </row>
    <row r="3608">
      <c r="A3608" s="9" t="s">
        <v>14795</v>
      </c>
      <c r="B3608" s="9" t="s">
        <v>14796</v>
      </c>
      <c r="G3608" s="9" t="s">
        <v>14797</v>
      </c>
      <c r="O3608" s="10">
        <f>IFERROR(__xludf.DUMMYFUNCTION("VALUE(REGEXEXTRACT(A3608, ""\d+""))"),4675.0)</f>
        <v>4675</v>
      </c>
    </row>
    <row r="3609">
      <c r="A3609" s="9" t="s">
        <v>14798</v>
      </c>
      <c r="B3609" s="9" t="s">
        <v>14799</v>
      </c>
      <c r="G3609" s="9" t="s">
        <v>14800</v>
      </c>
      <c r="O3609" s="10">
        <f>IFERROR(__xludf.DUMMYFUNCTION("VALUE(REGEXEXTRACT(A3609, ""\d+""))"),4676.0)</f>
        <v>4676</v>
      </c>
    </row>
    <row r="3610">
      <c r="A3610" s="9" t="s">
        <v>14801</v>
      </c>
      <c r="B3610" s="9" t="s">
        <v>14802</v>
      </c>
      <c r="G3610" s="9" t="s">
        <v>14803</v>
      </c>
      <c r="O3610" s="10">
        <f>IFERROR(__xludf.DUMMYFUNCTION("VALUE(REGEXEXTRACT(A3610, ""\d+""))"),4677.0)</f>
        <v>4677</v>
      </c>
    </row>
    <row r="3611">
      <c r="A3611" s="9" t="s">
        <v>14804</v>
      </c>
      <c r="B3611" s="9" t="s">
        <v>14805</v>
      </c>
      <c r="G3611" s="9" t="s">
        <v>14806</v>
      </c>
      <c r="O3611" s="10">
        <f>IFERROR(__xludf.DUMMYFUNCTION("VALUE(REGEXEXTRACT(A3611, ""\d+""))"),4678.0)</f>
        <v>4678</v>
      </c>
    </row>
    <row r="3612">
      <c r="A3612" s="9" t="s">
        <v>14807</v>
      </c>
      <c r="B3612" s="9" t="s">
        <v>14808</v>
      </c>
      <c r="G3612" s="9" t="s">
        <v>14809</v>
      </c>
      <c r="O3612" s="10">
        <f>IFERROR(__xludf.DUMMYFUNCTION("VALUE(REGEXEXTRACT(A3612, ""\d+""))"),4679.0)</f>
        <v>4679</v>
      </c>
    </row>
    <row r="3613">
      <c r="A3613" s="9" t="s">
        <v>14810</v>
      </c>
      <c r="B3613" s="9" t="s">
        <v>14811</v>
      </c>
      <c r="G3613" s="9" t="s">
        <v>14812</v>
      </c>
      <c r="O3613" s="10">
        <f>IFERROR(__xludf.DUMMYFUNCTION("VALUE(REGEXEXTRACT(A3613, ""\d+""))"),4680.0)</f>
        <v>4680</v>
      </c>
    </row>
    <row r="3614">
      <c r="A3614" s="9" t="s">
        <v>14813</v>
      </c>
      <c r="B3614" s="9" t="s">
        <v>14814</v>
      </c>
      <c r="G3614" s="9" t="s">
        <v>14815</v>
      </c>
      <c r="O3614" s="10">
        <f>IFERROR(__xludf.DUMMYFUNCTION("VALUE(REGEXEXTRACT(A3614, ""\d+""))"),4681.0)</f>
        <v>4681</v>
      </c>
    </row>
    <row r="3615">
      <c r="A3615" s="9" t="s">
        <v>14816</v>
      </c>
      <c r="B3615" s="9" t="s">
        <v>14817</v>
      </c>
      <c r="G3615" s="9" t="s">
        <v>14818</v>
      </c>
      <c r="O3615" s="10">
        <f>IFERROR(__xludf.DUMMYFUNCTION("VALUE(REGEXEXTRACT(A3615, ""\d+""))"),4682.0)</f>
        <v>4682</v>
      </c>
    </row>
    <row r="3616">
      <c r="A3616" s="9" t="s">
        <v>14819</v>
      </c>
      <c r="B3616" s="9" t="s">
        <v>14820</v>
      </c>
      <c r="G3616" s="9" t="s">
        <v>14821</v>
      </c>
      <c r="O3616" s="10">
        <f>IFERROR(__xludf.DUMMYFUNCTION("VALUE(REGEXEXTRACT(A3616, ""\d+""))"),4683.0)</f>
        <v>4683</v>
      </c>
    </row>
    <row r="3617">
      <c r="A3617" s="9" t="s">
        <v>14822</v>
      </c>
      <c r="B3617" s="9" t="s">
        <v>14823</v>
      </c>
      <c r="G3617" s="9" t="s">
        <v>14824</v>
      </c>
      <c r="O3617" s="10">
        <f>IFERROR(__xludf.DUMMYFUNCTION("VALUE(REGEXEXTRACT(A3617, ""\d+""))"),4684.0)</f>
        <v>4684</v>
      </c>
    </row>
    <row r="3618">
      <c r="A3618" s="9" t="s">
        <v>14825</v>
      </c>
      <c r="B3618" s="9" t="s">
        <v>14826</v>
      </c>
      <c r="G3618" s="9" t="s">
        <v>14827</v>
      </c>
      <c r="O3618" s="10">
        <f>IFERROR(__xludf.DUMMYFUNCTION("VALUE(REGEXEXTRACT(A3618, ""\d+""))"),4685.0)</f>
        <v>4685</v>
      </c>
    </row>
    <row r="3619">
      <c r="A3619" s="9" t="s">
        <v>14828</v>
      </c>
      <c r="B3619" s="9" t="s">
        <v>14829</v>
      </c>
      <c r="G3619" s="9" t="s">
        <v>14830</v>
      </c>
      <c r="O3619" s="10">
        <f>IFERROR(__xludf.DUMMYFUNCTION("VALUE(REGEXEXTRACT(A3619, ""\d+""))"),4686.0)</f>
        <v>4686</v>
      </c>
    </row>
    <row r="3620">
      <c r="A3620" s="9" t="s">
        <v>14831</v>
      </c>
      <c r="B3620" s="9" t="s">
        <v>14832</v>
      </c>
      <c r="G3620" s="9" t="s">
        <v>14833</v>
      </c>
      <c r="O3620" s="10">
        <f>IFERROR(__xludf.DUMMYFUNCTION("VALUE(REGEXEXTRACT(A3620, ""\d+""))"),4687.0)</f>
        <v>4687</v>
      </c>
    </row>
    <row r="3621">
      <c r="A3621" s="9" t="s">
        <v>14834</v>
      </c>
      <c r="B3621" s="9" t="s">
        <v>14835</v>
      </c>
      <c r="G3621" s="9" t="s">
        <v>14836</v>
      </c>
      <c r="O3621" s="10">
        <f>IFERROR(__xludf.DUMMYFUNCTION("VALUE(REGEXEXTRACT(A3621, ""\d+""))"),4695.0)</f>
        <v>4695</v>
      </c>
    </row>
    <row r="3622">
      <c r="A3622" s="9" t="s">
        <v>14837</v>
      </c>
      <c r="B3622" s="9" t="s">
        <v>14838</v>
      </c>
      <c r="G3622" s="9" t="s">
        <v>14839</v>
      </c>
      <c r="O3622" s="10">
        <f>IFERROR(__xludf.DUMMYFUNCTION("VALUE(REGEXEXTRACT(A3622, ""\d+""))"),4696.0)</f>
        <v>4696</v>
      </c>
    </row>
    <row r="3623">
      <c r="A3623" s="9" t="s">
        <v>14840</v>
      </c>
      <c r="B3623" s="9" t="s">
        <v>14841</v>
      </c>
      <c r="G3623" s="9" t="s">
        <v>14842</v>
      </c>
      <c r="O3623" s="10">
        <f>IFERROR(__xludf.DUMMYFUNCTION("VALUE(REGEXEXTRACT(A3623, ""\d+""))"),4697.0)</f>
        <v>4697</v>
      </c>
    </row>
    <row r="3624">
      <c r="A3624" s="9" t="s">
        <v>14843</v>
      </c>
      <c r="B3624" s="9" t="s">
        <v>14844</v>
      </c>
      <c r="G3624" s="9" t="s">
        <v>14845</v>
      </c>
      <c r="O3624" s="10">
        <f>IFERROR(__xludf.DUMMYFUNCTION("VALUE(REGEXEXTRACT(A3624, ""\d+""))"),4698.0)</f>
        <v>4698</v>
      </c>
    </row>
    <row r="3625">
      <c r="A3625" s="9" t="s">
        <v>14846</v>
      </c>
      <c r="B3625" s="9" t="s">
        <v>14844</v>
      </c>
      <c r="G3625" s="9" t="s">
        <v>14845</v>
      </c>
      <c r="O3625" s="10">
        <f>IFERROR(__xludf.DUMMYFUNCTION("VALUE(REGEXEXTRACT(A3625, ""\d+""))"),4699.0)</f>
        <v>4699</v>
      </c>
    </row>
    <row r="3626">
      <c r="A3626" s="9" t="s">
        <v>14847</v>
      </c>
      <c r="B3626" s="9" t="s">
        <v>14848</v>
      </c>
      <c r="G3626" s="9" t="s">
        <v>14849</v>
      </c>
      <c r="O3626" s="10">
        <f>IFERROR(__xludf.DUMMYFUNCTION("VALUE(REGEXEXTRACT(A3626, ""\d+""))"),4700.0)</f>
        <v>4700</v>
      </c>
    </row>
    <row r="3627">
      <c r="A3627" s="9" t="s">
        <v>14850</v>
      </c>
      <c r="B3627" s="9" t="s">
        <v>14851</v>
      </c>
      <c r="G3627" s="9" t="s">
        <v>14852</v>
      </c>
      <c r="O3627" s="10">
        <f>IFERROR(__xludf.DUMMYFUNCTION("VALUE(REGEXEXTRACT(A3627, ""\d+""))"),4701.0)</f>
        <v>4701</v>
      </c>
    </row>
    <row r="3628">
      <c r="A3628" s="9" t="s">
        <v>14853</v>
      </c>
      <c r="B3628" s="9" t="s">
        <v>14854</v>
      </c>
      <c r="G3628" s="9" t="s">
        <v>14855</v>
      </c>
      <c r="O3628" s="10">
        <f>IFERROR(__xludf.DUMMYFUNCTION("VALUE(REGEXEXTRACT(A3628, ""\d+""))"),4702.0)</f>
        <v>4702</v>
      </c>
    </row>
    <row r="3629">
      <c r="A3629" s="9" t="s">
        <v>14856</v>
      </c>
      <c r="B3629" s="9" t="s">
        <v>14857</v>
      </c>
      <c r="G3629" s="9" t="s">
        <v>14858</v>
      </c>
      <c r="O3629" s="10">
        <f>IFERROR(__xludf.DUMMYFUNCTION("VALUE(REGEXEXTRACT(A3629, ""\d+""))"),4703.0)</f>
        <v>4703</v>
      </c>
    </row>
    <row r="3630">
      <c r="A3630" s="9" t="s">
        <v>14859</v>
      </c>
      <c r="B3630" s="9" t="s">
        <v>14860</v>
      </c>
      <c r="G3630" s="9" t="s">
        <v>14861</v>
      </c>
      <c r="O3630" s="10">
        <f>IFERROR(__xludf.DUMMYFUNCTION("VALUE(REGEXEXTRACT(A3630, ""\d+""))"),4704.0)</f>
        <v>4704</v>
      </c>
    </row>
    <row r="3631">
      <c r="A3631" s="9" t="s">
        <v>14862</v>
      </c>
      <c r="B3631" s="9" t="s">
        <v>14863</v>
      </c>
      <c r="G3631" s="9" t="s">
        <v>14864</v>
      </c>
      <c r="O3631" s="10">
        <f>IFERROR(__xludf.DUMMYFUNCTION("VALUE(REGEXEXTRACT(A3631, ""\d+""))"),4706.0)</f>
        <v>4706</v>
      </c>
    </row>
    <row r="3632">
      <c r="A3632" s="9" t="s">
        <v>14865</v>
      </c>
      <c r="B3632" s="9" t="s">
        <v>14866</v>
      </c>
      <c r="G3632" s="9" t="s">
        <v>14867</v>
      </c>
      <c r="O3632" s="10">
        <f>IFERROR(__xludf.DUMMYFUNCTION("VALUE(REGEXEXTRACT(A3632, ""\d+""))"),4707.0)</f>
        <v>4707</v>
      </c>
    </row>
    <row r="3633">
      <c r="A3633" s="9" t="s">
        <v>14868</v>
      </c>
      <c r="B3633" s="9" t="s">
        <v>14869</v>
      </c>
      <c r="G3633" s="9" t="s">
        <v>14870</v>
      </c>
      <c r="O3633" s="10">
        <f>IFERROR(__xludf.DUMMYFUNCTION("VALUE(REGEXEXTRACT(A3633, ""\d+""))"),4708.0)</f>
        <v>4708</v>
      </c>
    </row>
    <row r="3634">
      <c r="A3634" s="9" t="s">
        <v>14871</v>
      </c>
      <c r="B3634" s="9" t="s">
        <v>14872</v>
      </c>
      <c r="G3634" s="9" t="s">
        <v>14873</v>
      </c>
      <c r="O3634" s="10">
        <f>IFERROR(__xludf.DUMMYFUNCTION("VALUE(REGEXEXTRACT(A3634, ""\d+""))"),4709.0)</f>
        <v>4709</v>
      </c>
    </row>
    <row r="3635">
      <c r="A3635" s="9" t="s">
        <v>14874</v>
      </c>
      <c r="B3635" s="9" t="s">
        <v>14875</v>
      </c>
      <c r="G3635" s="9" t="s">
        <v>14876</v>
      </c>
      <c r="O3635" s="10">
        <f>IFERROR(__xludf.DUMMYFUNCTION("VALUE(REGEXEXTRACT(A3635, ""\d+""))"),4710.0)</f>
        <v>4710</v>
      </c>
    </row>
    <row r="3636">
      <c r="A3636" s="9" t="s">
        <v>14877</v>
      </c>
      <c r="B3636" s="9" t="s">
        <v>14878</v>
      </c>
      <c r="G3636" s="9" t="s">
        <v>14879</v>
      </c>
      <c r="O3636" s="10">
        <f>IFERROR(__xludf.DUMMYFUNCTION("VALUE(REGEXEXTRACT(A3636, ""\d+""))"),4711.0)</f>
        <v>4711</v>
      </c>
    </row>
    <row r="3637">
      <c r="A3637" s="9" t="s">
        <v>14880</v>
      </c>
      <c r="B3637" s="9" t="s">
        <v>14881</v>
      </c>
      <c r="G3637" s="9" t="s">
        <v>14882</v>
      </c>
      <c r="O3637" s="10">
        <f>IFERROR(__xludf.DUMMYFUNCTION("VALUE(REGEXEXTRACT(A3637, ""\d+""))"),4712.0)</f>
        <v>4712</v>
      </c>
    </row>
    <row r="3638">
      <c r="A3638" s="9" t="s">
        <v>14883</v>
      </c>
      <c r="B3638" s="9" t="s">
        <v>14884</v>
      </c>
      <c r="G3638" s="9" t="s">
        <v>14885</v>
      </c>
      <c r="O3638" s="10">
        <f>IFERROR(__xludf.DUMMYFUNCTION("VALUE(REGEXEXTRACT(A3638, ""\d+""))"),4713.0)</f>
        <v>4713</v>
      </c>
    </row>
    <row r="3639">
      <c r="A3639" s="9" t="s">
        <v>14886</v>
      </c>
      <c r="B3639" s="9" t="s">
        <v>14887</v>
      </c>
      <c r="G3639" s="9" t="s">
        <v>14888</v>
      </c>
      <c r="O3639" s="10">
        <f>IFERROR(__xludf.DUMMYFUNCTION("VALUE(REGEXEXTRACT(A3639, ""\d+""))"),4714.0)</f>
        <v>4714</v>
      </c>
    </row>
    <row r="3640">
      <c r="A3640" s="9" t="s">
        <v>14889</v>
      </c>
      <c r="B3640" s="9" t="s">
        <v>14890</v>
      </c>
      <c r="G3640" s="9" t="s">
        <v>14891</v>
      </c>
      <c r="O3640" s="10">
        <f>IFERROR(__xludf.DUMMYFUNCTION("VALUE(REGEXEXTRACT(A3640, ""\d+""))"),4715.0)</f>
        <v>4715</v>
      </c>
    </row>
    <row r="3641">
      <c r="A3641" s="9" t="s">
        <v>14892</v>
      </c>
      <c r="B3641" s="9" t="s">
        <v>14893</v>
      </c>
      <c r="G3641" s="9" t="s">
        <v>14894</v>
      </c>
      <c r="O3641" s="10">
        <f>IFERROR(__xludf.DUMMYFUNCTION("VALUE(REGEXEXTRACT(A3641, ""\d+""))"),4716.0)</f>
        <v>4716</v>
      </c>
    </row>
    <row r="3642">
      <c r="A3642" s="9" t="s">
        <v>14895</v>
      </c>
      <c r="B3642" s="9" t="s">
        <v>14896</v>
      </c>
      <c r="G3642" s="9" t="s">
        <v>14897</v>
      </c>
      <c r="O3642" s="10">
        <f>IFERROR(__xludf.DUMMYFUNCTION("VALUE(REGEXEXTRACT(A3642, ""\d+""))"),4717.0)</f>
        <v>4717</v>
      </c>
    </row>
    <row r="3643">
      <c r="A3643" s="9" t="s">
        <v>14898</v>
      </c>
      <c r="B3643" s="9" t="s">
        <v>14899</v>
      </c>
      <c r="G3643" s="9" t="s">
        <v>14897</v>
      </c>
      <c r="O3643" s="10">
        <f>IFERROR(__xludf.DUMMYFUNCTION("VALUE(REGEXEXTRACT(A3643, ""\d+""))"),4718.0)</f>
        <v>4718</v>
      </c>
    </row>
    <row r="3644">
      <c r="A3644" s="9" t="s">
        <v>14900</v>
      </c>
      <c r="B3644" s="9" t="s">
        <v>14901</v>
      </c>
      <c r="G3644" s="9" t="s">
        <v>14902</v>
      </c>
      <c r="O3644" s="10">
        <f>IFERROR(__xludf.DUMMYFUNCTION("VALUE(REGEXEXTRACT(A3644, ""\d+""))"),4719.0)</f>
        <v>4719</v>
      </c>
    </row>
    <row r="3645">
      <c r="A3645" s="9" t="s">
        <v>14903</v>
      </c>
      <c r="B3645" s="9" t="s">
        <v>14904</v>
      </c>
      <c r="G3645" s="9" t="s">
        <v>14905</v>
      </c>
      <c r="O3645" s="10">
        <f>IFERROR(__xludf.DUMMYFUNCTION("VALUE(REGEXEXTRACT(A3645, ""\d+""))"),4720.0)</f>
        <v>4720</v>
      </c>
    </row>
    <row r="3646">
      <c r="A3646" s="9" t="s">
        <v>14906</v>
      </c>
      <c r="B3646" s="9" t="s">
        <v>14907</v>
      </c>
      <c r="G3646" s="9" t="s">
        <v>14908</v>
      </c>
      <c r="O3646" s="10">
        <f>IFERROR(__xludf.DUMMYFUNCTION("VALUE(REGEXEXTRACT(A3646, ""\d+""))"),4721.0)</f>
        <v>4721</v>
      </c>
    </row>
    <row r="3647">
      <c r="A3647" s="9" t="s">
        <v>14909</v>
      </c>
      <c r="B3647" s="9" t="s">
        <v>14910</v>
      </c>
      <c r="G3647" s="9" t="s">
        <v>14911</v>
      </c>
      <c r="O3647" s="10">
        <f>IFERROR(__xludf.DUMMYFUNCTION("VALUE(REGEXEXTRACT(A3647, ""\d+""))"),4722.0)</f>
        <v>4722</v>
      </c>
    </row>
    <row r="3648">
      <c r="A3648" s="9" t="s">
        <v>14912</v>
      </c>
      <c r="B3648" s="9" t="s">
        <v>14913</v>
      </c>
      <c r="G3648" s="9" t="s">
        <v>14914</v>
      </c>
      <c r="O3648" s="10">
        <f>IFERROR(__xludf.DUMMYFUNCTION("VALUE(REGEXEXTRACT(A3648, ""\d+""))"),4729.0)</f>
        <v>4729</v>
      </c>
    </row>
    <row r="3649">
      <c r="A3649" s="9" t="s">
        <v>14915</v>
      </c>
      <c r="B3649" s="9" t="s">
        <v>14916</v>
      </c>
      <c r="G3649" s="9" t="s">
        <v>14917</v>
      </c>
      <c r="O3649" s="10">
        <f>IFERROR(__xludf.DUMMYFUNCTION("VALUE(REGEXEXTRACT(A3649, ""\d+""))"),4733.0)</f>
        <v>4733</v>
      </c>
    </row>
    <row r="3650">
      <c r="A3650" s="9" t="s">
        <v>14918</v>
      </c>
      <c r="B3650" s="9" t="s">
        <v>14919</v>
      </c>
      <c r="G3650" s="9" t="s">
        <v>14920</v>
      </c>
      <c r="O3650" s="10">
        <f>IFERROR(__xludf.DUMMYFUNCTION("VALUE(REGEXEXTRACT(A3650, ""\d+""))"),4734.0)</f>
        <v>4734</v>
      </c>
    </row>
    <row r="3651">
      <c r="A3651" s="9" t="s">
        <v>14921</v>
      </c>
      <c r="B3651" s="9" t="s">
        <v>14922</v>
      </c>
      <c r="G3651" s="9" t="s">
        <v>14923</v>
      </c>
      <c r="O3651" s="10">
        <f>IFERROR(__xludf.DUMMYFUNCTION("VALUE(REGEXEXTRACT(A3651, ""\d+""))"),4735.0)</f>
        <v>4735</v>
      </c>
    </row>
    <row r="3652">
      <c r="A3652" s="9" t="s">
        <v>14924</v>
      </c>
      <c r="B3652" s="9" t="s">
        <v>14925</v>
      </c>
      <c r="G3652" s="9" t="s">
        <v>14926</v>
      </c>
      <c r="O3652" s="10">
        <f>IFERROR(__xludf.DUMMYFUNCTION("VALUE(REGEXEXTRACT(A3652, ""\d+""))"),4736.0)</f>
        <v>4736</v>
      </c>
    </row>
    <row r="3653">
      <c r="A3653" s="9" t="s">
        <v>14927</v>
      </c>
      <c r="B3653" s="9" t="s">
        <v>14928</v>
      </c>
      <c r="G3653" s="9" t="s">
        <v>14929</v>
      </c>
      <c r="O3653" s="10">
        <f>IFERROR(__xludf.DUMMYFUNCTION("VALUE(REGEXEXTRACT(A3653, ""\d+""))"),4737.0)</f>
        <v>4737</v>
      </c>
    </row>
    <row r="3654">
      <c r="A3654" s="9" t="s">
        <v>14930</v>
      </c>
      <c r="B3654" s="9" t="s">
        <v>14931</v>
      </c>
      <c r="G3654" s="9" t="s">
        <v>14932</v>
      </c>
      <c r="O3654" s="10">
        <f>IFERROR(__xludf.DUMMYFUNCTION("VALUE(REGEXEXTRACT(A3654, ""\d+""))"),4738.0)</f>
        <v>4738</v>
      </c>
    </row>
    <row r="3655">
      <c r="A3655" s="9" t="s">
        <v>14933</v>
      </c>
      <c r="B3655" s="9" t="s">
        <v>14934</v>
      </c>
      <c r="G3655" s="9" t="s">
        <v>14935</v>
      </c>
      <c r="O3655" s="10">
        <f>IFERROR(__xludf.DUMMYFUNCTION("VALUE(REGEXEXTRACT(A3655, ""\d+""))"),4739.0)</f>
        <v>4739</v>
      </c>
    </row>
    <row r="3656">
      <c r="A3656" s="9" t="s">
        <v>14936</v>
      </c>
      <c r="B3656" s="9" t="s">
        <v>14937</v>
      </c>
      <c r="G3656" s="9" t="s">
        <v>14938</v>
      </c>
      <c r="O3656" s="10">
        <f>IFERROR(__xludf.DUMMYFUNCTION("VALUE(REGEXEXTRACT(A3656, ""\d+""))"),4740.0)</f>
        <v>4740</v>
      </c>
    </row>
    <row r="3657">
      <c r="A3657" s="9" t="s">
        <v>14939</v>
      </c>
      <c r="B3657" s="9" t="s">
        <v>14940</v>
      </c>
      <c r="G3657" s="9" t="s">
        <v>14941</v>
      </c>
      <c r="O3657" s="10">
        <f>IFERROR(__xludf.DUMMYFUNCTION("VALUE(REGEXEXTRACT(A3657, ""\d+""))"),4741.0)</f>
        <v>4741</v>
      </c>
    </row>
    <row r="3658">
      <c r="A3658" s="9" t="s">
        <v>14942</v>
      </c>
      <c r="B3658" s="9" t="s">
        <v>14943</v>
      </c>
      <c r="G3658" s="9" t="s">
        <v>14944</v>
      </c>
      <c r="O3658" s="10">
        <f>IFERROR(__xludf.DUMMYFUNCTION("VALUE(REGEXEXTRACT(A3658, ""\d+""))"),4742.0)</f>
        <v>4742</v>
      </c>
    </row>
    <row r="3659">
      <c r="A3659" s="9" t="s">
        <v>14945</v>
      </c>
      <c r="B3659" s="9" t="s">
        <v>14946</v>
      </c>
      <c r="G3659" s="9" t="s">
        <v>14947</v>
      </c>
      <c r="O3659" s="10">
        <f>IFERROR(__xludf.DUMMYFUNCTION("VALUE(REGEXEXTRACT(A3659, ""\d+""))"),4743.0)</f>
        <v>4743</v>
      </c>
    </row>
    <row r="3660">
      <c r="A3660" s="9" t="s">
        <v>14948</v>
      </c>
      <c r="B3660" s="9" t="s">
        <v>14949</v>
      </c>
      <c r="G3660" s="9" t="s">
        <v>14950</v>
      </c>
      <c r="O3660" s="10">
        <f>IFERROR(__xludf.DUMMYFUNCTION("VALUE(REGEXEXTRACT(A3660, ""\d+""))"),4744.0)</f>
        <v>4744</v>
      </c>
    </row>
    <row r="3661">
      <c r="A3661" s="9" t="s">
        <v>14951</v>
      </c>
      <c r="B3661" s="9" t="s">
        <v>14952</v>
      </c>
      <c r="G3661" s="9" t="s">
        <v>14950</v>
      </c>
      <c r="O3661" s="10">
        <f>IFERROR(__xludf.DUMMYFUNCTION("VALUE(REGEXEXTRACT(A3661, ""\d+""))"),4745.0)</f>
        <v>4745</v>
      </c>
    </row>
    <row r="3662">
      <c r="A3662" s="9" t="s">
        <v>14953</v>
      </c>
      <c r="B3662" s="9" t="s">
        <v>14954</v>
      </c>
      <c r="G3662" s="9" t="s">
        <v>14955</v>
      </c>
      <c r="O3662" s="10">
        <f>IFERROR(__xludf.DUMMYFUNCTION("VALUE(REGEXEXTRACT(A3662, ""\d+""))"),4746.0)</f>
        <v>4746</v>
      </c>
    </row>
    <row r="3663">
      <c r="A3663" s="9" t="s">
        <v>14956</v>
      </c>
      <c r="B3663" s="9" t="s">
        <v>14957</v>
      </c>
      <c r="G3663" s="9" t="s">
        <v>14958</v>
      </c>
      <c r="O3663" s="10">
        <f>IFERROR(__xludf.DUMMYFUNCTION("VALUE(REGEXEXTRACT(A3663, ""\d+""))"),4747.0)</f>
        <v>4747</v>
      </c>
    </row>
    <row r="3664">
      <c r="A3664" s="9" t="s">
        <v>14959</v>
      </c>
      <c r="B3664" s="9" t="s">
        <v>14960</v>
      </c>
      <c r="G3664" s="9" t="s">
        <v>14961</v>
      </c>
      <c r="O3664" s="10">
        <f>IFERROR(__xludf.DUMMYFUNCTION("VALUE(REGEXEXTRACT(A3664, ""\d+""))"),4748.0)</f>
        <v>4748</v>
      </c>
    </row>
    <row r="3665">
      <c r="A3665" s="9" t="s">
        <v>14962</v>
      </c>
      <c r="B3665" s="9" t="s">
        <v>14963</v>
      </c>
      <c r="G3665" s="9" t="s">
        <v>14964</v>
      </c>
      <c r="O3665" s="10">
        <f>IFERROR(__xludf.DUMMYFUNCTION("VALUE(REGEXEXTRACT(A3665, ""\d+""))"),4749.0)</f>
        <v>4749</v>
      </c>
    </row>
    <row r="3666">
      <c r="A3666" s="9" t="s">
        <v>14965</v>
      </c>
      <c r="B3666" s="9" t="s">
        <v>14966</v>
      </c>
      <c r="G3666" s="9" t="s">
        <v>14967</v>
      </c>
      <c r="O3666" s="10">
        <f>IFERROR(__xludf.DUMMYFUNCTION("VALUE(REGEXEXTRACT(A3666, ""\d+""))"),4750.0)</f>
        <v>4750</v>
      </c>
    </row>
    <row r="3667">
      <c r="A3667" s="9" t="s">
        <v>14968</v>
      </c>
      <c r="B3667" s="9" t="s">
        <v>14969</v>
      </c>
      <c r="G3667" s="9" t="s">
        <v>14970</v>
      </c>
      <c r="O3667" s="10">
        <f>IFERROR(__xludf.DUMMYFUNCTION("VALUE(REGEXEXTRACT(A3667, ""\d+""))"),4751.0)</f>
        <v>4751</v>
      </c>
    </row>
    <row r="3668">
      <c r="A3668" s="9" t="s">
        <v>14971</v>
      </c>
      <c r="B3668" s="9" t="s">
        <v>14972</v>
      </c>
      <c r="G3668" s="9" t="s">
        <v>14973</v>
      </c>
      <c r="O3668" s="10">
        <f>IFERROR(__xludf.DUMMYFUNCTION("VALUE(REGEXEXTRACT(A3668, ""\d+""))"),4752.0)</f>
        <v>4752</v>
      </c>
    </row>
    <row r="3669">
      <c r="A3669" s="9" t="s">
        <v>14974</v>
      </c>
      <c r="B3669" s="9" t="s">
        <v>14975</v>
      </c>
      <c r="G3669" s="9" t="s">
        <v>14976</v>
      </c>
      <c r="O3669" s="10">
        <f>IFERROR(__xludf.DUMMYFUNCTION("VALUE(REGEXEXTRACT(A3669, ""\d+""))"),4754.0)</f>
        <v>4754</v>
      </c>
    </row>
    <row r="3670">
      <c r="A3670" s="9" t="s">
        <v>14977</v>
      </c>
      <c r="B3670" s="9" t="s">
        <v>14978</v>
      </c>
      <c r="D3670" s="9" t="s">
        <v>14979</v>
      </c>
      <c r="G3670" s="9" t="s">
        <v>14979</v>
      </c>
      <c r="J3670" s="9" t="s">
        <v>14980</v>
      </c>
      <c r="O3670" s="10">
        <f>IFERROR(__xludf.DUMMYFUNCTION("VALUE(REGEXEXTRACT(A3670, ""\d+""))"),4756.0)</f>
        <v>4756</v>
      </c>
    </row>
    <row r="3671">
      <c r="A3671" s="9" t="s">
        <v>14981</v>
      </c>
      <c r="B3671" s="9" t="s">
        <v>14982</v>
      </c>
      <c r="G3671" s="9" t="s">
        <v>14983</v>
      </c>
      <c r="O3671" s="10">
        <f>IFERROR(__xludf.DUMMYFUNCTION("VALUE(REGEXEXTRACT(A3671, ""\d+""))"),4757.0)</f>
        <v>4757</v>
      </c>
    </row>
    <row r="3672">
      <c r="A3672" s="9" t="s">
        <v>14984</v>
      </c>
      <c r="B3672" s="9" t="s">
        <v>14985</v>
      </c>
      <c r="G3672" s="9" t="s">
        <v>14986</v>
      </c>
      <c r="O3672" s="10">
        <f>IFERROR(__xludf.DUMMYFUNCTION("VALUE(REGEXEXTRACT(A3672, ""\d+""))"),4758.0)</f>
        <v>4758</v>
      </c>
    </row>
    <row r="3673">
      <c r="A3673" s="9" t="s">
        <v>14987</v>
      </c>
      <c r="B3673" s="9" t="s">
        <v>14988</v>
      </c>
      <c r="G3673" s="9" t="s">
        <v>14989</v>
      </c>
      <c r="O3673" s="10">
        <f>IFERROR(__xludf.DUMMYFUNCTION("VALUE(REGEXEXTRACT(A3673, ""\d+""))"),4763.0)</f>
        <v>4763</v>
      </c>
    </row>
    <row r="3674">
      <c r="A3674" s="9" t="s">
        <v>14990</v>
      </c>
      <c r="B3674" s="9" t="s">
        <v>14991</v>
      </c>
      <c r="G3674" s="9" t="s">
        <v>14992</v>
      </c>
      <c r="O3674" s="10">
        <f>IFERROR(__xludf.DUMMYFUNCTION("VALUE(REGEXEXTRACT(A3674, ""\d+""))"),4764.0)</f>
        <v>4764</v>
      </c>
    </row>
    <row r="3675">
      <c r="A3675" s="9" t="s">
        <v>14993</v>
      </c>
      <c r="B3675" s="9" t="s">
        <v>14994</v>
      </c>
      <c r="G3675" s="9" t="s">
        <v>14995</v>
      </c>
      <c r="O3675" s="10">
        <f>IFERROR(__xludf.DUMMYFUNCTION("VALUE(REGEXEXTRACT(A3675, ""\d+""))"),4765.0)</f>
        <v>4765</v>
      </c>
    </row>
    <row r="3676">
      <c r="A3676" s="9" t="s">
        <v>14996</v>
      </c>
      <c r="B3676" s="9" t="s">
        <v>14997</v>
      </c>
      <c r="G3676" s="9" t="s">
        <v>14998</v>
      </c>
      <c r="O3676" s="10">
        <f>IFERROR(__xludf.DUMMYFUNCTION("VALUE(REGEXEXTRACT(A3676, ""\d+""))"),4769.0)</f>
        <v>4769</v>
      </c>
    </row>
    <row r="3677">
      <c r="A3677" s="9" t="s">
        <v>14999</v>
      </c>
      <c r="B3677" s="9" t="s">
        <v>15000</v>
      </c>
      <c r="G3677" s="9" t="s">
        <v>15001</v>
      </c>
      <c r="O3677" s="10">
        <f>IFERROR(__xludf.DUMMYFUNCTION("VALUE(REGEXEXTRACT(A3677, ""\d+""))"),4770.0)</f>
        <v>4770</v>
      </c>
    </row>
    <row r="3678">
      <c r="A3678" s="9" t="s">
        <v>15002</v>
      </c>
      <c r="B3678" s="9" t="s">
        <v>15003</v>
      </c>
      <c r="G3678" s="9" t="s">
        <v>15004</v>
      </c>
      <c r="O3678" s="10">
        <f>IFERROR(__xludf.DUMMYFUNCTION("VALUE(REGEXEXTRACT(A3678, ""\d+""))"),4771.0)</f>
        <v>4771</v>
      </c>
    </row>
    <row r="3679">
      <c r="A3679" s="9" t="s">
        <v>15005</v>
      </c>
      <c r="B3679" s="9" t="s">
        <v>15006</v>
      </c>
      <c r="G3679" s="9" t="s">
        <v>15007</v>
      </c>
      <c r="O3679" s="10">
        <f>IFERROR(__xludf.DUMMYFUNCTION("VALUE(REGEXEXTRACT(A3679, ""\d+""))"),4772.0)</f>
        <v>4772</v>
      </c>
    </row>
    <row r="3680">
      <c r="A3680" s="9" t="s">
        <v>15008</v>
      </c>
      <c r="B3680" s="9" t="s">
        <v>15009</v>
      </c>
      <c r="G3680" s="9" t="s">
        <v>15010</v>
      </c>
      <c r="O3680" s="10">
        <f>IFERROR(__xludf.DUMMYFUNCTION("VALUE(REGEXEXTRACT(A3680, ""\d+""))"),4773.0)</f>
        <v>4773</v>
      </c>
    </row>
    <row r="3681">
      <c r="A3681" s="9" t="s">
        <v>15011</v>
      </c>
      <c r="B3681" s="9" t="s">
        <v>15012</v>
      </c>
      <c r="G3681" s="9" t="s">
        <v>15013</v>
      </c>
      <c r="O3681" s="10">
        <f>IFERROR(__xludf.DUMMYFUNCTION("VALUE(REGEXEXTRACT(A3681, ""\d+""))"),4774.0)</f>
        <v>4774</v>
      </c>
    </row>
    <row r="3682">
      <c r="A3682" s="9" t="s">
        <v>15014</v>
      </c>
      <c r="B3682" s="9" t="s">
        <v>15015</v>
      </c>
      <c r="G3682" s="9" t="s">
        <v>15016</v>
      </c>
      <c r="O3682" s="10">
        <f>IFERROR(__xludf.DUMMYFUNCTION("VALUE(REGEXEXTRACT(A3682, ""\d+""))"),4775.0)</f>
        <v>4775</v>
      </c>
    </row>
    <row r="3683">
      <c r="A3683" s="9" t="s">
        <v>15017</v>
      </c>
      <c r="B3683" s="9" t="s">
        <v>15018</v>
      </c>
      <c r="G3683" s="9" t="s">
        <v>15019</v>
      </c>
      <c r="O3683" s="10">
        <f>IFERROR(__xludf.DUMMYFUNCTION("VALUE(REGEXEXTRACT(A3683, ""\d+""))"),4776.0)</f>
        <v>4776</v>
      </c>
    </row>
    <row r="3684">
      <c r="A3684" s="9" t="s">
        <v>15020</v>
      </c>
      <c r="B3684" s="9" t="s">
        <v>15021</v>
      </c>
      <c r="G3684" s="9" t="s">
        <v>15022</v>
      </c>
      <c r="O3684" s="10">
        <f>IFERROR(__xludf.DUMMYFUNCTION("VALUE(REGEXEXTRACT(A3684, ""\d+""))"),4782.0)</f>
        <v>4782</v>
      </c>
    </row>
    <row r="3685">
      <c r="A3685" s="9" t="s">
        <v>15023</v>
      </c>
      <c r="B3685" s="9" t="s">
        <v>15024</v>
      </c>
      <c r="G3685" s="9" t="s">
        <v>15025</v>
      </c>
      <c r="O3685" s="10">
        <f>IFERROR(__xludf.DUMMYFUNCTION("VALUE(REGEXEXTRACT(A3685, ""\d+""))"),4783.0)</f>
        <v>4783</v>
      </c>
    </row>
    <row r="3686">
      <c r="A3686" s="9" t="s">
        <v>15026</v>
      </c>
      <c r="B3686" s="9" t="s">
        <v>15027</v>
      </c>
      <c r="G3686" s="9" t="s">
        <v>15028</v>
      </c>
      <c r="O3686" s="10">
        <f>IFERROR(__xludf.DUMMYFUNCTION("VALUE(REGEXEXTRACT(A3686, ""\d+""))"),4784.0)</f>
        <v>4784</v>
      </c>
    </row>
    <row r="3687">
      <c r="A3687" s="9" t="s">
        <v>15029</v>
      </c>
      <c r="B3687" s="9" t="s">
        <v>15030</v>
      </c>
      <c r="G3687" s="9" t="s">
        <v>15031</v>
      </c>
      <c r="O3687" s="10">
        <f>IFERROR(__xludf.DUMMYFUNCTION("VALUE(REGEXEXTRACT(A3687, ""\d+""))"),4785.0)</f>
        <v>4785</v>
      </c>
    </row>
    <row r="3688">
      <c r="A3688" s="9" t="s">
        <v>15032</v>
      </c>
      <c r="B3688" s="9" t="s">
        <v>15033</v>
      </c>
      <c r="O3688" s="10">
        <f>IFERROR(__xludf.DUMMYFUNCTION("VALUE(REGEXEXTRACT(A3688, ""\d+""))"),4786.0)</f>
        <v>4786</v>
      </c>
    </row>
    <row r="3689">
      <c r="A3689" s="9" t="s">
        <v>15034</v>
      </c>
      <c r="B3689" s="9" t="s">
        <v>15035</v>
      </c>
      <c r="G3689" s="9" t="s">
        <v>15036</v>
      </c>
      <c r="O3689" s="10">
        <f>IFERROR(__xludf.DUMMYFUNCTION("VALUE(REGEXEXTRACT(A3689, ""\d+""))"),4787.0)</f>
        <v>4787</v>
      </c>
    </row>
    <row r="3690">
      <c r="A3690" s="9" t="s">
        <v>15037</v>
      </c>
      <c r="B3690" s="9" t="s">
        <v>15038</v>
      </c>
      <c r="G3690" s="9" t="s">
        <v>15039</v>
      </c>
      <c r="O3690" s="10">
        <f>IFERROR(__xludf.DUMMYFUNCTION("VALUE(REGEXEXTRACT(A3690, ""\d+""))"),4788.0)</f>
        <v>4788</v>
      </c>
    </row>
    <row r="3691">
      <c r="A3691" s="9" t="s">
        <v>15040</v>
      </c>
      <c r="B3691" s="9" t="s">
        <v>15041</v>
      </c>
      <c r="G3691" s="9" t="s">
        <v>15042</v>
      </c>
      <c r="O3691" s="10">
        <f>IFERROR(__xludf.DUMMYFUNCTION("VALUE(REGEXEXTRACT(A3691, ""\d+""))"),4789.0)</f>
        <v>4789</v>
      </c>
    </row>
    <row r="3692">
      <c r="A3692" s="9" t="s">
        <v>15043</v>
      </c>
      <c r="B3692" s="9" t="s">
        <v>15044</v>
      </c>
      <c r="G3692" s="9" t="s">
        <v>15045</v>
      </c>
      <c r="O3692" s="10">
        <f>IFERROR(__xludf.DUMMYFUNCTION("VALUE(REGEXEXTRACT(A3692, ""\d+""))"),4790.0)</f>
        <v>4790</v>
      </c>
    </row>
    <row r="3693">
      <c r="A3693" s="9" t="s">
        <v>15046</v>
      </c>
      <c r="B3693" s="9" t="s">
        <v>15047</v>
      </c>
      <c r="G3693" s="9" t="s">
        <v>15048</v>
      </c>
      <c r="O3693" s="10">
        <f>IFERROR(__xludf.DUMMYFUNCTION("VALUE(REGEXEXTRACT(A3693, ""\d+""))"),4791.0)</f>
        <v>4791</v>
      </c>
    </row>
    <row r="3694">
      <c r="A3694" s="9" t="s">
        <v>15049</v>
      </c>
      <c r="B3694" s="9" t="s">
        <v>15050</v>
      </c>
      <c r="G3694" s="9" t="s">
        <v>15051</v>
      </c>
      <c r="O3694" s="10">
        <f>IFERROR(__xludf.DUMMYFUNCTION("VALUE(REGEXEXTRACT(A3694, ""\d+""))"),4792.0)</f>
        <v>4792</v>
      </c>
    </row>
    <row r="3695">
      <c r="A3695" s="9" t="s">
        <v>15052</v>
      </c>
      <c r="B3695" s="9" t="s">
        <v>15053</v>
      </c>
      <c r="G3695" s="9" t="s">
        <v>15054</v>
      </c>
      <c r="O3695" s="10">
        <f>IFERROR(__xludf.DUMMYFUNCTION("VALUE(REGEXEXTRACT(A3695, ""\d+""))"),4793.0)</f>
        <v>4793</v>
      </c>
    </row>
    <row r="3696">
      <c r="A3696" s="9" t="s">
        <v>15055</v>
      </c>
      <c r="B3696" s="9" t="s">
        <v>15056</v>
      </c>
      <c r="G3696" s="9" t="s">
        <v>15057</v>
      </c>
      <c r="O3696" s="10">
        <f>IFERROR(__xludf.DUMMYFUNCTION("VALUE(REGEXEXTRACT(A3696, ""\d+""))"),4794.0)</f>
        <v>4794</v>
      </c>
    </row>
    <row r="3697">
      <c r="A3697" s="9" t="s">
        <v>15058</v>
      </c>
      <c r="B3697" s="9" t="s">
        <v>15059</v>
      </c>
      <c r="G3697" s="9" t="s">
        <v>15060</v>
      </c>
      <c r="O3697" s="10">
        <f>IFERROR(__xludf.DUMMYFUNCTION("VALUE(REGEXEXTRACT(A3697, ""\d+""))"),4795.0)</f>
        <v>4795</v>
      </c>
    </row>
    <row r="3698">
      <c r="A3698" s="9" t="s">
        <v>15061</v>
      </c>
      <c r="B3698" s="9" t="s">
        <v>15062</v>
      </c>
      <c r="G3698" s="9" t="s">
        <v>15063</v>
      </c>
      <c r="O3698" s="10">
        <f>IFERROR(__xludf.DUMMYFUNCTION("VALUE(REGEXEXTRACT(A3698, ""\d+""))"),4796.0)</f>
        <v>4796</v>
      </c>
    </row>
    <row r="3699">
      <c r="A3699" s="9" t="s">
        <v>15064</v>
      </c>
      <c r="B3699" s="9" t="s">
        <v>15065</v>
      </c>
      <c r="G3699" s="9" t="s">
        <v>15066</v>
      </c>
      <c r="O3699" s="10">
        <f>IFERROR(__xludf.DUMMYFUNCTION("VALUE(REGEXEXTRACT(A3699, ""\d+""))"),4797.0)</f>
        <v>4797</v>
      </c>
    </row>
    <row r="3700">
      <c r="A3700" s="9" t="s">
        <v>15067</v>
      </c>
      <c r="B3700" s="9" t="s">
        <v>15068</v>
      </c>
      <c r="G3700" s="9" t="s">
        <v>15069</v>
      </c>
      <c r="O3700" s="10">
        <f>IFERROR(__xludf.DUMMYFUNCTION("VALUE(REGEXEXTRACT(A3700, ""\d+""))"),4798.0)</f>
        <v>4798</v>
      </c>
    </row>
    <row r="3701">
      <c r="A3701" s="9" t="s">
        <v>15070</v>
      </c>
      <c r="B3701" s="9" t="s">
        <v>15071</v>
      </c>
      <c r="G3701" s="9" t="s">
        <v>15072</v>
      </c>
      <c r="O3701" s="10">
        <f>IFERROR(__xludf.DUMMYFUNCTION("VALUE(REGEXEXTRACT(A3701, ""\d+""))"),4799.0)</f>
        <v>4799</v>
      </c>
    </row>
    <row r="3702">
      <c r="A3702" s="9" t="s">
        <v>15073</v>
      </c>
      <c r="B3702" s="9" t="s">
        <v>15074</v>
      </c>
      <c r="G3702" s="9" t="s">
        <v>15075</v>
      </c>
      <c r="O3702" s="10">
        <f>IFERROR(__xludf.DUMMYFUNCTION("VALUE(REGEXEXTRACT(A3702, ""\d+""))"),4800.0)</f>
        <v>4800</v>
      </c>
    </row>
    <row r="3703">
      <c r="A3703" s="9" t="s">
        <v>15076</v>
      </c>
      <c r="B3703" s="9" t="s">
        <v>15077</v>
      </c>
      <c r="G3703" s="9" t="s">
        <v>15078</v>
      </c>
      <c r="O3703" s="10">
        <f>IFERROR(__xludf.DUMMYFUNCTION("VALUE(REGEXEXTRACT(A3703, ""\d+""))"),4801.0)</f>
        <v>4801</v>
      </c>
    </row>
    <row r="3704">
      <c r="A3704" s="9" t="s">
        <v>15079</v>
      </c>
      <c r="B3704" s="9" t="s">
        <v>15080</v>
      </c>
      <c r="G3704" s="9" t="s">
        <v>15081</v>
      </c>
      <c r="O3704" s="10">
        <f>IFERROR(__xludf.DUMMYFUNCTION("VALUE(REGEXEXTRACT(A3704, ""\d+""))"),4802.0)</f>
        <v>4802</v>
      </c>
    </row>
    <row r="3705">
      <c r="A3705" s="9" t="s">
        <v>15082</v>
      </c>
      <c r="B3705" s="9" t="s">
        <v>15083</v>
      </c>
      <c r="G3705" s="9" t="s">
        <v>15084</v>
      </c>
      <c r="O3705" s="10">
        <f>IFERROR(__xludf.DUMMYFUNCTION("VALUE(REGEXEXTRACT(A3705, ""\d+""))"),4803.0)</f>
        <v>4803</v>
      </c>
    </row>
    <row r="3706">
      <c r="A3706" s="9" t="s">
        <v>15085</v>
      </c>
      <c r="B3706" s="9" t="s">
        <v>15086</v>
      </c>
      <c r="G3706" s="9" t="s">
        <v>15087</v>
      </c>
      <c r="O3706" s="10">
        <f>IFERROR(__xludf.DUMMYFUNCTION("VALUE(REGEXEXTRACT(A3706, ""\d+""))"),4804.0)</f>
        <v>4804</v>
      </c>
    </row>
    <row r="3707">
      <c r="A3707" s="9" t="s">
        <v>15088</v>
      </c>
      <c r="B3707" s="9" t="s">
        <v>15089</v>
      </c>
      <c r="G3707" s="9" t="s">
        <v>15090</v>
      </c>
      <c r="O3707" s="10">
        <f>IFERROR(__xludf.DUMMYFUNCTION("VALUE(REGEXEXTRACT(A3707, ""\d+""))"),4805.0)</f>
        <v>4805</v>
      </c>
    </row>
    <row r="3708">
      <c r="A3708" s="9" t="s">
        <v>15091</v>
      </c>
      <c r="B3708" s="9" t="s">
        <v>15092</v>
      </c>
      <c r="G3708" s="9" t="s">
        <v>15093</v>
      </c>
      <c r="O3708" s="10">
        <f>IFERROR(__xludf.DUMMYFUNCTION("VALUE(REGEXEXTRACT(A3708, ""\d+""))"),4806.0)</f>
        <v>4806</v>
      </c>
    </row>
    <row r="3709">
      <c r="A3709" s="9" t="s">
        <v>15094</v>
      </c>
      <c r="B3709" s="9" t="s">
        <v>15095</v>
      </c>
      <c r="G3709" s="9" t="s">
        <v>15096</v>
      </c>
      <c r="O3709" s="10">
        <f>IFERROR(__xludf.DUMMYFUNCTION("VALUE(REGEXEXTRACT(A3709, ""\d+""))"),4807.0)</f>
        <v>4807</v>
      </c>
    </row>
    <row r="3710">
      <c r="A3710" s="9" t="s">
        <v>15097</v>
      </c>
      <c r="B3710" s="9" t="s">
        <v>15098</v>
      </c>
      <c r="G3710" s="9" t="s">
        <v>15099</v>
      </c>
      <c r="O3710" s="10">
        <f>IFERROR(__xludf.DUMMYFUNCTION("VALUE(REGEXEXTRACT(A3710, ""\d+""))"),4808.0)</f>
        <v>4808</v>
      </c>
    </row>
    <row r="3711">
      <c r="A3711" s="9" t="s">
        <v>15100</v>
      </c>
      <c r="B3711" s="9" t="s">
        <v>15101</v>
      </c>
      <c r="G3711" s="9" t="s">
        <v>15102</v>
      </c>
      <c r="O3711" s="10">
        <f>IFERROR(__xludf.DUMMYFUNCTION("VALUE(REGEXEXTRACT(A3711, ""\d+""))"),4809.0)</f>
        <v>4809</v>
      </c>
    </row>
    <row r="3712">
      <c r="A3712" s="9" t="s">
        <v>15103</v>
      </c>
      <c r="B3712" s="9" t="s">
        <v>15104</v>
      </c>
      <c r="G3712" s="9" t="s">
        <v>15105</v>
      </c>
      <c r="O3712" s="10">
        <f>IFERROR(__xludf.DUMMYFUNCTION("VALUE(REGEXEXTRACT(A3712, ""\d+""))"),4810.0)</f>
        <v>4810</v>
      </c>
    </row>
    <row r="3713">
      <c r="A3713" s="9" t="s">
        <v>15106</v>
      </c>
      <c r="B3713" s="9" t="s">
        <v>15107</v>
      </c>
      <c r="G3713" s="9" t="s">
        <v>15108</v>
      </c>
      <c r="O3713" s="10">
        <f>IFERROR(__xludf.DUMMYFUNCTION("VALUE(REGEXEXTRACT(A3713, ""\d+""))"),4811.0)</f>
        <v>4811</v>
      </c>
    </row>
    <row r="3714">
      <c r="A3714" s="9" t="s">
        <v>15109</v>
      </c>
      <c r="B3714" s="9" t="s">
        <v>15110</v>
      </c>
      <c r="G3714" s="9" t="s">
        <v>15111</v>
      </c>
      <c r="O3714" s="10">
        <f>IFERROR(__xludf.DUMMYFUNCTION("VALUE(REGEXEXTRACT(A3714, ""\d+""))"),4812.0)</f>
        <v>4812</v>
      </c>
    </row>
    <row r="3715">
      <c r="A3715" s="9" t="s">
        <v>15112</v>
      </c>
      <c r="B3715" s="9" t="s">
        <v>15113</v>
      </c>
      <c r="G3715" s="9" t="s">
        <v>15114</v>
      </c>
      <c r="O3715" s="10">
        <f>IFERROR(__xludf.DUMMYFUNCTION("VALUE(REGEXEXTRACT(A3715, ""\d+""))"),4813.0)</f>
        <v>4813</v>
      </c>
    </row>
    <row r="3716">
      <c r="A3716" s="9" t="s">
        <v>15115</v>
      </c>
      <c r="B3716" s="9" t="s">
        <v>15116</v>
      </c>
      <c r="G3716" s="9" t="s">
        <v>15117</v>
      </c>
      <c r="O3716" s="10">
        <f>IFERROR(__xludf.DUMMYFUNCTION("VALUE(REGEXEXTRACT(A3716, ""\d+""))"),4814.0)</f>
        <v>4814</v>
      </c>
    </row>
    <row r="3717">
      <c r="A3717" s="9" t="s">
        <v>15118</v>
      </c>
      <c r="B3717" s="9" t="s">
        <v>15119</v>
      </c>
      <c r="G3717" s="9" t="s">
        <v>15120</v>
      </c>
      <c r="O3717" s="10">
        <f>IFERROR(__xludf.DUMMYFUNCTION("VALUE(REGEXEXTRACT(A3717, ""\d+""))"),4815.0)</f>
        <v>4815</v>
      </c>
    </row>
    <row r="3718">
      <c r="A3718" s="9" t="s">
        <v>15121</v>
      </c>
      <c r="B3718" s="9" t="s">
        <v>15122</v>
      </c>
      <c r="G3718" s="9" t="s">
        <v>15123</v>
      </c>
      <c r="O3718" s="10">
        <f>IFERROR(__xludf.DUMMYFUNCTION("VALUE(REGEXEXTRACT(A3718, ""\d+""))"),4816.0)</f>
        <v>4816</v>
      </c>
    </row>
    <row r="3719">
      <c r="A3719" s="9" t="s">
        <v>15124</v>
      </c>
      <c r="B3719" s="9" t="s">
        <v>15125</v>
      </c>
      <c r="G3719" s="9" t="s">
        <v>15126</v>
      </c>
      <c r="O3719" s="10">
        <f>IFERROR(__xludf.DUMMYFUNCTION("VALUE(REGEXEXTRACT(A3719, ""\d+""))"),4817.0)</f>
        <v>4817</v>
      </c>
    </row>
    <row r="3720">
      <c r="A3720" s="9" t="s">
        <v>15127</v>
      </c>
      <c r="B3720" s="9" t="s">
        <v>15128</v>
      </c>
      <c r="G3720" s="9" t="s">
        <v>15129</v>
      </c>
      <c r="O3720" s="10">
        <f>IFERROR(__xludf.DUMMYFUNCTION("VALUE(REGEXEXTRACT(A3720, ""\d+""))"),4818.0)</f>
        <v>4818</v>
      </c>
    </row>
    <row r="3721">
      <c r="A3721" s="9" t="s">
        <v>15130</v>
      </c>
      <c r="B3721" s="9" t="s">
        <v>15131</v>
      </c>
      <c r="G3721" s="9" t="s">
        <v>15132</v>
      </c>
      <c r="O3721" s="10">
        <f>IFERROR(__xludf.DUMMYFUNCTION("VALUE(REGEXEXTRACT(A3721, ""\d+""))"),4819.0)</f>
        <v>4819</v>
      </c>
    </row>
    <row r="3722">
      <c r="A3722" s="9" t="s">
        <v>15133</v>
      </c>
      <c r="B3722" s="9" t="s">
        <v>15134</v>
      </c>
      <c r="G3722" s="9" t="s">
        <v>15135</v>
      </c>
      <c r="O3722" s="10">
        <f>IFERROR(__xludf.DUMMYFUNCTION("VALUE(REGEXEXTRACT(A3722, ""\d+""))"),4820.0)</f>
        <v>4820</v>
      </c>
    </row>
    <row r="3723">
      <c r="A3723" s="9" t="s">
        <v>15136</v>
      </c>
      <c r="B3723" s="9" t="s">
        <v>15137</v>
      </c>
      <c r="G3723" s="9" t="s">
        <v>15138</v>
      </c>
      <c r="O3723" s="10">
        <f>IFERROR(__xludf.DUMMYFUNCTION("VALUE(REGEXEXTRACT(A3723, ""\d+""))"),4821.0)</f>
        <v>4821</v>
      </c>
    </row>
    <row r="3724">
      <c r="A3724" s="9" t="s">
        <v>15139</v>
      </c>
      <c r="B3724" s="9" t="s">
        <v>15140</v>
      </c>
      <c r="G3724" s="9" t="s">
        <v>15141</v>
      </c>
      <c r="O3724" s="10">
        <f>IFERROR(__xludf.DUMMYFUNCTION("VALUE(REGEXEXTRACT(A3724, ""\d+""))"),4822.0)</f>
        <v>4822</v>
      </c>
    </row>
    <row r="3725">
      <c r="A3725" s="9" t="s">
        <v>15142</v>
      </c>
      <c r="B3725" s="9" t="s">
        <v>15143</v>
      </c>
      <c r="G3725" s="9" t="s">
        <v>15144</v>
      </c>
      <c r="O3725" s="10">
        <f>IFERROR(__xludf.DUMMYFUNCTION("VALUE(REGEXEXTRACT(A3725, ""\d+""))"),4823.0)</f>
        <v>4823</v>
      </c>
    </row>
    <row r="3726">
      <c r="A3726" s="9" t="s">
        <v>15145</v>
      </c>
      <c r="B3726" s="9" t="s">
        <v>15146</v>
      </c>
      <c r="G3726" s="9" t="s">
        <v>15147</v>
      </c>
      <c r="O3726" s="10">
        <f>IFERROR(__xludf.DUMMYFUNCTION("VALUE(REGEXEXTRACT(A3726, ""\d+""))"),4824.0)</f>
        <v>4824</v>
      </c>
    </row>
    <row r="3727">
      <c r="A3727" s="9" t="s">
        <v>15148</v>
      </c>
      <c r="B3727" s="9" t="s">
        <v>15149</v>
      </c>
      <c r="G3727" s="9" t="s">
        <v>15150</v>
      </c>
      <c r="O3727" s="10">
        <f>IFERROR(__xludf.DUMMYFUNCTION("VALUE(REGEXEXTRACT(A3727, ""\d+""))"),4826.0)</f>
        <v>4826</v>
      </c>
    </row>
    <row r="3728">
      <c r="A3728" s="9" t="s">
        <v>15151</v>
      </c>
      <c r="B3728" s="9" t="s">
        <v>15152</v>
      </c>
      <c r="G3728" s="9" t="s">
        <v>15153</v>
      </c>
      <c r="O3728" s="10">
        <f>IFERROR(__xludf.DUMMYFUNCTION("VALUE(REGEXEXTRACT(A3728, ""\d+""))"),4827.0)</f>
        <v>4827</v>
      </c>
    </row>
    <row r="3729">
      <c r="A3729" s="9" t="s">
        <v>15154</v>
      </c>
      <c r="B3729" s="9" t="s">
        <v>15155</v>
      </c>
      <c r="G3729" s="9" t="s">
        <v>15156</v>
      </c>
      <c r="O3729" s="10">
        <f>IFERROR(__xludf.DUMMYFUNCTION("VALUE(REGEXEXTRACT(A3729, ""\d+""))"),4829.0)</f>
        <v>4829</v>
      </c>
    </row>
    <row r="3730">
      <c r="A3730" s="9" t="s">
        <v>15157</v>
      </c>
      <c r="B3730" s="9" t="s">
        <v>15158</v>
      </c>
      <c r="D3730" s="9" t="s">
        <v>15159</v>
      </c>
      <c r="G3730" s="9" t="s">
        <v>15160</v>
      </c>
      <c r="J3730" s="9" t="s">
        <v>15161</v>
      </c>
      <c r="O3730" s="10">
        <f>IFERROR(__xludf.DUMMYFUNCTION("VALUE(REGEXEXTRACT(A3730, ""\d+""))"),4830.0)</f>
        <v>4830</v>
      </c>
    </row>
    <row r="3731">
      <c r="A3731" s="9" t="s">
        <v>15162</v>
      </c>
      <c r="B3731" s="9" t="s">
        <v>15163</v>
      </c>
      <c r="G3731" s="9" t="s">
        <v>15164</v>
      </c>
      <c r="O3731" s="10">
        <f>IFERROR(__xludf.DUMMYFUNCTION("VALUE(REGEXEXTRACT(A3731, ""\d+""))"),4831.0)</f>
        <v>4831</v>
      </c>
    </row>
    <row r="3732">
      <c r="A3732" s="9" t="s">
        <v>15165</v>
      </c>
      <c r="B3732" s="9" t="s">
        <v>15166</v>
      </c>
      <c r="G3732" s="9" t="s">
        <v>12601</v>
      </c>
      <c r="O3732" s="10">
        <f>IFERROR(__xludf.DUMMYFUNCTION("VALUE(REGEXEXTRACT(A3732, ""\d+""))"),4832.0)</f>
        <v>4832</v>
      </c>
    </row>
    <row r="3733">
      <c r="A3733" s="9" t="s">
        <v>15167</v>
      </c>
      <c r="B3733" s="9" t="s">
        <v>15168</v>
      </c>
      <c r="G3733" s="9" t="s">
        <v>15169</v>
      </c>
      <c r="O3733" s="10">
        <f>IFERROR(__xludf.DUMMYFUNCTION("VALUE(REGEXEXTRACT(A3733, ""\d+""))"),4833.0)</f>
        <v>4833</v>
      </c>
    </row>
    <row r="3734">
      <c r="A3734" s="9" t="s">
        <v>15170</v>
      </c>
      <c r="B3734" s="9" t="s">
        <v>15171</v>
      </c>
      <c r="D3734" s="9" t="s">
        <v>15172</v>
      </c>
      <c r="G3734" s="9" t="s">
        <v>15172</v>
      </c>
      <c r="J3734" s="9" t="s">
        <v>15173</v>
      </c>
      <c r="O3734" s="10">
        <f>IFERROR(__xludf.DUMMYFUNCTION("VALUE(REGEXEXTRACT(A3734, ""\d+""))"),4834.0)</f>
        <v>4834</v>
      </c>
    </row>
    <row r="3735">
      <c r="A3735" s="9" t="s">
        <v>15174</v>
      </c>
      <c r="B3735" s="9" t="s">
        <v>15175</v>
      </c>
      <c r="G3735" s="9" t="s">
        <v>15176</v>
      </c>
      <c r="O3735" s="10">
        <f>IFERROR(__xludf.DUMMYFUNCTION("VALUE(REGEXEXTRACT(A3735, ""\d+""))"),4835.0)</f>
        <v>4835</v>
      </c>
    </row>
    <row r="3736">
      <c r="A3736" s="9" t="s">
        <v>15177</v>
      </c>
      <c r="B3736" s="9" t="s">
        <v>15178</v>
      </c>
      <c r="G3736" s="9" t="s">
        <v>15179</v>
      </c>
      <c r="O3736" s="10">
        <f>IFERROR(__xludf.DUMMYFUNCTION("VALUE(REGEXEXTRACT(A3736, ""\d+""))"),4836.0)</f>
        <v>4836</v>
      </c>
    </row>
    <row r="3737">
      <c r="A3737" s="9" t="s">
        <v>15180</v>
      </c>
      <c r="B3737" s="9" t="s">
        <v>15181</v>
      </c>
      <c r="G3737" s="9" t="s">
        <v>15182</v>
      </c>
      <c r="O3737" s="10">
        <f>IFERROR(__xludf.DUMMYFUNCTION("VALUE(REGEXEXTRACT(A3737, ""\d+""))"),4837.0)</f>
        <v>4837</v>
      </c>
    </row>
    <row r="3738">
      <c r="A3738" s="9" t="s">
        <v>15183</v>
      </c>
      <c r="B3738" s="9" t="s">
        <v>15184</v>
      </c>
      <c r="G3738" s="9" t="s">
        <v>15185</v>
      </c>
      <c r="O3738" s="10">
        <f>IFERROR(__xludf.DUMMYFUNCTION("VALUE(REGEXEXTRACT(A3738, ""\d+""))"),4838.0)</f>
        <v>4838</v>
      </c>
    </row>
    <row r="3739">
      <c r="A3739" s="9" t="s">
        <v>15186</v>
      </c>
      <c r="B3739" s="9" t="s">
        <v>15187</v>
      </c>
      <c r="G3739" s="9" t="s">
        <v>15188</v>
      </c>
      <c r="O3739" s="10">
        <f>IFERROR(__xludf.DUMMYFUNCTION("VALUE(REGEXEXTRACT(A3739, ""\d+""))"),4839.0)</f>
        <v>4839</v>
      </c>
    </row>
    <row r="3740">
      <c r="A3740" s="9" t="s">
        <v>15189</v>
      </c>
      <c r="B3740" s="9" t="s">
        <v>15190</v>
      </c>
      <c r="G3740" s="9" t="s">
        <v>15191</v>
      </c>
      <c r="O3740" s="10">
        <f>IFERROR(__xludf.DUMMYFUNCTION("VALUE(REGEXEXTRACT(A3740, ""\d+""))"),4840.0)</f>
        <v>4840</v>
      </c>
    </row>
    <row r="3741">
      <c r="A3741" s="9" t="s">
        <v>15192</v>
      </c>
      <c r="B3741" s="9" t="s">
        <v>15193</v>
      </c>
      <c r="G3741" s="9" t="s">
        <v>15194</v>
      </c>
      <c r="O3741" s="10">
        <f>IFERROR(__xludf.DUMMYFUNCTION("VALUE(REGEXEXTRACT(A3741, ""\d+""))"),4841.0)</f>
        <v>4841</v>
      </c>
    </row>
    <row r="3742">
      <c r="A3742" s="9" t="s">
        <v>15195</v>
      </c>
      <c r="B3742" s="9" t="s">
        <v>15196</v>
      </c>
      <c r="G3742" s="9" t="s">
        <v>15197</v>
      </c>
      <c r="O3742" s="10">
        <f>IFERROR(__xludf.DUMMYFUNCTION("VALUE(REGEXEXTRACT(A3742, ""\d+""))"),4843.0)</f>
        <v>4843</v>
      </c>
    </row>
    <row r="3743">
      <c r="A3743" s="9" t="s">
        <v>15198</v>
      </c>
      <c r="B3743" s="9" t="s">
        <v>15199</v>
      </c>
      <c r="G3743" s="9" t="s">
        <v>15200</v>
      </c>
      <c r="O3743" s="10">
        <f>IFERROR(__xludf.DUMMYFUNCTION("VALUE(REGEXEXTRACT(A3743, ""\d+""))"),4844.0)</f>
        <v>4844</v>
      </c>
    </row>
    <row r="3744">
      <c r="A3744" s="9" t="s">
        <v>15201</v>
      </c>
      <c r="B3744" s="9" t="s">
        <v>15202</v>
      </c>
      <c r="G3744" s="9" t="s">
        <v>15203</v>
      </c>
      <c r="O3744" s="10">
        <f>IFERROR(__xludf.DUMMYFUNCTION("VALUE(REGEXEXTRACT(A3744, ""\d+""))"),4845.0)</f>
        <v>4845</v>
      </c>
    </row>
    <row r="3745">
      <c r="A3745" s="9" t="s">
        <v>15204</v>
      </c>
      <c r="B3745" s="9" t="s">
        <v>15205</v>
      </c>
      <c r="G3745" s="9" t="s">
        <v>15206</v>
      </c>
      <c r="O3745" s="10">
        <f>IFERROR(__xludf.DUMMYFUNCTION("VALUE(REGEXEXTRACT(A3745, ""\d+""))"),4854.0)</f>
        <v>4854</v>
      </c>
    </row>
    <row r="3746">
      <c r="A3746" s="9" t="s">
        <v>15207</v>
      </c>
      <c r="B3746" s="9" t="s">
        <v>15208</v>
      </c>
      <c r="G3746" s="9" t="s">
        <v>15206</v>
      </c>
      <c r="O3746" s="10">
        <f>IFERROR(__xludf.DUMMYFUNCTION("VALUE(REGEXEXTRACT(A3746, ""\d+""))"),4855.0)</f>
        <v>4855</v>
      </c>
    </row>
    <row r="3747">
      <c r="A3747" s="9" t="s">
        <v>15209</v>
      </c>
      <c r="B3747" s="9" t="s">
        <v>15210</v>
      </c>
      <c r="G3747" s="9" t="s">
        <v>15211</v>
      </c>
      <c r="O3747" s="10">
        <f>IFERROR(__xludf.DUMMYFUNCTION("VALUE(REGEXEXTRACT(A3747, ""\d+""))"),4856.0)</f>
        <v>4856</v>
      </c>
    </row>
    <row r="3748">
      <c r="A3748" s="9" t="s">
        <v>15212</v>
      </c>
      <c r="B3748" s="9" t="s">
        <v>15213</v>
      </c>
      <c r="G3748" s="9" t="s">
        <v>15214</v>
      </c>
      <c r="O3748" s="10">
        <f>IFERROR(__xludf.DUMMYFUNCTION("VALUE(REGEXEXTRACT(A3748, ""\d+""))"),4857.0)</f>
        <v>4857</v>
      </c>
    </row>
    <row r="3749">
      <c r="A3749" s="9" t="s">
        <v>15215</v>
      </c>
      <c r="B3749" s="9" t="s">
        <v>15216</v>
      </c>
      <c r="G3749" s="9" t="s">
        <v>15217</v>
      </c>
      <c r="O3749" s="10">
        <f>IFERROR(__xludf.DUMMYFUNCTION("VALUE(REGEXEXTRACT(A3749, ""\d+""))"),4858.0)</f>
        <v>4858</v>
      </c>
    </row>
    <row r="3750">
      <c r="A3750" s="9" t="s">
        <v>15218</v>
      </c>
      <c r="B3750" s="9" t="s">
        <v>15219</v>
      </c>
      <c r="G3750" s="9" t="s">
        <v>15220</v>
      </c>
      <c r="O3750" s="10">
        <f>IFERROR(__xludf.DUMMYFUNCTION("VALUE(REGEXEXTRACT(A3750, ""\d+""))"),4859.0)</f>
        <v>4859</v>
      </c>
    </row>
    <row r="3751">
      <c r="A3751" s="9" t="s">
        <v>15221</v>
      </c>
      <c r="B3751" s="9" t="s">
        <v>15222</v>
      </c>
      <c r="G3751" s="9" t="s">
        <v>15223</v>
      </c>
      <c r="O3751" s="10">
        <f>IFERROR(__xludf.DUMMYFUNCTION("VALUE(REGEXEXTRACT(A3751, ""\d+""))"),5154.0)</f>
        <v>5154</v>
      </c>
    </row>
    <row r="3752">
      <c r="A3752" s="9" t="s">
        <v>15224</v>
      </c>
      <c r="B3752" s="9" t="s">
        <v>15225</v>
      </c>
      <c r="G3752" s="9" t="s">
        <v>15226</v>
      </c>
      <c r="O3752" s="10">
        <f>IFERROR(__xludf.DUMMYFUNCTION("VALUE(REGEXEXTRACT(A3752, ""\d+""))"),5155.0)</f>
        <v>5155</v>
      </c>
    </row>
    <row r="3753">
      <c r="A3753" s="9" t="s">
        <v>15227</v>
      </c>
      <c r="B3753" s="9" t="s">
        <v>15228</v>
      </c>
      <c r="G3753" s="9" t="s">
        <v>15229</v>
      </c>
      <c r="O3753" s="10">
        <f>IFERROR(__xludf.DUMMYFUNCTION("VALUE(REGEXEXTRACT(A3753, ""\d+""))"),5156.0)</f>
        <v>5156</v>
      </c>
    </row>
    <row r="3754">
      <c r="A3754" s="9" t="s">
        <v>15230</v>
      </c>
      <c r="B3754" s="9" t="s">
        <v>15231</v>
      </c>
      <c r="G3754" s="9" t="s">
        <v>15232</v>
      </c>
      <c r="O3754" s="10">
        <f>IFERROR(__xludf.DUMMYFUNCTION("VALUE(REGEXEXTRACT(A3754, ""\d+""))"),5157.0)</f>
        <v>5157</v>
      </c>
    </row>
    <row r="3755">
      <c r="A3755" s="9" t="s">
        <v>15233</v>
      </c>
      <c r="B3755" s="9" t="s">
        <v>15234</v>
      </c>
      <c r="G3755" s="9" t="s">
        <v>15235</v>
      </c>
      <c r="O3755" s="10">
        <f>IFERROR(__xludf.DUMMYFUNCTION("VALUE(REGEXEXTRACT(A3755, ""\d+""))"),5158.0)</f>
        <v>5158</v>
      </c>
    </row>
    <row r="3756">
      <c r="A3756" s="9" t="s">
        <v>15236</v>
      </c>
      <c r="B3756" s="9" t="s">
        <v>15237</v>
      </c>
      <c r="G3756" s="9" t="s">
        <v>15238</v>
      </c>
      <c r="O3756" s="10">
        <f>IFERROR(__xludf.DUMMYFUNCTION("VALUE(REGEXEXTRACT(A3756, ""\d+""))"),5159.0)</f>
        <v>5159</v>
      </c>
    </row>
    <row r="3757">
      <c r="A3757" s="9" t="s">
        <v>15239</v>
      </c>
      <c r="B3757" s="9" t="s">
        <v>15240</v>
      </c>
      <c r="G3757" s="9" t="s">
        <v>15241</v>
      </c>
      <c r="O3757" s="10">
        <f>IFERROR(__xludf.DUMMYFUNCTION("VALUE(REGEXEXTRACT(A3757, ""\d+""))"),5160.0)</f>
        <v>5160</v>
      </c>
    </row>
    <row r="3758">
      <c r="A3758" s="9" t="s">
        <v>15242</v>
      </c>
      <c r="B3758" s="9" t="s">
        <v>15243</v>
      </c>
      <c r="G3758" s="9" t="s">
        <v>15244</v>
      </c>
      <c r="O3758" s="10">
        <f>IFERROR(__xludf.DUMMYFUNCTION("VALUE(REGEXEXTRACT(A3758, ""\d+""))"),5161.0)</f>
        <v>5161</v>
      </c>
    </row>
    <row r="3759">
      <c r="A3759" s="9" t="s">
        <v>15245</v>
      </c>
      <c r="B3759" s="9" t="s">
        <v>15246</v>
      </c>
      <c r="G3759" s="9" t="s">
        <v>15247</v>
      </c>
      <c r="O3759" s="10">
        <f>IFERROR(__xludf.DUMMYFUNCTION("VALUE(REGEXEXTRACT(A3759, ""\d+""))"),5162.0)</f>
        <v>5162</v>
      </c>
    </row>
    <row r="3760">
      <c r="A3760" s="9" t="s">
        <v>15248</v>
      </c>
      <c r="B3760" s="9" t="s">
        <v>15249</v>
      </c>
      <c r="G3760" s="9" t="s">
        <v>15250</v>
      </c>
      <c r="O3760" s="10">
        <f>IFERROR(__xludf.DUMMYFUNCTION("VALUE(REGEXEXTRACT(A3760, ""\d+""))"),5163.0)</f>
        <v>5163</v>
      </c>
    </row>
    <row r="3761">
      <c r="A3761" s="9" t="s">
        <v>15251</v>
      </c>
      <c r="B3761" s="9" t="s">
        <v>15252</v>
      </c>
      <c r="G3761" s="9" t="s">
        <v>15253</v>
      </c>
      <c r="O3761" s="10">
        <f>IFERROR(__xludf.DUMMYFUNCTION("VALUE(REGEXEXTRACT(A3761, ""\d+""))"),5164.0)</f>
        <v>5164</v>
      </c>
    </row>
    <row r="3762">
      <c r="A3762" s="9" t="s">
        <v>15254</v>
      </c>
      <c r="B3762" s="9" t="s">
        <v>15255</v>
      </c>
      <c r="G3762" s="9" t="s">
        <v>15256</v>
      </c>
      <c r="O3762" s="10">
        <f>IFERROR(__xludf.DUMMYFUNCTION("VALUE(REGEXEXTRACT(A3762, ""\d+""))"),5165.0)</f>
        <v>5165</v>
      </c>
    </row>
    <row r="3763">
      <c r="A3763" s="9" t="s">
        <v>15257</v>
      </c>
      <c r="B3763" s="9" t="s">
        <v>15258</v>
      </c>
      <c r="G3763" s="9" t="s">
        <v>15259</v>
      </c>
      <c r="O3763" s="10">
        <f>IFERROR(__xludf.DUMMYFUNCTION("VALUE(REGEXEXTRACT(A3763, ""\d+""))"),5166.0)</f>
        <v>5166</v>
      </c>
    </row>
    <row r="3764">
      <c r="A3764" s="9" t="s">
        <v>15260</v>
      </c>
      <c r="B3764" s="9" t="s">
        <v>15261</v>
      </c>
      <c r="G3764" s="9" t="s">
        <v>15262</v>
      </c>
      <c r="O3764" s="10">
        <f>IFERROR(__xludf.DUMMYFUNCTION("VALUE(REGEXEXTRACT(A3764, ""\d+""))"),5167.0)</f>
        <v>5167</v>
      </c>
    </row>
    <row r="3765">
      <c r="A3765" s="9" t="s">
        <v>15263</v>
      </c>
      <c r="B3765" s="9" t="s">
        <v>15264</v>
      </c>
      <c r="G3765" s="9" t="s">
        <v>15265</v>
      </c>
      <c r="O3765" s="10">
        <f>IFERROR(__xludf.DUMMYFUNCTION("VALUE(REGEXEXTRACT(A3765, ""\d+""))"),5168.0)</f>
        <v>5168</v>
      </c>
    </row>
    <row r="3766">
      <c r="A3766" s="9" t="s">
        <v>15266</v>
      </c>
      <c r="B3766" s="9" t="s">
        <v>15267</v>
      </c>
      <c r="G3766" s="9" t="s">
        <v>15268</v>
      </c>
      <c r="O3766" s="10">
        <f>IFERROR(__xludf.DUMMYFUNCTION("VALUE(REGEXEXTRACT(A3766, ""\d+""))"),5170.0)</f>
        <v>5170</v>
      </c>
    </row>
    <row r="3767">
      <c r="A3767" s="9" t="s">
        <v>15269</v>
      </c>
      <c r="B3767" s="9" t="s">
        <v>15270</v>
      </c>
      <c r="G3767" s="9" t="s">
        <v>15271</v>
      </c>
      <c r="O3767" s="10">
        <f>IFERROR(__xludf.DUMMYFUNCTION("VALUE(REGEXEXTRACT(A3767, ""\d+""))"),5171.0)</f>
        <v>5171</v>
      </c>
    </row>
    <row r="3768">
      <c r="A3768" s="9" t="s">
        <v>15272</v>
      </c>
      <c r="B3768" s="9" t="s">
        <v>15273</v>
      </c>
      <c r="G3768" s="9" t="s">
        <v>15274</v>
      </c>
      <c r="O3768" s="10">
        <f>IFERROR(__xludf.DUMMYFUNCTION("VALUE(REGEXEXTRACT(A3768, ""\d+""))"),5172.0)</f>
        <v>5172</v>
      </c>
    </row>
    <row r="3769">
      <c r="A3769" s="9" t="s">
        <v>15275</v>
      </c>
      <c r="B3769" s="9" t="s">
        <v>15276</v>
      </c>
      <c r="G3769" s="9" t="s">
        <v>15277</v>
      </c>
      <c r="O3769" s="10">
        <f>IFERROR(__xludf.DUMMYFUNCTION("VALUE(REGEXEXTRACT(A3769, ""\d+""))"),5173.0)</f>
        <v>5173</v>
      </c>
    </row>
    <row r="3770">
      <c r="A3770" s="9" t="s">
        <v>15278</v>
      </c>
      <c r="B3770" s="9" t="s">
        <v>15279</v>
      </c>
      <c r="G3770" s="9" t="s">
        <v>15280</v>
      </c>
      <c r="O3770" s="10">
        <f>IFERROR(__xludf.DUMMYFUNCTION("VALUE(REGEXEXTRACT(A3770, ""\d+""))"),5174.0)</f>
        <v>5174</v>
      </c>
    </row>
    <row r="3771">
      <c r="A3771" s="9" t="s">
        <v>15281</v>
      </c>
      <c r="B3771" s="9" t="s">
        <v>15282</v>
      </c>
      <c r="G3771" s="9" t="s">
        <v>15283</v>
      </c>
      <c r="O3771" s="10">
        <f>IFERROR(__xludf.DUMMYFUNCTION("VALUE(REGEXEXTRACT(A3771, ""\d+""))"),5175.0)</f>
        <v>5175</v>
      </c>
    </row>
    <row r="3772">
      <c r="A3772" s="9" t="s">
        <v>15284</v>
      </c>
      <c r="B3772" s="9" t="s">
        <v>15285</v>
      </c>
      <c r="G3772" s="9" t="s">
        <v>15286</v>
      </c>
      <c r="O3772" s="10">
        <f>IFERROR(__xludf.DUMMYFUNCTION("VALUE(REGEXEXTRACT(A3772, ""\d+""))"),5176.0)</f>
        <v>5176</v>
      </c>
    </row>
    <row r="3773">
      <c r="A3773" s="9" t="s">
        <v>15287</v>
      </c>
      <c r="B3773" s="9" t="s">
        <v>15288</v>
      </c>
      <c r="G3773" s="9" t="s">
        <v>15289</v>
      </c>
      <c r="O3773" s="10">
        <f>IFERROR(__xludf.DUMMYFUNCTION("VALUE(REGEXEXTRACT(A3773, ""\d+""))"),5177.0)</f>
        <v>5177</v>
      </c>
    </row>
    <row r="3774">
      <c r="A3774" s="9" t="s">
        <v>15290</v>
      </c>
      <c r="B3774" s="9" t="s">
        <v>15291</v>
      </c>
      <c r="G3774" s="9" t="s">
        <v>15292</v>
      </c>
      <c r="O3774" s="10">
        <f>IFERROR(__xludf.DUMMYFUNCTION("VALUE(REGEXEXTRACT(A3774, ""\d+""))"),5178.0)</f>
        <v>5178</v>
      </c>
    </row>
    <row r="3775">
      <c r="A3775" s="9" t="s">
        <v>15293</v>
      </c>
      <c r="B3775" s="9" t="s">
        <v>15294</v>
      </c>
      <c r="G3775" s="9" t="s">
        <v>15295</v>
      </c>
      <c r="O3775" s="10">
        <f>IFERROR(__xludf.DUMMYFUNCTION("VALUE(REGEXEXTRACT(A3775, ""\d+""))"),5179.0)</f>
        <v>5179</v>
      </c>
    </row>
    <row r="3776">
      <c r="A3776" s="9" t="s">
        <v>15296</v>
      </c>
      <c r="B3776" s="9" t="s">
        <v>15297</v>
      </c>
      <c r="G3776" s="9" t="s">
        <v>15298</v>
      </c>
      <c r="O3776" s="10">
        <f>IFERROR(__xludf.DUMMYFUNCTION("VALUE(REGEXEXTRACT(A3776, ""\d+""))"),5180.0)</f>
        <v>5180</v>
      </c>
    </row>
    <row r="3777">
      <c r="A3777" s="9" t="s">
        <v>15299</v>
      </c>
      <c r="B3777" s="9" t="s">
        <v>15300</v>
      </c>
      <c r="G3777" s="9" t="s">
        <v>15301</v>
      </c>
      <c r="O3777" s="10">
        <f>IFERROR(__xludf.DUMMYFUNCTION("VALUE(REGEXEXTRACT(A3777, ""\d+""))"),5181.0)</f>
        <v>5181</v>
      </c>
    </row>
    <row r="3778">
      <c r="A3778" s="9" t="s">
        <v>15302</v>
      </c>
      <c r="B3778" s="9" t="s">
        <v>15303</v>
      </c>
      <c r="G3778" s="9" t="s">
        <v>15304</v>
      </c>
      <c r="O3778" s="10">
        <f>IFERROR(__xludf.DUMMYFUNCTION("VALUE(REGEXEXTRACT(A3778, ""\d+""))"),5182.0)</f>
        <v>5182</v>
      </c>
    </row>
    <row r="3779">
      <c r="A3779" s="9" t="s">
        <v>15305</v>
      </c>
      <c r="B3779" s="9" t="s">
        <v>15306</v>
      </c>
      <c r="G3779" s="9" t="s">
        <v>15307</v>
      </c>
      <c r="O3779" s="10">
        <f>IFERROR(__xludf.DUMMYFUNCTION("VALUE(REGEXEXTRACT(A3779, ""\d+""))"),5190.0)</f>
        <v>5190</v>
      </c>
    </row>
    <row r="3780">
      <c r="A3780" s="9" t="s">
        <v>15308</v>
      </c>
      <c r="B3780" s="9" t="s">
        <v>15309</v>
      </c>
      <c r="G3780" s="9" t="s">
        <v>15310</v>
      </c>
      <c r="O3780" s="10">
        <f>IFERROR(__xludf.DUMMYFUNCTION("VALUE(REGEXEXTRACT(A3780, ""\d+""))"),5191.0)</f>
        <v>5191</v>
      </c>
    </row>
    <row r="3781">
      <c r="A3781" s="9" t="s">
        <v>15311</v>
      </c>
      <c r="B3781" s="9" t="s">
        <v>15312</v>
      </c>
      <c r="G3781" s="9" t="s">
        <v>15313</v>
      </c>
      <c r="O3781" s="10">
        <f>IFERROR(__xludf.DUMMYFUNCTION("VALUE(REGEXEXTRACT(A3781, ""\d+""))"),5192.0)</f>
        <v>5192</v>
      </c>
    </row>
    <row r="3782">
      <c r="A3782" s="9" t="s">
        <v>15314</v>
      </c>
      <c r="B3782" s="9" t="s">
        <v>15315</v>
      </c>
      <c r="G3782" s="9" t="s">
        <v>15316</v>
      </c>
      <c r="O3782" s="10">
        <f>IFERROR(__xludf.DUMMYFUNCTION("VALUE(REGEXEXTRACT(A3782, ""\d+""))"),5193.0)</f>
        <v>5193</v>
      </c>
    </row>
    <row r="3783">
      <c r="A3783" s="9" t="s">
        <v>15317</v>
      </c>
      <c r="B3783" s="9" t="s">
        <v>15318</v>
      </c>
      <c r="G3783" s="9" t="s">
        <v>15319</v>
      </c>
      <c r="O3783" s="10">
        <f>IFERROR(__xludf.DUMMYFUNCTION("VALUE(REGEXEXTRACT(A3783, ""\d+""))"),5197.0)</f>
        <v>5197</v>
      </c>
    </row>
    <row r="3784">
      <c r="A3784" s="9" t="s">
        <v>15320</v>
      </c>
      <c r="B3784" s="9" t="s">
        <v>15321</v>
      </c>
      <c r="G3784" s="9" t="s">
        <v>15322</v>
      </c>
      <c r="O3784" s="10">
        <f>IFERROR(__xludf.DUMMYFUNCTION("VALUE(REGEXEXTRACT(A3784, ""\d+""))"),5198.0)</f>
        <v>5198</v>
      </c>
    </row>
    <row r="3785">
      <c r="A3785" s="9" t="s">
        <v>15323</v>
      </c>
      <c r="B3785" s="9" t="s">
        <v>15324</v>
      </c>
      <c r="G3785" s="9" t="s">
        <v>15325</v>
      </c>
      <c r="O3785" s="10">
        <f>IFERROR(__xludf.DUMMYFUNCTION("VALUE(REGEXEXTRACT(A3785, ""\d+""))"),5199.0)</f>
        <v>5199</v>
      </c>
    </row>
    <row r="3786">
      <c r="A3786" s="9" t="s">
        <v>15326</v>
      </c>
      <c r="B3786" s="9" t="s">
        <v>15327</v>
      </c>
      <c r="G3786" s="9" t="s">
        <v>15328</v>
      </c>
      <c r="O3786" s="10">
        <f>IFERROR(__xludf.DUMMYFUNCTION("VALUE(REGEXEXTRACT(A3786, ""\d+""))"),5200.0)</f>
        <v>5200</v>
      </c>
    </row>
    <row r="3787">
      <c r="A3787" s="9" t="s">
        <v>15329</v>
      </c>
      <c r="B3787" s="9" t="s">
        <v>15330</v>
      </c>
      <c r="G3787" s="9" t="s">
        <v>15330</v>
      </c>
      <c r="O3787" s="10">
        <f>IFERROR(__xludf.DUMMYFUNCTION("VALUE(REGEXEXTRACT(A3787, ""\d+""))"),5201.0)</f>
        <v>5201</v>
      </c>
    </row>
    <row r="3788">
      <c r="A3788" s="9" t="s">
        <v>15331</v>
      </c>
      <c r="B3788" s="9" t="s">
        <v>15332</v>
      </c>
      <c r="G3788" s="9" t="s">
        <v>15332</v>
      </c>
      <c r="O3788" s="10">
        <f>IFERROR(__xludf.DUMMYFUNCTION("VALUE(REGEXEXTRACT(A3788, ""\d+""))"),5202.0)</f>
        <v>5202</v>
      </c>
    </row>
    <row r="3789">
      <c r="A3789" s="9" t="s">
        <v>15333</v>
      </c>
      <c r="B3789" s="9" t="s">
        <v>15334</v>
      </c>
      <c r="G3789" s="9" t="s">
        <v>469</v>
      </c>
      <c r="O3789" s="10">
        <f>IFERROR(__xludf.DUMMYFUNCTION("VALUE(REGEXEXTRACT(A3789, ""\d+""))"),5203.0)</f>
        <v>5203</v>
      </c>
    </row>
    <row r="3790">
      <c r="A3790" s="9" t="s">
        <v>15335</v>
      </c>
      <c r="B3790" s="9" t="s">
        <v>15336</v>
      </c>
      <c r="G3790" s="9" t="s">
        <v>15336</v>
      </c>
      <c r="O3790" s="10">
        <f>IFERROR(__xludf.DUMMYFUNCTION("VALUE(REGEXEXTRACT(A3790, ""\d+""))"),5204.0)</f>
        <v>5204</v>
      </c>
    </row>
    <row r="3791">
      <c r="A3791" s="9" t="s">
        <v>15337</v>
      </c>
      <c r="B3791" s="9" t="s">
        <v>15338</v>
      </c>
      <c r="G3791" s="9" t="s">
        <v>15338</v>
      </c>
      <c r="O3791" s="10">
        <f>IFERROR(__xludf.DUMMYFUNCTION("VALUE(REGEXEXTRACT(A3791, ""\d+""))"),5205.0)</f>
        <v>5205</v>
      </c>
    </row>
    <row r="3792">
      <c r="A3792" s="9" t="s">
        <v>15339</v>
      </c>
      <c r="B3792" s="9" t="s">
        <v>15340</v>
      </c>
      <c r="G3792" s="9" t="s">
        <v>15340</v>
      </c>
      <c r="O3792" s="10">
        <f>IFERROR(__xludf.DUMMYFUNCTION("VALUE(REGEXEXTRACT(A3792, ""\d+""))"),5206.0)</f>
        <v>5206</v>
      </c>
    </row>
    <row r="3793">
      <c r="A3793" s="9" t="s">
        <v>15341</v>
      </c>
      <c r="B3793" s="9" t="s">
        <v>15342</v>
      </c>
      <c r="G3793" s="9" t="s">
        <v>15342</v>
      </c>
      <c r="O3793" s="10">
        <f>IFERROR(__xludf.DUMMYFUNCTION("VALUE(REGEXEXTRACT(A3793, ""\d+""))"),5207.0)</f>
        <v>5207</v>
      </c>
    </row>
    <row r="3794">
      <c r="A3794" s="9" t="s">
        <v>15343</v>
      </c>
      <c r="B3794" s="9" t="s">
        <v>15344</v>
      </c>
      <c r="G3794" s="9" t="s">
        <v>15344</v>
      </c>
      <c r="O3794" s="10">
        <f>IFERROR(__xludf.DUMMYFUNCTION("VALUE(REGEXEXTRACT(A3794, ""\d+""))"),5208.0)</f>
        <v>5208</v>
      </c>
    </row>
    <row r="3795">
      <c r="A3795" s="9" t="s">
        <v>15345</v>
      </c>
      <c r="B3795" s="9" t="s">
        <v>15346</v>
      </c>
      <c r="G3795" s="9" t="s">
        <v>15347</v>
      </c>
      <c r="O3795" s="10">
        <f>IFERROR(__xludf.DUMMYFUNCTION("VALUE(REGEXEXTRACT(A3795, ""\d+""))"),5215.0)</f>
        <v>5215</v>
      </c>
    </row>
    <row r="3796">
      <c r="A3796" s="9" t="s">
        <v>15348</v>
      </c>
      <c r="B3796" s="9" t="s">
        <v>15349</v>
      </c>
      <c r="G3796" s="9" t="s">
        <v>15350</v>
      </c>
      <c r="O3796" s="10">
        <f>IFERROR(__xludf.DUMMYFUNCTION("VALUE(REGEXEXTRACT(A3796, ""\d+""))"),5216.0)</f>
        <v>5216</v>
      </c>
    </row>
    <row r="3797">
      <c r="A3797" s="9" t="s">
        <v>15351</v>
      </c>
      <c r="B3797" s="9" t="s">
        <v>15352</v>
      </c>
      <c r="O3797" s="10">
        <f>IFERROR(__xludf.DUMMYFUNCTION("VALUE(REGEXEXTRACT(A3797, ""\d+""))"),5217.0)</f>
        <v>5217</v>
      </c>
    </row>
    <row r="3798">
      <c r="A3798" s="9" t="s">
        <v>15353</v>
      </c>
      <c r="B3798" s="9" t="s">
        <v>15354</v>
      </c>
      <c r="O3798" s="10">
        <f>IFERROR(__xludf.DUMMYFUNCTION("VALUE(REGEXEXTRACT(A3798, ""\d+""))"),5218.0)</f>
        <v>5218</v>
      </c>
    </row>
    <row r="3799">
      <c r="A3799" s="9" t="s">
        <v>15355</v>
      </c>
      <c r="B3799" s="9" t="s">
        <v>15356</v>
      </c>
      <c r="G3799" s="9" t="s">
        <v>15357</v>
      </c>
      <c r="O3799" s="10">
        <f>IFERROR(__xludf.DUMMYFUNCTION("VALUE(REGEXEXTRACT(A3799, ""\d+""))"),5219.0)</f>
        <v>5219</v>
      </c>
    </row>
    <row r="3800">
      <c r="A3800" s="9" t="s">
        <v>15358</v>
      </c>
      <c r="B3800" s="9" t="s">
        <v>15359</v>
      </c>
      <c r="O3800" s="10">
        <f>IFERROR(__xludf.DUMMYFUNCTION("VALUE(REGEXEXTRACT(A3800, ""\d+""))"),5220.0)</f>
        <v>5220</v>
      </c>
    </row>
    <row r="3801">
      <c r="A3801" s="9" t="s">
        <v>15360</v>
      </c>
      <c r="B3801" s="9" t="s">
        <v>15361</v>
      </c>
      <c r="G3801" s="9" t="s">
        <v>15361</v>
      </c>
      <c r="O3801" s="10">
        <f>IFERROR(__xludf.DUMMYFUNCTION("VALUE(REGEXEXTRACT(A3801, ""\d+""))"),5221.0)</f>
        <v>5221</v>
      </c>
    </row>
    <row r="3802">
      <c r="A3802" s="9" t="s">
        <v>15362</v>
      </c>
      <c r="B3802" s="9" t="s">
        <v>15363</v>
      </c>
      <c r="G3802" s="9" t="s">
        <v>15364</v>
      </c>
      <c r="O3802" s="10">
        <f>IFERROR(__xludf.DUMMYFUNCTION("VALUE(REGEXEXTRACT(A3802, ""\d+""))"),5223.0)</f>
        <v>5223</v>
      </c>
    </row>
    <row r="3803">
      <c r="A3803" s="9" t="s">
        <v>15365</v>
      </c>
      <c r="B3803" s="9" t="s">
        <v>15366</v>
      </c>
      <c r="G3803" s="9" t="s">
        <v>15367</v>
      </c>
      <c r="O3803" s="10">
        <f>IFERROR(__xludf.DUMMYFUNCTION("VALUE(REGEXEXTRACT(A3803, ""\d+""))"),5224.0)</f>
        <v>5224</v>
      </c>
    </row>
    <row r="3804">
      <c r="A3804" s="9" t="s">
        <v>15368</v>
      </c>
      <c r="B3804" s="9" t="s">
        <v>15369</v>
      </c>
      <c r="G3804" s="9" t="s">
        <v>15370</v>
      </c>
      <c r="O3804" s="10">
        <f>IFERROR(__xludf.DUMMYFUNCTION("VALUE(REGEXEXTRACT(A3804, ""\d+""))"),5225.0)</f>
        <v>5225</v>
      </c>
    </row>
    <row r="3805">
      <c r="A3805" s="9" t="s">
        <v>15371</v>
      </c>
      <c r="B3805" s="9" t="s">
        <v>15372</v>
      </c>
      <c r="O3805" s="10">
        <f>IFERROR(__xludf.DUMMYFUNCTION("VALUE(REGEXEXTRACT(A3805, ""\d+""))"),5226.0)</f>
        <v>5226</v>
      </c>
    </row>
    <row r="3806">
      <c r="A3806" s="9" t="s">
        <v>15373</v>
      </c>
      <c r="B3806" s="9" t="s">
        <v>15374</v>
      </c>
      <c r="O3806" s="10">
        <f>IFERROR(__xludf.DUMMYFUNCTION("VALUE(REGEXEXTRACT(A3806, ""\d+""))"),5227.0)</f>
        <v>5227</v>
      </c>
    </row>
    <row r="3807">
      <c r="A3807" s="9" t="s">
        <v>15375</v>
      </c>
      <c r="B3807" s="9" t="s">
        <v>15376</v>
      </c>
      <c r="G3807" s="9" t="s">
        <v>15377</v>
      </c>
      <c r="O3807" s="10">
        <f>IFERROR(__xludf.DUMMYFUNCTION("VALUE(REGEXEXTRACT(A3807, ""\d+""))"),5228.0)</f>
        <v>5228</v>
      </c>
    </row>
    <row r="3808">
      <c r="A3808" s="9" t="s">
        <v>15378</v>
      </c>
      <c r="B3808" s="9" t="s">
        <v>15379</v>
      </c>
      <c r="G3808" s="9" t="s">
        <v>15380</v>
      </c>
      <c r="O3808" s="10">
        <f>IFERROR(__xludf.DUMMYFUNCTION("VALUE(REGEXEXTRACT(A3808, ""\d+""))"),5229.0)</f>
        <v>5229</v>
      </c>
    </row>
    <row r="3809">
      <c r="A3809" s="9" t="s">
        <v>15381</v>
      </c>
      <c r="B3809" s="9" t="s">
        <v>15382</v>
      </c>
      <c r="G3809" s="9" t="s">
        <v>15383</v>
      </c>
      <c r="O3809" s="10">
        <f>IFERROR(__xludf.DUMMYFUNCTION("VALUE(REGEXEXTRACT(A3809, ""\d+""))"),5230.0)</f>
        <v>5230</v>
      </c>
    </row>
    <row r="3810">
      <c r="A3810" s="9" t="s">
        <v>15384</v>
      </c>
      <c r="B3810" s="9" t="s">
        <v>15385</v>
      </c>
      <c r="G3810" s="9" t="s">
        <v>15386</v>
      </c>
      <c r="O3810" s="10">
        <f>IFERROR(__xludf.DUMMYFUNCTION("VALUE(REGEXEXTRACT(A3810, ""\d+""))"),5231.0)</f>
        <v>5231</v>
      </c>
    </row>
    <row r="3811">
      <c r="A3811" s="9" t="s">
        <v>15387</v>
      </c>
      <c r="B3811" s="9" t="s">
        <v>15388</v>
      </c>
      <c r="G3811" s="9" t="s">
        <v>15389</v>
      </c>
      <c r="O3811" s="10">
        <f>IFERROR(__xludf.DUMMYFUNCTION("VALUE(REGEXEXTRACT(A3811, ""\d+""))"),5232.0)</f>
        <v>5232</v>
      </c>
    </row>
    <row r="3812">
      <c r="A3812" s="9" t="s">
        <v>15390</v>
      </c>
      <c r="B3812" s="9" t="s">
        <v>15391</v>
      </c>
      <c r="G3812" s="9" t="s">
        <v>15392</v>
      </c>
      <c r="O3812" s="10">
        <f>IFERROR(__xludf.DUMMYFUNCTION("VALUE(REGEXEXTRACT(A3812, ""\d+""))"),5233.0)</f>
        <v>5233</v>
      </c>
    </row>
    <row r="3813">
      <c r="A3813" s="9" t="s">
        <v>15393</v>
      </c>
      <c r="B3813" s="9" t="s">
        <v>15394</v>
      </c>
      <c r="G3813" s="9" t="s">
        <v>15395</v>
      </c>
      <c r="O3813" s="10">
        <f>IFERROR(__xludf.DUMMYFUNCTION("VALUE(REGEXEXTRACT(A3813, ""\d+""))"),5234.0)</f>
        <v>5234</v>
      </c>
    </row>
    <row r="3814">
      <c r="A3814" s="9" t="s">
        <v>15396</v>
      </c>
      <c r="B3814" s="9" t="s">
        <v>15397</v>
      </c>
      <c r="G3814" s="9" t="s">
        <v>15398</v>
      </c>
      <c r="O3814" s="10">
        <f>IFERROR(__xludf.DUMMYFUNCTION("VALUE(REGEXEXTRACT(A3814, ""\d+""))"),5235.0)</f>
        <v>5235</v>
      </c>
    </row>
    <row r="3815">
      <c r="A3815" s="9" t="s">
        <v>15399</v>
      </c>
      <c r="B3815" s="9" t="s">
        <v>15400</v>
      </c>
      <c r="G3815" s="9" t="s">
        <v>15401</v>
      </c>
      <c r="O3815" s="10">
        <f>IFERROR(__xludf.DUMMYFUNCTION("VALUE(REGEXEXTRACT(A3815, ""\d+""))"),5255.0)</f>
        <v>5255</v>
      </c>
    </row>
    <row r="3816">
      <c r="A3816" s="9" t="s">
        <v>15402</v>
      </c>
      <c r="B3816" s="9" t="s">
        <v>15403</v>
      </c>
      <c r="G3816" s="9" t="s">
        <v>15404</v>
      </c>
      <c r="O3816" s="10">
        <f>IFERROR(__xludf.DUMMYFUNCTION("VALUE(REGEXEXTRACT(A3816, ""\d+""))"),5256.0)</f>
        <v>5256</v>
      </c>
    </row>
    <row r="3817">
      <c r="A3817" s="9" t="s">
        <v>15405</v>
      </c>
      <c r="B3817" s="9" t="s">
        <v>15406</v>
      </c>
      <c r="G3817" s="9" t="s">
        <v>15407</v>
      </c>
      <c r="O3817" s="10">
        <f>IFERROR(__xludf.DUMMYFUNCTION("VALUE(REGEXEXTRACT(A3817, ""\d+""))"),5257.0)</f>
        <v>5257</v>
      </c>
    </row>
    <row r="3818">
      <c r="A3818" s="9" t="s">
        <v>15408</v>
      </c>
      <c r="B3818" s="9" t="s">
        <v>15409</v>
      </c>
      <c r="G3818" s="9" t="s">
        <v>15409</v>
      </c>
      <c r="O3818" s="10">
        <f>IFERROR(__xludf.DUMMYFUNCTION("VALUE(REGEXEXTRACT(A3818, ""\d+""))"),5260.0)</f>
        <v>5260</v>
      </c>
    </row>
    <row r="3819">
      <c r="A3819" s="9" t="s">
        <v>15410</v>
      </c>
      <c r="B3819" s="9" t="s">
        <v>15411</v>
      </c>
      <c r="G3819" s="9" t="s">
        <v>15412</v>
      </c>
      <c r="O3819" s="10">
        <f>IFERROR(__xludf.DUMMYFUNCTION("VALUE(REGEXEXTRACT(A3819, ""\d+""))"),5261.0)</f>
        <v>5261</v>
      </c>
    </row>
    <row r="3820">
      <c r="A3820" s="9" t="s">
        <v>15413</v>
      </c>
      <c r="B3820" s="9" t="s">
        <v>15414</v>
      </c>
      <c r="G3820" s="9" t="s">
        <v>15415</v>
      </c>
      <c r="O3820" s="10">
        <f>IFERROR(__xludf.DUMMYFUNCTION("VALUE(REGEXEXTRACT(A3820, ""\d+""))"),5262.0)</f>
        <v>5262</v>
      </c>
    </row>
    <row r="3821">
      <c r="A3821" s="9" t="s">
        <v>15416</v>
      </c>
      <c r="B3821" s="9" t="s">
        <v>15417</v>
      </c>
      <c r="G3821" s="9" t="s">
        <v>15418</v>
      </c>
      <c r="O3821" s="10">
        <f>IFERROR(__xludf.DUMMYFUNCTION("VALUE(REGEXEXTRACT(A3821, ""\d+""))"),5263.0)</f>
        <v>5263</v>
      </c>
    </row>
    <row r="3822">
      <c r="A3822" s="9" t="s">
        <v>15419</v>
      </c>
      <c r="B3822" s="9" t="s">
        <v>15420</v>
      </c>
      <c r="G3822" s="9" t="s">
        <v>15421</v>
      </c>
      <c r="O3822" s="10">
        <f>IFERROR(__xludf.DUMMYFUNCTION("VALUE(REGEXEXTRACT(A3822, ""\d+""))"),5264.0)</f>
        <v>5264</v>
      </c>
    </row>
    <row r="3823">
      <c r="A3823" s="9" t="s">
        <v>15422</v>
      </c>
      <c r="B3823" s="9" t="s">
        <v>15423</v>
      </c>
      <c r="G3823" s="9" t="s">
        <v>15424</v>
      </c>
      <c r="O3823" s="10">
        <f>IFERROR(__xludf.DUMMYFUNCTION("VALUE(REGEXEXTRACT(A3823, ""\d+""))"),5265.0)</f>
        <v>5265</v>
      </c>
    </row>
    <row r="3824">
      <c r="A3824" s="9" t="s">
        <v>15425</v>
      </c>
      <c r="B3824" s="9" t="s">
        <v>15426</v>
      </c>
      <c r="G3824" s="9" t="s">
        <v>15427</v>
      </c>
      <c r="O3824" s="10">
        <f>IFERROR(__xludf.DUMMYFUNCTION("VALUE(REGEXEXTRACT(A3824, ""\d+""))"),5266.0)</f>
        <v>5266</v>
      </c>
    </row>
    <row r="3825">
      <c r="A3825" s="9" t="s">
        <v>15428</v>
      </c>
      <c r="B3825" s="9" t="s">
        <v>15429</v>
      </c>
      <c r="G3825" s="9" t="s">
        <v>15430</v>
      </c>
      <c r="O3825" s="10">
        <f>IFERROR(__xludf.DUMMYFUNCTION("VALUE(REGEXEXTRACT(A3825, ""\d+""))"),5267.0)</f>
        <v>5267</v>
      </c>
    </row>
    <row r="3826">
      <c r="A3826" s="9" t="s">
        <v>15431</v>
      </c>
      <c r="B3826" s="9" t="s">
        <v>15432</v>
      </c>
      <c r="G3826" s="9" t="s">
        <v>15433</v>
      </c>
      <c r="O3826" s="10">
        <f>IFERROR(__xludf.DUMMYFUNCTION("VALUE(REGEXEXTRACT(A3826, ""\d+""))"),5268.0)</f>
        <v>5268</v>
      </c>
    </row>
    <row r="3827">
      <c r="A3827" s="9" t="s">
        <v>15434</v>
      </c>
      <c r="B3827" s="9" t="s">
        <v>15435</v>
      </c>
      <c r="G3827" s="9" t="s">
        <v>15436</v>
      </c>
      <c r="O3827" s="10">
        <f>IFERROR(__xludf.DUMMYFUNCTION("VALUE(REGEXEXTRACT(A3827, ""\d+""))"),5269.0)</f>
        <v>5269</v>
      </c>
    </row>
    <row r="3828">
      <c r="A3828" s="9" t="s">
        <v>15437</v>
      </c>
      <c r="B3828" s="9" t="s">
        <v>15438</v>
      </c>
      <c r="G3828" s="9" t="s">
        <v>15439</v>
      </c>
      <c r="O3828" s="10">
        <f>IFERROR(__xludf.DUMMYFUNCTION("VALUE(REGEXEXTRACT(A3828, ""\d+""))"),5270.0)</f>
        <v>5270</v>
      </c>
    </row>
    <row r="3829">
      <c r="A3829" s="9" t="s">
        <v>15440</v>
      </c>
      <c r="B3829" s="9" t="s">
        <v>15441</v>
      </c>
      <c r="G3829" s="9" t="s">
        <v>15441</v>
      </c>
      <c r="O3829" s="10">
        <f>IFERROR(__xludf.DUMMYFUNCTION("VALUE(REGEXEXTRACT(A3829, ""\d+""))"),5271.0)</f>
        <v>5271</v>
      </c>
    </row>
    <row r="3830">
      <c r="A3830" s="9" t="s">
        <v>15442</v>
      </c>
      <c r="B3830" s="9" t="s">
        <v>15443</v>
      </c>
      <c r="G3830" s="9" t="s">
        <v>15443</v>
      </c>
      <c r="O3830" s="10">
        <f>IFERROR(__xludf.DUMMYFUNCTION("VALUE(REGEXEXTRACT(A3830, ""\d+""))"),5272.0)</f>
        <v>5272</v>
      </c>
    </row>
    <row r="3831">
      <c r="A3831" s="9" t="s">
        <v>15444</v>
      </c>
      <c r="B3831" s="9" t="s">
        <v>15445</v>
      </c>
      <c r="G3831" s="9" t="s">
        <v>15446</v>
      </c>
      <c r="O3831" s="10">
        <f>IFERROR(__xludf.DUMMYFUNCTION("VALUE(REGEXEXTRACT(A3831, ""\d+""))"),5273.0)</f>
        <v>5273</v>
      </c>
    </row>
    <row r="3832">
      <c r="A3832" s="9" t="s">
        <v>15447</v>
      </c>
      <c r="B3832" s="9" t="s">
        <v>15448</v>
      </c>
      <c r="G3832" s="9" t="s">
        <v>15449</v>
      </c>
      <c r="O3832" s="10">
        <f>IFERROR(__xludf.DUMMYFUNCTION("VALUE(REGEXEXTRACT(A3832, ""\d+""))"),5274.0)</f>
        <v>5274</v>
      </c>
    </row>
    <row r="3833">
      <c r="A3833" s="9" t="s">
        <v>15450</v>
      </c>
      <c r="B3833" s="9" t="s">
        <v>15451</v>
      </c>
      <c r="G3833" s="9" t="s">
        <v>15452</v>
      </c>
      <c r="O3833" s="10">
        <f>IFERROR(__xludf.DUMMYFUNCTION("VALUE(REGEXEXTRACT(A3833, ""\d+""))"),5275.0)</f>
        <v>5275</v>
      </c>
    </row>
    <row r="3834">
      <c r="A3834" s="9" t="s">
        <v>15453</v>
      </c>
      <c r="B3834" s="9" t="s">
        <v>15454</v>
      </c>
      <c r="G3834" s="9" t="s">
        <v>15455</v>
      </c>
      <c r="O3834" s="10">
        <f>IFERROR(__xludf.DUMMYFUNCTION("VALUE(REGEXEXTRACT(A3834, ""\d+""))"),5276.0)</f>
        <v>5276</v>
      </c>
    </row>
    <row r="3835">
      <c r="A3835" s="9" t="s">
        <v>15456</v>
      </c>
      <c r="B3835" s="9" t="s">
        <v>15457</v>
      </c>
      <c r="G3835" s="9" t="s">
        <v>15458</v>
      </c>
      <c r="O3835" s="10">
        <f>IFERROR(__xludf.DUMMYFUNCTION("VALUE(REGEXEXTRACT(A3835, ""\d+""))"),5277.0)</f>
        <v>5277</v>
      </c>
    </row>
    <row r="3836">
      <c r="A3836" s="9" t="s">
        <v>15459</v>
      </c>
      <c r="B3836" s="9" t="s">
        <v>15460</v>
      </c>
      <c r="G3836" s="9" t="s">
        <v>15461</v>
      </c>
      <c r="O3836" s="10">
        <f>IFERROR(__xludf.DUMMYFUNCTION("VALUE(REGEXEXTRACT(A3836, ""\d+""))"),5278.0)</f>
        <v>5278</v>
      </c>
    </row>
    <row r="3837">
      <c r="A3837" s="9" t="s">
        <v>15462</v>
      </c>
      <c r="B3837" s="9" t="s">
        <v>15463</v>
      </c>
      <c r="G3837" s="9" t="s">
        <v>15464</v>
      </c>
      <c r="O3837" s="10">
        <f>IFERROR(__xludf.DUMMYFUNCTION("VALUE(REGEXEXTRACT(A3837, ""\d+""))"),5279.0)</f>
        <v>5279</v>
      </c>
    </row>
    <row r="3838">
      <c r="A3838" s="9" t="s">
        <v>15465</v>
      </c>
      <c r="B3838" s="9" t="s">
        <v>15466</v>
      </c>
      <c r="G3838" s="9" t="s">
        <v>15467</v>
      </c>
      <c r="O3838" s="10">
        <f>IFERROR(__xludf.DUMMYFUNCTION("VALUE(REGEXEXTRACT(A3838, ""\d+""))"),5280.0)</f>
        <v>5280</v>
      </c>
    </row>
    <row r="3839">
      <c r="A3839" s="9" t="s">
        <v>15468</v>
      </c>
      <c r="B3839" s="9" t="s">
        <v>15469</v>
      </c>
      <c r="G3839" s="9" t="s">
        <v>15470</v>
      </c>
      <c r="O3839" s="10">
        <f>IFERROR(__xludf.DUMMYFUNCTION("VALUE(REGEXEXTRACT(A3839, ""\d+""))"),5281.0)</f>
        <v>5281</v>
      </c>
    </row>
    <row r="3840">
      <c r="A3840" s="9" t="s">
        <v>15471</v>
      </c>
      <c r="B3840" s="9" t="s">
        <v>15472</v>
      </c>
      <c r="G3840" s="9" t="s">
        <v>15473</v>
      </c>
      <c r="O3840" s="10">
        <f>IFERROR(__xludf.DUMMYFUNCTION("VALUE(REGEXEXTRACT(A3840, ""\d+""))"),5282.0)</f>
        <v>5282</v>
      </c>
    </row>
    <row r="3841">
      <c r="A3841" s="9" t="s">
        <v>15474</v>
      </c>
      <c r="B3841" s="9" t="s">
        <v>15475</v>
      </c>
      <c r="G3841" s="9" t="s">
        <v>15475</v>
      </c>
      <c r="O3841" s="10">
        <f>IFERROR(__xludf.DUMMYFUNCTION("VALUE(REGEXEXTRACT(A3841, ""\d+""))"),5283.0)</f>
        <v>5283</v>
      </c>
    </row>
    <row r="3842">
      <c r="A3842" s="9" t="s">
        <v>15476</v>
      </c>
      <c r="B3842" s="9" t="s">
        <v>15477</v>
      </c>
      <c r="G3842" s="9" t="s">
        <v>15478</v>
      </c>
      <c r="O3842" s="10">
        <f>IFERROR(__xludf.DUMMYFUNCTION("VALUE(REGEXEXTRACT(A3842, ""\d+""))"),5284.0)</f>
        <v>5284</v>
      </c>
    </row>
    <row r="3843">
      <c r="A3843" s="9" t="s">
        <v>15479</v>
      </c>
      <c r="B3843" s="9" t="s">
        <v>15480</v>
      </c>
      <c r="G3843" s="9" t="s">
        <v>15481</v>
      </c>
      <c r="O3843" s="10">
        <f>IFERROR(__xludf.DUMMYFUNCTION("VALUE(REGEXEXTRACT(A3843, ""\d+""))"),5285.0)</f>
        <v>5285</v>
      </c>
    </row>
    <row r="3844">
      <c r="A3844" s="9" t="s">
        <v>15482</v>
      </c>
      <c r="B3844" s="9" t="s">
        <v>15483</v>
      </c>
      <c r="G3844" s="9" t="s">
        <v>15484</v>
      </c>
      <c r="O3844" s="10">
        <f>IFERROR(__xludf.DUMMYFUNCTION("VALUE(REGEXEXTRACT(A3844, ""\d+""))"),5286.0)</f>
        <v>5286</v>
      </c>
    </row>
    <row r="3845">
      <c r="A3845" s="9" t="s">
        <v>15485</v>
      </c>
      <c r="B3845" s="9" t="s">
        <v>15486</v>
      </c>
      <c r="G3845" s="9" t="s">
        <v>15487</v>
      </c>
      <c r="O3845" s="10">
        <f>IFERROR(__xludf.DUMMYFUNCTION("VALUE(REGEXEXTRACT(A3845, ""\d+""))"),5287.0)</f>
        <v>5287</v>
      </c>
    </row>
    <row r="3846">
      <c r="A3846" s="9" t="s">
        <v>15488</v>
      </c>
      <c r="B3846" s="9" t="s">
        <v>15489</v>
      </c>
      <c r="G3846" s="9" t="s">
        <v>15490</v>
      </c>
      <c r="O3846" s="10">
        <f>IFERROR(__xludf.DUMMYFUNCTION("VALUE(REGEXEXTRACT(A3846, ""\d+""))"),5288.0)</f>
        <v>5288</v>
      </c>
    </row>
    <row r="3847">
      <c r="A3847" s="9" t="s">
        <v>15491</v>
      </c>
      <c r="B3847" s="9" t="s">
        <v>15492</v>
      </c>
      <c r="G3847" s="9" t="s">
        <v>15493</v>
      </c>
      <c r="O3847" s="10">
        <f>IFERROR(__xludf.DUMMYFUNCTION("VALUE(REGEXEXTRACT(A3847, ""\d+""))"),5289.0)</f>
        <v>5289</v>
      </c>
    </row>
    <row r="3848">
      <c r="A3848" s="9" t="s">
        <v>15494</v>
      </c>
      <c r="B3848" s="9" t="s">
        <v>15495</v>
      </c>
      <c r="G3848" s="9" t="s">
        <v>15496</v>
      </c>
      <c r="O3848" s="10">
        <f>IFERROR(__xludf.DUMMYFUNCTION("VALUE(REGEXEXTRACT(A3848, ""\d+""))"),5290.0)</f>
        <v>5290</v>
      </c>
    </row>
    <row r="3849">
      <c r="A3849" s="9" t="s">
        <v>15497</v>
      </c>
      <c r="B3849" s="9" t="s">
        <v>15498</v>
      </c>
      <c r="G3849" s="9" t="s">
        <v>15499</v>
      </c>
      <c r="O3849" s="10">
        <f>IFERROR(__xludf.DUMMYFUNCTION("VALUE(REGEXEXTRACT(A3849, ""\d+""))"),5291.0)</f>
        <v>5291</v>
      </c>
    </row>
    <row r="3850">
      <c r="A3850" s="9" t="s">
        <v>15500</v>
      </c>
      <c r="B3850" s="9" t="s">
        <v>15501</v>
      </c>
      <c r="G3850" s="9" t="s">
        <v>15502</v>
      </c>
      <c r="O3850" s="10">
        <f>IFERROR(__xludf.DUMMYFUNCTION("VALUE(REGEXEXTRACT(A3850, ""\d+""))"),5292.0)</f>
        <v>5292</v>
      </c>
    </row>
    <row r="3851">
      <c r="A3851" s="9" t="s">
        <v>15503</v>
      </c>
      <c r="B3851" s="9" t="s">
        <v>15504</v>
      </c>
      <c r="G3851" s="9" t="s">
        <v>15505</v>
      </c>
      <c r="O3851" s="10">
        <f>IFERROR(__xludf.DUMMYFUNCTION("VALUE(REGEXEXTRACT(A3851, ""\d+""))"),5294.0)</f>
        <v>5294</v>
      </c>
    </row>
    <row r="3852">
      <c r="A3852" s="9" t="s">
        <v>15506</v>
      </c>
      <c r="B3852" s="9" t="s">
        <v>15507</v>
      </c>
      <c r="G3852" s="9" t="s">
        <v>15507</v>
      </c>
      <c r="O3852" s="10">
        <f>IFERROR(__xludf.DUMMYFUNCTION("VALUE(REGEXEXTRACT(A3852, ""\d+""))"),5295.0)</f>
        <v>5295</v>
      </c>
    </row>
    <row r="3853">
      <c r="A3853" s="9" t="s">
        <v>15508</v>
      </c>
      <c r="B3853" s="9" t="s">
        <v>15509</v>
      </c>
      <c r="O3853" s="10">
        <f>IFERROR(__xludf.DUMMYFUNCTION("VALUE(REGEXEXTRACT(A3853, ""\d+""))"),5296.0)</f>
        <v>5296</v>
      </c>
    </row>
    <row r="3854">
      <c r="A3854" s="9" t="s">
        <v>15510</v>
      </c>
      <c r="B3854" s="9" t="s">
        <v>15511</v>
      </c>
      <c r="G3854" s="9" t="s">
        <v>15511</v>
      </c>
      <c r="O3854" s="10">
        <f>IFERROR(__xludf.DUMMYFUNCTION("VALUE(REGEXEXTRACT(A3854, ""\d+""))"),5297.0)</f>
        <v>5297</v>
      </c>
    </row>
    <row r="3855">
      <c r="A3855" s="9" t="s">
        <v>15512</v>
      </c>
      <c r="B3855" s="9" t="s">
        <v>15513</v>
      </c>
      <c r="G3855" s="9" t="s">
        <v>15513</v>
      </c>
      <c r="O3855" s="10">
        <f>IFERROR(__xludf.DUMMYFUNCTION("VALUE(REGEXEXTRACT(A3855, ""\d+""))"),5298.0)</f>
        <v>5298</v>
      </c>
    </row>
    <row r="3856">
      <c r="A3856" s="9" t="s">
        <v>15514</v>
      </c>
      <c r="B3856" s="9" t="s">
        <v>15515</v>
      </c>
      <c r="G3856" s="9" t="s">
        <v>15515</v>
      </c>
      <c r="O3856" s="10">
        <f>IFERROR(__xludf.DUMMYFUNCTION("VALUE(REGEXEXTRACT(A3856, ""\d+""))"),5299.0)</f>
        <v>5299</v>
      </c>
    </row>
    <row r="3857">
      <c r="A3857" s="9" t="s">
        <v>15516</v>
      </c>
      <c r="B3857" s="9" t="s">
        <v>15517</v>
      </c>
      <c r="G3857" s="9" t="s">
        <v>15518</v>
      </c>
      <c r="O3857" s="10">
        <f>IFERROR(__xludf.DUMMYFUNCTION("VALUE(REGEXEXTRACT(A3857, ""\d+""))"),5300.0)</f>
        <v>5300</v>
      </c>
    </row>
    <row r="3858">
      <c r="A3858" s="9" t="s">
        <v>15519</v>
      </c>
      <c r="B3858" s="9" t="s">
        <v>15520</v>
      </c>
      <c r="G3858" s="9" t="s">
        <v>15521</v>
      </c>
      <c r="O3858" s="10">
        <f>IFERROR(__xludf.DUMMYFUNCTION("VALUE(REGEXEXTRACT(A3858, ""\d+""))"),5301.0)</f>
        <v>5301</v>
      </c>
    </row>
    <row r="3859">
      <c r="A3859" s="9" t="s">
        <v>15522</v>
      </c>
      <c r="B3859" s="9" t="s">
        <v>15523</v>
      </c>
      <c r="G3859" s="9" t="s">
        <v>15524</v>
      </c>
      <c r="O3859" s="10">
        <f>IFERROR(__xludf.DUMMYFUNCTION("VALUE(REGEXEXTRACT(A3859, ""\d+""))"),5302.0)</f>
        <v>5302</v>
      </c>
    </row>
    <row r="3860">
      <c r="A3860" s="9" t="s">
        <v>15525</v>
      </c>
      <c r="B3860" s="9" t="s">
        <v>15526</v>
      </c>
      <c r="G3860" s="9" t="s">
        <v>15527</v>
      </c>
      <c r="O3860" s="10">
        <f>IFERROR(__xludf.DUMMYFUNCTION("VALUE(REGEXEXTRACT(A3860, ""\d+""))"),5304.0)</f>
        <v>5304</v>
      </c>
    </row>
    <row r="3861">
      <c r="A3861" s="9" t="s">
        <v>15528</v>
      </c>
      <c r="B3861" s="9" t="s">
        <v>15529</v>
      </c>
      <c r="G3861" s="9" t="s">
        <v>15530</v>
      </c>
      <c r="O3861" s="10">
        <f>IFERROR(__xludf.DUMMYFUNCTION("VALUE(REGEXEXTRACT(A3861, ""\d+""))"),5305.0)</f>
        <v>5305</v>
      </c>
    </row>
    <row r="3862">
      <c r="A3862" s="9" t="s">
        <v>15531</v>
      </c>
      <c r="B3862" s="9" t="s">
        <v>15532</v>
      </c>
      <c r="G3862" s="9" t="s">
        <v>15533</v>
      </c>
      <c r="O3862" s="10">
        <f>IFERROR(__xludf.DUMMYFUNCTION("VALUE(REGEXEXTRACT(A3862, ""\d+""))"),5306.0)</f>
        <v>5306</v>
      </c>
    </row>
    <row r="3863">
      <c r="A3863" s="9" t="s">
        <v>15534</v>
      </c>
      <c r="B3863" s="9" t="s">
        <v>15535</v>
      </c>
      <c r="G3863" s="9" t="s">
        <v>15536</v>
      </c>
      <c r="O3863" s="10">
        <f>IFERROR(__xludf.DUMMYFUNCTION("VALUE(REGEXEXTRACT(A3863, ""\d+""))"),5307.0)</f>
        <v>5307</v>
      </c>
    </row>
    <row r="3864">
      <c r="A3864" s="9" t="s">
        <v>15537</v>
      </c>
      <c r="B3864" s="9" t="s">
        <v>15538</v>
      </c>
      <c r="G3864" s="9" t="s">
        <v>15539</v>
      </c>
      <c r="O3864" s="10">
        <f>IFERROR(__xludf.DUMMYFUNCTION("VALUE(REGEXEXTRACT(A3864, ""\d+""))"),5308.0)</f>
        <v>5308</v>
      </c>
    </row>
    <row r="3865">
      <c r="A3865" s="9" t="s">
        <v>15540</v>
      </c>
      <c r="B3865" s="9" t="s">
        <v>15541</v>
      </c>
      <c r="G3865" s="9" t="s">
        <v>15541</v>
      </c>
      <c r="O3865" s="10">
        <f>IFERROR(__xludf.DUMMYFUNCTION("VALUE(REGEXEXTRACT(A3865, ""\d+""))"),5309.0)</f>
        <v>5309</v>
      </c>
    </row>
    <row r="3866">
      <c r="A3866" s="9" t="s">
        <v>15542</v>
      </c>
      <c r="B3866" s="9" t="s">
        <v>15543</v>
      </c>
      <c r="G3866" s="9" t="s">
        <v>15543</v>
      </c>
      <c r="O3866" s="10">
        <f>IFERROR(__xludf.DUMMYFUNCTION("VALUE(REGEXEXTRACT(A3866, ""\d+""))"),5310.0)</f>
        <v>5310</v>
      </c>
    </row>
    <row r="3867">
      <c r="A3867" s="9" t="s">
        <v>15544</v>
      </c>
      <c r="B3867" s="9" t="s">
        <v>15545</v>
      </c>
      <c r="G3867" s="9" t="s">
        <v>15319</v>
      </c>
      <c r="O3867" s="10">
        <f>IFERROR(__xludf.DUMMYFUNCTION("VALUE(REGEXEXTRACT(A3867, ""\d+""))"),5311.0)</f>
        <v>5311</v>
      </c>
    </row>
    <row r="3868">
      <c r="A3868" s="9" t="s">
        <v>15546</v>
      </c>
      <c r="B3868" s="9" t="s">
        <v>15547</v>
      </c>
      <c r="G3868" s="9" t="s">
        <v>15548</v>
      </c>
      <c r="O3868" s="10">
        <f>IFERROR(__xludf.DUMMYFUNCTION("VALUE(REGEXEXTRACT(A3868, ""\d+""))"),5312.0)</f>
        <v>5312</v>
      </c>
    </row>
    <row r="3869">
      <c r="A3869" s="9" t="s">
        <v>15549</v>
      </c>
      <c r="B3869" s="9" t="s">
        <v>15550</v>
      </c>
      <c r="G3869" s="9" t="s">
        <v>15551</v>
      </c>
      <c r="O3869" s="10">
        <f>IFERROR(__xludf.DUMMYFUNCTION("VALUE(REGEXEXTRACT(A3869, ""\d+""))"),5313.0)</f>
        <v>5313</v>
      </c>
    </row>
    <row r="3870">
      <c r="A3870" s="9" t="s">
        <v>15552</v>
      </c>
      <c r="B3870" s="9" t="s">
        <v>15553</v>
      </c>
      <c r="G3870" s="9" t="s">
        <v>15554</v>
      </c>
      <c r="O3870" s="10">
        <f>IFERROR(__xludf.DUMMYFUNCTION("VALUE(REGEXEXTRACT(A3870, ""\d+""))"),5315.0)</f>
        <v>5315</v>
      </c>
    </row>
    <row r="3871">
      <c r="A3871" s="9" t="s">
        <v>15555</v>
      </c>
      <c r="B3871" s="9" t="s">
        <v>15556</v>
      </c>
      <c r="G3871" s="9" t="s">
        <v>15557</v>
      </c>
      <c r="O3871" s="10">
        <f>IFERROR(__xludf.DUMMYFUNCTION("VALUE(REGEXEXTRACT(A3871, ""\d+""))"),5318.0)</f>
        <v>5318</v>
      </c>
    </row>
    <row r="3872">
      <c r="A3872" s="9" t="s">
        <v>15558</v>
      </c>
      <c r="B3872" s="9" t="s">
        <v>15559</v>
      </c>
      <c r="G3872" s="9" t="s">
        <v>15560</v>
      </c>
      <c r="O3872" s="10">
        <f>IFERROR(__xludf.DUMMYFUNCTION("VALUE(REGEXEXTRACT(A3872, ""\d+""))"),5319.0)</f>
        <v>5319</v>
      </c>
    </row>
    <row r="3873">
      <c r="A3873" s="9" t="s">
        <v>15561</v>
      </c>
      <c r="B3873" s="9" t="s">
        <v>15562</v>
      </c>
      <c r="G3873" s="9" t="s">
        <v>15563</v>
      </c>
      <c r="O3873" s="10">
        <f>IFERROR(__xludf.DUMMYFUNCTION("VALUE(REGEXEXTRACT(A3873, ""\d+""))"),5320.0)</f>
        <v>5320</v>
      </c>
    </row>
    <row r="3874">
      <c r="A3874" s="9" t="s">
        <v>15564</v>
      </c>
      <c r="B3874" s="9" t="s">
        <v>15565</v>
      </c>
      <c r="G3874" s="9" t="s">
        <v>15566</v>
      </c>
      <c r="O3874" s="10">
        <f>IFERROR(__xludf.DUMMYFUNCTION("VALUE(REGEXEXTRACT(A3874, ""\d+""))"),5321.0)</f>
        <v>5321</v>
      </c>
    </row>
    <row r="3875">
      <c r="A3875" s="9" t="s">
        <v>15567</v>
      </c>
      <c r="B3875" s="9" t="s">
        <v>15568</v>
      </c>
      <c r="G3875" s="9" t="s">
        <v>15569</v>
      </c>
      <c r="O3875" s="10">
        <f>IFERROR(__xludf.DUMMYFUNCTION("VALUE(REGEXEXTRACT(A3875, ""\d+""))"),5322.0)</f>
        <v>5322</v>
      </c>
    </row>
    <row r="3876">
      <c r="A3876" s="9" t="s">
        <v>15570</v>
      </c>
      <c r="B3876" s="9" t="s">
        <v>15571</v>
      </c>
      <c r="G3876" s="9" t="s">
        <v>15572</v>
      </c>
      <c r="O3876" s="10">
        <f>IFERROR(__xludf.DUMMYFUNCTION("VALUE(REGEXEXTRACT(A3876, ""\d+""))"),5323.0)</f>
        <v>5323</v>
      </c>
    </row>
    <row r="3877">
      <c r="A3877" s="9" t="s">
        <v>15573</v>
      </c>
      <c r="B3877" s="9" t="s">
        <v>15574</v>
      </c>
      <c r="G3877" s="9" t="s">
        <v>15575</v>
      </c>
      <c r="O3877" s="10">
        <f>IFERROR(__xludf.DUMMYFUNCTION("VALUE(REGEXEXTRACT(A3877, ""\d+""))"),5324.0)</f>
        <v>5324</v>
      </c>
    </row>
    <row r="3878">
      <c r="A3878" s="9" t="s">
        <v>15576</v>
      </c>
      <c r="B3878" s="9" t="s">
        <v>15577</v>
      </c>
      <c r="G3878" s="9" t="s">
        <v>15578</v>
      </c>
      <c r="O3878" s="10">
        <f>IFERROR(__xludf.DUMMYFUNCTION("VALUE(REGEXEXTRACT(A3878, ""\d+""))"),5325.0)</f>
        <v>5325</v>
      </c>
    </row>
    <row r="3879">
      <c r="A3879" s="9" t="s">
        <v>15579</v>
      </c>
      <c r="B3879" s="9" t="s">
        <v>15580</v>
      </c>
      <c r="G3879" s="9" t="s">
        <v>15581</v>
      </c>
      <c r="O3879" s="10">
        <f>IFERROR(__xludf.DUMMYFUNCTION("VALUE(REGEXEXTRACT(A3879, ""\d+""))"),5326.0)</f>
        <v>5326</v>
      </c>
    </row>
    <row r="3880">
      <c r="A3880" s="9" t="s">
        <v>15582</v>
      </c>
      <c r="B3880" s="9" t="s">
        <v>15583</v>
      </c>
      <c r="G3880" s="9" t="s">
        <v>15584</v>
      </c>
      <c r="O3880" s="10">
        <f>IFERROR(__xludf.DUMMYFUNCTION("VALUE(REGEXEXTRACT(A3880, ""\d+""))"),5327.0)</f>
        <v>5327</v>
      </c>
    </row>
    <row r="3881">
      <c r="A3881" s="9" t="s">
        <v>15585</v>
      </c>
      <c r="B3881" s="9" t="s">
        <v>15586</v>
      </c>
      <c r="G3881" s="9" t="s">
        <v>15587</v>
      </c>
      <c r="O3881" s="10">
        <f>IFERROR(__xludf.DUMMYFUNCTION("VALUE(REGEXEXTRACT(A3881, ""\d+""))"),5328.0)</f>
        <v>5328</v>
      </c>
    </row>
    <row r="3882">
      <c r="A3882" s="9" t="s">
        <v>15588</v>
      </c>
      <c r="B3882" s="9" t="s">
        <v>15589</v>
      </c>
      <c r="G3882" s="9" t="s">
        <v>15590</v>
      </c>
      <c r="O3882" s="10">
        <f>IFERROR(__xludf.DUMMYFUNCTION("VALUE(REGEXEXTRACT(A3882, ""\d+""))"),5329.0)</f>
        <v>5329</v>
      </c>
    </row>
    <row r="3883">
      <c r="A3883" s="9" t="s">
        <v>15591</v>
      </c>
      <c r="B3883" s="9" t="s">
        <v>15592</v>
      </c>
      <c r="G3883" s="9" t="s">
        <v>15593</v>
      </c>
      <c r="O3883" s="10">
        <f>IFERROR(__xludf.DUMMYFUNCTION("VALUE(REGEXEXTRACT(A3883, ""\d+""))"),5330.0)</f>
        <v>5330</v>
      </c>
    </row>
    <row r="3884">
      <c r="A3884" s="9" t="s">
        <v>15594</v>
      </c>
      <c r="B3884" s="9" t="s">
        <v>15595</v>
      </c>
      <c r="G3884" s="9" t="s">
        <v>15596</v>
      </c>
      <c r="O3884" s="10">
        <f>IFERROR(__xludf.DUMMYFUNCTION("VALUE(REGEXEXTRACT(A3884, ""\d+""))"),5331.0)</f>
        <v>5331</v>
      </c>
    </row>
    <row r="3885">
      <c r="A3885" s="9" t="s">
        <v>15597</v>
      </c>
      <c r="B3885" s="9" t="s">
        <v>15598</v>
      </c>
      <c r="G3885" s="9" t="s">
        <v>15599</v>
      </c>
      <c r="O3885" s="10">
        <f>IFERROR(__xludf.DUMMYFUNCTION("VALUE(REGEXEXTRACT(A3885, ""\d+""))"),5332.0)</f>
        <v>5332</v>
      </c>
    </row>
    <row r="3886">
      <c r="A3886" s="9" t="s">
        <v>15600</v>
      </c>
      <c r="B3886" s="9" t="s">
        <v>15601</v>
      </c>
      <c r="G3886" s="9" t="s">
        <v>15602</v>
      </c>
      <c r="O3886" s="10">
        <f>IFERROR(__xludf.DUMMYFUNCTION("VALUE(REGEXEXTRACT(A3886, ""\d+""))"),5333.0)</f>
        <v>5333</v>
      </c>
    </row>
    <row r="3887">
      <c r="A3887" s="9" t="s">
        <v>15603</v>
      </c>
      <c r="B3887" s="9" t="s">
        <v>15604</v>
      </c>
      <c r="G3887" s="9" t="s">
        <v>15605</v>
      </c>
      <c r="O3887" s="10">
        <f>IFERROR(__xludf.DUMMYFUNCTION("VALUE(REGEXEXTRACT(A3887, ""\d+""))"),5334.0)</f>
        <v>5334</v>
      </c>
    </row>
    <row r="3888">
      <c r="A3888" s="9" t="s">
        <v>15606</v>
      </c>
      <c r="B3888" s="9" t="s">
        <v>15607</v>
      </c>
      <c r="G3888" s="9" t="s">
        <v>15608</v>
      </c>
      <c r="O3888" s="10">
        <f>IFERROR(__xludf.DUMMYFUNCTION("VALUE(REGEXEXTRACT(A3888, ""\d+""))"),5335.0)</f>
        <v>5335</v>
      </c>
    </row>
    <row r="3889">
      <c r="A3889" s="9" t="s">
        <v>15609</v>
      </c>
      <c r="B3889" s="9" t="s">
        <v>15610</v>
      </c>
      <c r="G3889" s="9" t="s">
        <v>15611</v>
      </c>
      <c r="O3889" s="10">
        <f>IFERROR(__xludf.DUMMYFUNCTION("VALUE(REGEXEXTRACT(A3889, ""\d+""))"),5336.0)</f>
        <v>5336</v>
      </c>
    </row>
    <row r="3890">
      <c r="A3890" s="9" t="s">
        <v>15612</v>
      </c>
      <c r="B3890" s="9" t="s">
        <v>15613</v>
      </c>
      <c r="G3890" s="9" t="s">
        <v>15614</v>
      </c>
      <c r="O3890" s="10">
        <f>IFERROR(__xludf.DUMMYFUNCTION("VALUE(REGEXEXTRACT(A3890, ""\d+""))"),5337.0)</f>
        <v>5337</v>
      </c>
    </row>
    <row r="3891">
      <c r="A3891" s="9" t="s">
        <v>15615</v>
      </c>
      <c r="B3891" s="9" t="s">
        <v>15616</v>
      </c>
      <c r="G3891" s="9" t="s">
        <v>15617</v>
      </c>
      <c r="O3891" s="10">
        <f>IFERROR(__xludf.DUMMYFUNCTION("VALUE(REGEXEXTRACT(A3891, ""\d+""))"),5338.0)</f>
        <v>5338</v>
      </c>
    </row>
    <row r="3892">
      <c r="A3892" s="9" t="s">
        <v>15618</v>
      </c>
      <c r="B3892" s="9" t="s">
        <v>15619</v>
      </c>
      <c r="G3892" s="9" t="s">
        <v>15620</v>
      </c>
      <c r="O3892" s="10">
        <f>IFERROR(__xludf.DUMMYFUNCTION("VALUE(REGEXEXTRACT(A3892, ""\d+""))"),5339.0)</f>
        <v>5339</v>
      </c>
    </row>
    <row r="3893">
      <c r="A3893" s="9" t="s">
        <v>15621</v>
      </c>
      <c r="B3893" s="9" t="s">
        <v>15622</v>
      </c>
      <c r="G3893" s="9" t="s">
        <v>15623</v>
      </c>
      <c r="O3893" s="10">
        <f>IFERROR(__xludf.DUMMYFUNCTION("VALUE(REGEXEXTRACT(A3893, ""\d+""))"),5340.0)</f>
        <v>5340</v>
      </c>
    </row>
    <row r="3894">
      <c r="A3894" s="9" t="s">
        <v>15624</v>
      </c>
      <c r="B3894" s="9" t="s">
        <v>15625</v>
      </c>
      <c r="G3894" s="9" t="s">
        <v>15626</v>
      </c>
      <c r="O3894" s="10">
        <f>IFERROR(__xludf.DUMMYFUNCTION("VALUE(REGEXEXTRACT(A3894, ""\d+""))"),5341.0)</f>
        <v>5341</v>
      </c>
    </row>
    <row r="3895">
      <c r="A3895" s="9" t="s">
        <v>15627</v>
      </c>
      <c r="B3895" s="9" t="s">
        <v>15628</v>
      </c>
      <c r="G3895" s="9" t="s">
        <v>15629</v>
      </c>
      <c r="O3895" s="10">
        <f>IFERROR(__xludf.DUMMYFUNCTION("VALUE(REGEXEXTRACT(A3895, ""\d+""))"),5342.0)</f>
        <v>5342</v>
      </c>
    </row>
    <row r="3896">
      <c r="A3896" s="9" t="s">
        <v>15630</v>
      </c>
      <c r="B3896" s="9" t="s">
        <v>15631</v>
      </c>
      <c r="G3896" s="9" t="s">
        <v>15632</v>
      </c>
      <c r="O3896" s="10">
        <f>IFERROR(__xludf.DUMMYFUNCTION("VALUE(REGEXEXTRACT(A3896, ""\d+""))"),5343.0)</f>
        <v>5343</v>
      </c>
    </row>
    <row r="3897">
      <c r="A3897" s="9" t="s">
        <v>15633</v>
      </c>
      <c r="B3897" s="9" t="s">
        <v>15634</v>
      </c>
      <c r="G3897" s="9" t="s">
        <v>15635</v>
      </c>
      <c r="O3897" s="10">
        <f>IFERROR(__xludf.DUMMYFUNCTION("VALUE(REGEXEXTRACT(A3897, ""\d+""))"),5344.0)</f>
        <v>5344</v>
      </c>
    </row>
    <row r="3898">
      <c r="A3898" s="9" t="s">
        <v>15636</v>
      </c>
      <c r="B3898" s="9" t="s">
        <v>15637</v>
      </c>
      <c r="G3898" s="9" t="s">
        <v>15638</v>
      </c>
      <c r="O3898" s="10">
        <f>IFERROR(__xludf.DUMMYFUNCTION("VALUE(REGEXEXTRACT(A3898, ""\d+""))"),5345.0)</f>
        <v>5345</v>
      </c>
    </row>
    <row r="3899">
      <c r="A3899" s="9" t="s">
        <v>15639</v>
      </c>
      <c r="B3899" s="9" t="s">
        <v>15640</v>
      </c>
      <c r="G3899" s="9" t="s">
        <v>15641</v>
      </c>
      <c r="O3899" s="10">
        <f>IFERROR(__xludf.DUMMYFUNCTION("VALUE(REGEXEXTRACT(A3899, ""\d+""))"),5346.0)</f>
        <v>5346</v>
      </c>
    </row>
    <row r="3900">
      <c r="A3900" s="9" t="s">
        <v>15642</v>
      </c>
      <c r="B3900" s="9" t="s">
        <v>15643</v>
      </c>
      <c r="G3900" s="9" t="s">
        <v>15644</v>
      </c>
      <c r="O3900" s="10">
        <f>IFERROR(__xludf.DUMMYFUNCTION("VALUE(REGEXEXTRACT(A3900, ""\d+""))"),5347.0)</f>
        <v>5347</v>
      </c>
    </row>
    <row r="3901">
      <c r="A3901" s="9" t="s">
        <v>15645</v>
      </c>
      <c r="B3901" s="9" t="s">
        <v>15646</v>
      </c>
      <c r="G3901" s="9" t="s">
        <v>15647</v>
      </c>
      <c r="O3901" s="10">
        <f>IFERROR(__xludf.DUMMYFUNCTION("VALUE(REGEXEXTRACT(A3901, ""\d+""))"),6349.0)</f>
        <v>6349</v>
      </c>
    </row>
    <row r="3902">
      <c r="A3902" s="9" t="s">
        <v>15648</v>
      </c>
      <c r="B3902" s="9" t="s">
        <v>15649</v>
      </c>
      <c r="G3902" s="9" t="s">
        <v>15650</v>
      </c>
      <c r="O3902" s="10">
        <f>IFERROR(__xludf.DUMMYFUNCTION("VALUE(REGEXEXTRACT(A3902, ""\d+""))"),6350.0)</f>
        <v>6350</v>
      </c>
    </row>
    <row r="3903">
      <c r="A3903" s="9" t="s">
        <v>15651</v>
      </c>
      <c r="B3903" s="9" t="s">
        <v>15652</v>
      </c>
      <c r="G3903" s="9" t="s">
        <v>15653</v>
      </c>
      <c r="O3903" s="10">
        <f>IFERROR(__xludf.DUMMYFUNCTION("VALUE(REGEXEXTRACT(A3903, ""\d+""))"),6351.0)</f>
        <v>6351</v>
      </c>
    </row>
    <row r="3904">
      <c r="A3904" s="9" t="s">
        <v>15654</v>
      </c>
      <c r="B3904" s="9" t="s">
        <v>15655</v>
      </c>
      <c r="G3904" s="9" t="s">
        <v>15656</v>
      </c>
      <c r="O3904" s="10">
        <f>IFERROR(__xludf.DUMMYFUNCTION("VALUE(REGEXEXTRACT(A3904, ""\d+""))"),6352.0)</f>
        <v>6352</v>
      </c>
    </row>
    <row r="3905">
      <c r="A3905" s="9" t="s">
        <v>15657</v>
      </c>
      <c r="B3905" s="9" t="s">
        <v>15658</v>
      </c>
      <c r="G3905" s="9" t="s">
        <v>15659</v>
      </c>
      <c r="O3905" s="10">
        <f>IFERROR(__xludf.DUMMYFUNCTION("VALUE(REGEXEXTRACT(A3905, ""\d+""))"),6353.0)</f>
        <v>6353</v>
      </c>
    </row>
    <row r="3906">
      <c r="A3906" s="9" t="s">
        <v>15660</v>
      </c>
      <c r="B3906" s="9" t="s">
        <v>15661</v>
      </c>
      <c r="G3906" s="9" t="s">
        <v>15662</v>
      </c>
      <c r="O3906" s="10">
        <f>IFERROR(__xludf.DUMMYFUNCTION("VALUE(REGEXEXTRACT(A3906, ""\d+""))"),6354.0)</f>
        <v>6354</v>
      </c>
    </row>
    <row r="3907">
      <c r="A3907" s="9" t="s">
        <v>15663</v>
      </c>
      <c r="B3907" s="9" t="s">
        <v>15664</v>
      </c>
      <c r="G3907" s="9" t="s">
        <v>15665</v>
      </c>
      <c r="O3907" s="10">
        <f>IFERROR(__xludf.DUMMYFUNCTION("VALUE(REGEXEXTRACT(A3907, ""\d+""))"),6355.0)</f>
        <v>6355</v>
      </c>
    </row>
    <row r="3908">
      <c r="A3908" s="9" t="s">
        <v>15666</v>
      </c>
      <c r="B3908" s="9" t="s">
        <v>15667</v>
      </c>
      <c r="G3908" s="9" t="s">
        <v>15668</v>
      </c>
      <c r="O3908" s="10">
        <f>IFERROR(__xludf.DUMMYFUNCTION("VALUE(REGEXEXTRACT(A3908, ""\d+""))"),6356.0)</f>
        <v>6356</v>
      </c>
    </row>
    <row r="3909">
      <c r="A3909" s="9" t="s">
        <v>15669</v>
      </c>
      <c r="B3909" s="9" t="s">
        <v>15670</v>
      </c>
      <c r="G3909" s="9" t="s">
        <v>15671</v>
      </c>
      <c r="O3909" s="10">
        <f>IFERROR(__xludf.DUMMYFUNCTION("VALUE(REGEXEXTRACT(A3909, ""\d+""))"),6357.0)</f>
        <v>6357</v>
      </c>
    </row>
    <row r="3910">
      <c r="A3910" s="9" t="s">
        <v>15672</v>
      </c>
      <c r="B3910" s="9" t="s">
        <v>15673</v>
      </c>
      <c r="G3910" s="9" t="s">
        <v>15674</v>
      </c>
      <c r="O3910" s="10">
        <f>IFERROR(__xludf.DUMMYFUNCTION("VALUE(REGEXEXTRACT(A3910, ""\d+""))"),6358.0)</f>
        <v>6358</v>
      </c>
    </row>
    <row r="3911">
      <c r="A3911" s="9" t="s">
        <v>15675</v>
      </c>
      <c r="B3911" s="9" t="s">
        <v>15676</v>
      </c>
      <c r="G3911" s="9" t="s">
        <v>15677</v>
      </c>
      <c r="O3911" s="10">
        <f>IFERROR(__xludf.DUMMYFUNCTION("VALUE(REGEXEXTRACT(A3911, ""\d+""))"),6359.0)</f>
        <v>6359</v>
      </c>
    </row>
    <row r="3912">
      <c r="A3912" s="9" t="s">
        <v>15678</v>
      </c>
      <c r="B3912" s="9" t="s">
        <v>15679</v>
      </c>
      <c r="G3912" s="9" t="s">
        <v>15680</v>
      </c>
      <c r="O3912" s="10">
        <f>IFERROR(__xludf.DUMMYFUNCTION("VALUE(REGEXEXTRACT(A3912, ""\d+""))"),6361.0)</f>
        <v>6361</v>
      </c>
    </row>
    <row r="3913">
      <c r="A3913" s="9" t="s">
        <v>15681</v>
      </c>
      <c r="B3913" s="9" t="s">
        <v>15682</v>
      </c>
      <c r="G3913" s="9" t="s">
        <v>15683</v>
      </c>
      <c r="O3913" s="10">
        <f>IFERROR(__xludf.DUMMYFUNCTION("VALUE(REGEXEXTRACT(A3913, ""\d+""))"),6362.0)</f>
        <v>6362</v>
      </c>
    </row>
    <row r="3914">
      <c r="A3914" s="9" t="s">
        <v>15684</v>
      </c>
      <c r="B3914" s="9" t="s">
        <v>15685</v>
      </c>
      <c r="G3914" s="9" t="s">
        <v>15685</v>
      </c>
      <c r="O3914" s="10">
        <f>IFERROR(__xludf.DUMMYFUNCTION("VALUE(REGEXEXTRACT(A3914, ""\d+""))"),6363.0)</f>
        <v>6363</v>
      </c>
    </row>
    <row r="3915">
      <c r="A3915" s="9" t="s">
        <v>15686</v>
      </c>
      <c r="B3915" s="9" t="s">
        <v>15687</v>
      </c>
      <c r="G3915" s="9" t="s">
        <v>15688</v>
      </c>
      <c r="O3915" s="10">
        <f>IFERROR(__xludf.DUMMYFUNCTION("VALUE(REGEXEXTRACT(A3915, ""\d+""))"),6364.0)</f>
        <v>6364</v>
      </c>
    </row>
    <row r="3916">
      <c r="A3916" s="9" t="s">
        <v>15689</v>
      </c>
      <c r="B3916" s="9" t="s">
        <v>15690</v>
      </c>
      <c r="G3916" s="9" t="s">
        <v>15690</v>
      </c>
      <c r="O3916" s="10">
        <f>IFERROR(__xludf.DUMMYFUNCTION("VALUE(REGEXEXTRACT(A3916, ""\d+""))"),6365.0)</f>
        <v>6365</v>
      </c>
    </row>
    <row r="3917">
      <c r="A3917" s="9" t="s">
        <v>15691</v>
      </c>
      <c r="B3917" s="9" t="s">
        <v>15692</v>
      </c>
      <c r="G3917" s="9" t="s">
        <v>15692</v>
      </c>
      <c r="O3917" s="10">
        <f>IFERROR(__xludf.DUMMYFUNCTION("VALUE(REGEXEXTRACT(A3917, ""\d+""))"),6366.0)</f>
        <v>6366</v>
      </c>
    </row>
    <row r="3918">
      <c r="A3918" s="9" t="s">
        <v>15693</v>
      </c>
      <c r="B3918" s="9" t="s">
        <v>15694</v>
      </c>
      <c r="G3918" s="9" t="s">
        <v>15695</v>
      </c>
      <c r="O3918" s="10">
        <f>IFERROR(__xludf.DUMMYFUNCTION("VALUE(REGEXEXTRACT(A3918, ""\d+""))"),6367.0)</f>
        <v>6367</v>
      </c>
    </row>
    <row r="3919">
      <c r="A3919" s="9" t="s">
        <v>15696</v>
      </c>
      <c r="B3919" s="9" t="s">
        <v>15697</v>
      </c>
      <c r="G3919" s="9" t="s">
        <v>15697</v>
      </c>
      <c r="O3919" s="10">
        <f>IFERROR(__xludf.DUMMYFUNCTION("VALUE(REGEXEXTRACT(A3919, ""\d+""))"),6370.0)</f>
        <v>6370</v>
      </c>
    </row>
    <row r="3920">
      <c r="A3920" s="9" t="s">
        <v>15698</v>
      </c>
      <c r="B3920" s="9" t="s">
        <v>15699</v>
      </c>
      <c r="G3920" s="9" t="s">
        <v>15700</v>
      </c>
      <c r="O3920" s="10">
        <f>IFERROR(__xludf.DUMMYFUNCTION("VALUE(REGEXEXTRACT(A3920, ""\d+""))"),6372.0)</f>
        <v>6372</v>
      </c>
    </row>
    <row r="3921">
      <c r="A3921" s="9" t="s">
        <v>15701</v>
      </c>
      <c r="B3921" s="9" t="s">
        <v>15702</v>
      </c>
      <c r="G3921" s="9" t="s">
        <v>15703</v>
      </c>
      <c r="O3921" s="10">
        <f>IFERROR(__xludf.DUMMYFUNCTION("VALUE(REGEXEXTRACT(A3921, ""\d+""))"),6373.0)</f>
        <v>6373</v>
      </c>
    </row>
    <row r="3922">
      <c r="A3922" s="9" t="s">
        <v>15704</v>
      </c>
      <c r="B3922" s="9" t="s">
        <v>15705</v>
      </c>
      <c r="G3922" s="9" t="s">
        <v>15706</v>
      </c>
      <c r="O3922" s="10">
        <f>IFERROR(__xludf.DUMMYFUNCTION("VALUE(REGEXEXTRACT(A3922, ""\d+""))"),6374.0)</f>
        <v>6374</v>
      </c>
    </row>
    <row r="3923">
      <c r="A3923" s="9" t="s">
        <v>15707</v>
      </c>
      <c r="B3923" s="9" t="s">
        <v>15708</v>
      </c>
      <c r="G3923" s="9" t="s">
        <v>15709</v>
      </c>
      <c r="O3923" s="10">
        <f>IFERROR(__xludf.DUMMYFUNCTION("VALUE(REGEXEXTRACT(A3923, ""\d+""))"),6375.0)</f>
        <v>6375</v>
      </c>
    </row>
    <row r="3924">
      <c r="A3924" s="9" t="s">
        <v>15710</v>
      </c>
      <c r="B3924" s="9" t="s">
        <v>15711</v>
      </c>
      <c r="G3924" s="9" t="s">
        <v>15712</v>
      </c>
      <c r="O3924" s="10">
        <f>IFERROR(__xludf.DUMMYFUNCTION("VALUE(REGEXEXTRACT(A3924, ""\d+""))"),6376.0)</f>
        <v>6376</v>
      </c>
    </row>
    <row r="3925">
      <c r="A3925" s="9" t="s">
        <v>15713</v>
      </c>
      <c r="B3925" s="9" t="s">
        <v>15714</v>
      </c>
      <c r="G3925" s="9" t="s">
        <v>15715</v>
      </c>
      <c r="O3925" s="10">
        <f>IFERROR(__xludf.DUMMYFUNCTION("VALUE(REGEXEXTRACT(A3925, ""\d+""))"),6378.0)</f>
        <v>6378</v>
      </c>
    </row>
    <row r="3926">
      <c r="A3926" s="9" t="s">
        <v>15716</v>
      </c>
      <c r="B3926" s="9" t="s">
        <v>15717</v>
      </c>
      <c r="G3926" s="9" t="s">
        <v>15718</v>
      </c>
      <c r="O3926" s="10">
        <f>IFERROR(__xludf.DUMMYFUNCTION("VALUE(REGEXEXTRACT(A3926, ""\d+""))"),6379.0)</f>
        <v>6379</v>
      </c>
    </row>
    <row r="3927">
      <c r="A3927" s="9" t="s">
        <v>15719</v>
      </c>
      <c r="B3927" s="9" t="s">
        <v>15720</v>
      </c>
      <c r="G3927" s="9" t="s">
        <v>15721</v>
      </c>
      <c r="O3927" s="10">
        <f>IFERROR(__xludf.DUMMYFUNCTION("VALUE(REGEXEXTRACT(A3927, ""\d+""))"),6380.0)</f>
        <v>6380</v>
      </c>
    </row>
    <row r="3928">
      <c r="A3928" s="9" t="s">
        <v>15722</v>
      </c>
      <c r="B3928" s="9" t="s">
        <v>15723</v>
      </c>
      <c r="G3928" s="9" t="s">
        <v>15724</v>
      </c>
      <c r="O3928" s="10">
        <f>IFERROR(__xludf.DUMMYFUNCTION("VALUE(REGEXEXTRACT(A3928, ""\d+""))"),6381.0)</f>
        <v>6381</v>
      </c>
    </row>
    <row r="3929">
      <c r="A3929" s="9" t="s">
        <v>15725</v>
      </c>
      <c r="B3929" s="9" t="s">
        <v>15726</v>
      </c>
      <c r="G3929" s="9" t="s">
        <v>15727</v>
      </c>
      <c r="O3929" s="10">
        <f>IFERROR(__xludf.DUMMYFUNCTION("VALUE(REGEXEXTRACT(A3929, ""\d+""))"),6382.0)</f>
        <v>6382</v>
      </c>
    </row>
    <row r="3930">
      <c r="A3930" s="9" t="s">
        <v>15728</v>
      </c>
      <c r="B3930" s="9" t="s">
        <v>15729</v>
      </c>
      <c r="G3930" s="9" t="s">
        <v>15730</v>
      </c>
      <c r="O3930" s="10">
        <f>IFERROR(__xludf.DUMMYFUNCTION("VALUE(REGEXEXTRACT(A3930, ""\d+""))"),6383.0)</f>
        <v>6383</v>
      </c>
    </row>
    <row r="3931">
      <c r="A3931" s="9" t="s">
        <v>15731</v>
      </c>
      <c r="B3931" s="9" t="s">
        <v>15732</v>
      </c>
      <c r="G3931" s="9" t="s">
        <v>15733</v>
      </c>
      <c r="O3931" s="10">
        <f>IFERROR(__xludf.DUMMYFUNCTION("VALUE(REGEXEXTRACT(A3931, ""\d+""))"),6384.0)</f>
        <v>6384</v>
      </c>
    </row>
    <row r="3932">
      <c r="A3932" s="9" t="s">
        <v>15734</v>
      </c>
      <c r="B3932" s="9" t="s">
        <v>15735</v>
      </c>
      <c r="G3932" s="9" t="s">
        <v>15736</v>
      </c>
      <c r="O3932" s="10">
        <f>IFERROR(__xludf.DUMMYFUNCTION("VALUE(REGEXEXTRACT(A3932, ""\d+""))"),6385.0)</f>
        <v>6385</v>
      </c>
    </row>
    <row r="3933">
      <c r="A3933" s="9" t="s">
        <v>15737</v>
      </c>
      <c r="B3933" s="9" t="s">
        <v>15738</v>
      </c>
      <c r="G3933" s="9" t="s">
        <v>15739</v>
      </c>
      <c r="O3933" s="10">
        <f>IFERROR(__xludf.DUMMYFUNCTION("VALUE(REGEXEXTRACT(A3933, ""\d+""))"),6386.0)</f>
        <v>6386</v>
      </c>
    </row>
    <row r="3934">
      <c r="A3934" s="9" t="s">
        <v>15740</v>
      </c>
      <c r="B3934" s="9" t="s">
        <v>15741</v>
      </c>
      <c r="G3934" s="9" t="s">
        <v>15742</v>
      </c>
      <c r="O3934" s="10">
        <f>IFERROR(__xludf.DUMMYFUNCTION("VALUE(REGEXEXTRACT(A3934, ""\d+""))"),6387.0)</f>
        <v>6387</v>
      </c>
    </row>
    <row r="3935">
      <c r="A3935" s="9" t="s">
        <v>15743</v>
      </c>
      <c r="B3935" s="9" t="s">
        <v>15744</v>
      </c>
      <c r="G3935" s="9" t="s">
        <v>15745</v>
      </c>
      <c r="O3935" s="10">
        <f>IFERROR(__xludf.DUMMYFUNCTION("VALUE(REGEXEXTRACT(A3935, ""\d+""))"),6388.0)</f>
        <v>6388</v>
      </c>
    </row>
    <row r="3936">
      <c r="A3936" s="9" t="s">
        <v>15746</v>
      </c>
      <c r="B3936" s="9" t="s">
        <v>15747</v>
      </c>
      <c r="G3936" s="9" t="s">
        <v>15748</v>
      </c>
      <c r="O3936" s="10">
        <f>IFERROR(__xludf.DUMMYFUNCTION("VALUE(REGEXEXTRACT(A3936, ""\d+""))"),6389.0)</f>
        <v>6389</v>
      </c>
    </row>
    <row r="3937">
      <c r="A3937" s="9" t="s">
        <v>15749</v>
      </c>
      <c r="B3937" s="9" t="s">
        <v>15750</v>
      </c>
      <c r="G3937" s="9" t="s">
        <v>15751</v>
      </c>
      <c r="O3937" s="10">
        <f>IFERROR(__xludf.DUMMYFUNCTION("VALUE(REGEXEXTRACT(A3937, ""\d+""))"),6390.0)</f>
        <v>6390</v>
      </c>
    </row>
    <row r="3938">
      <c r="A3938" s="9" t="s">
        <v>15752</v>
      </c>
      <c r="B3938" s="9" t="s">
        <v>15753</v>
      </c>
      <c r="G3938" s="9" t="s">
        <v>15754</v>
      </c>
      <c r="O3938" s="10">
        <f>IFERROR(__xludf.DUMMYFUNCTION("VALUE(REGEXEXTRACT(A3938, ""\d+""))"),6391.0)</f>
        <v>6391</v>
      </c>
    </row>
    <row r="3939">
      <c r="A3939" s="9" t="s">
        <v>15755</v>
      </c>
      <c r="B3939" s="9" t="s">
        <v>15756</v>
      </c>
      <c r="G3939" s="9" t="s">
        <v>15757</v>
      </c>
      <c r="O3939" s="10">
        <f>IFERROR(__xludf.DUMMYFUNCTION("VALUE(REGEXEXTRACT(A3939, ""\d+""))"),6392.0)</f>
        <v>6392</v>
      </c>
    </row>
    <row r="3940">
      <c r="A3940" s="9" t="s">
        <v>15758</v>
      </c>
      <c r="B3940" s="9" t="s">
        <v>15759</v>
      </c>
      <c r="G3940" s="9" t="s">
        <v>15760</v>
      </c>
      <c r="O3940" s="10">
        <f>IFERROR(__xludf.DUMMYFUNCTION("VALUE(REGEXEXTRACT(A3940, ""\d+""))"),6393.0)</f>
        <v>6393</v>
      </c>
    </row>
    <row r="3941">
      <c r="A3941" s="9" t="s">
        <v>15761</v>
      </c>
      <c r="B3941" s="9" t="s">
        <v>15762</v>
      </c>
      <c r="G3941" s="9" t="s">
        <v>15763</v>
      </c>
      <c r="O3941" s="10">
        <f>IFERROR(__xludf.DUMMYFUNCTION("VALUE(REGEXEXTRACT(A3941, ""\d+""))"),6394.0)</f>
        <v>6394</v>
      </c>
    </row>
    <row r="3942">
      <c r="A3942" s="9" t="s">
        <v>15764</v>
      </c>
      <c r="B3942" s="9" t="s">
        <v>15765</v>
      </c>
      <c r="G3942" s="9" t="s">
        <v>15766</v>
      </c>
      <c r="O3942" s="10">
        <f>IFERROR(__xludf.DUMMYFUNCTION("VALUE(REGEXEXTRACT(A3942, ""\d+""))"),6395.0)</f>
        <v>6395</v>
      </c>
    </row>
    <row r="3943">
      <c r="A3943" s="9" t="s">
        <v>15767</v>
      </c>
      <c r="B3943" s="9" t="s">
        <v>15768</v>
      </c>
      <c r="G3943" s="9" t="s">
        <v>15769</v>
      </c>
      <c r="O3943" s="10">
        <f>IFERROR(__xludf.DUMMYFUNCTION("VALUE(REGEXEXTRACT(A3943, ""\d+""))"),6396.0)</f>
        <v>6396</v>
      </c>
    </row>
    <row r="3944">
      <c r="A3944" s="9" t="s">
        <v>15770</v>
      </c>
      <c r="B3944" s="9" t="s">
        <v>15771</v>
      </c>
      <c r="G3944" s="9" t="s">
        <v>15772</v>
      </c>
      <c r="O3944" s="10">
        <f>IFERROR(__xludf.DUMMYFUNCTION("VALUE(REGEXEXTRACT(A3944, ""\d+""))"),6397.0)</f>
        <v>6397</v>
      </c>
    </row>
    <row r="3945">
      <c r="A3945" s="9" t="s">
        <v>15773</v>
      </c>
      <c r="B3945" s="9" t="s">
        <v>15774</v>
      </c>
      <c r="G3945" s="9" t="s">
        <v>15775</v>
      </c>
      <c r="O3945" s="10">
        <f>IFERROR(__xludf.DUMMYFUNCTION("VALUE(REGEXEXTRACT(A3945, ""\d+""))"),6398.0)</f>
        <v>6398</v>
      </c>
    </row>
    <row r="3946">
      <c r="A3946" s="9" t="s">
        <v>15776</v>
      </c>
      <c r="B3946" s="9" t="s">
        <v>15777</v>
      </c>
      <c r="G3946" s="9" t="s">
        <v>15778</v>
      </c>
      <c r="O3946" s="10">
        <f>IFERROR(__xludf.DUMMYFUNCTION("VALUE(REGEXEXTRACT(A3946, ""\d+""))"),6399.0)</f>
        <v>6399</v>
      </c>
    </row>
    <row r="3947">
      <c r="A3947" s="9" t="s">
        <v>15779</v>
      </c>
      <c r="B3947" s="9" t="s">
        <v>15780</v>
      </c>
      <c r="G3947" s="9" t="s">
        <v>15781</v>
      </c>
      <c r="O3947" s="10">
        <f>IFERROR(__xludf.DUMMYFUNCTION("VALUE(REGEXEXTRACT(A3947, ""\d+""))"),6400.0)</f>
        <v>6400</v>
      </c>
    </row>
    <row r="3948">
      <c r="A3948" s="9" t="s">
        <v>15782</v>
      </c>
      <c r="B3948" s="9" t="s">
        <v>15783</v>
      </c>
      <c r="G3948" s="9" t="s">
        <v>15784</v>
      </c>
      <c r="O3948" s="10">
        <f>IFERROR(__xludf.DUMMYFUNCTION("VALUE(REGEXEXTRACT(A3948, ""\d+""))"),6401.0)</f>
        <v>6401</v>
      </c>
    </row>
    <row r="3949">
      <c r="A3949" s="9" t="s">
        <v>15785</v>
      </c>
      <c r="B3949" s="9" t="s">
        <v>15786</v>
      </c>
      <c r="G3949" s="9" t="s">
        <v>15787</v>
      </c>
      <c r="O3949" s="10">
        <f>IFERROR(__xludf.DUMMYFUNCTION("VALUE(REGEXEXTRACT(A3949, ""\d+""))"),6402.0)</f>
        <v>6402</v>
      </c>
    </row>
    <row r="3950">
      <c r="A3950" s="9" t="s">
        <v>15788</v>
      </c>
      <c r="B3950" s="9" t="s">
        <v>15789</v>
      </c>
      <c r="G3950" s="9" t="s">
        <v>15790</v>
      </c>
      <c r="O3950" s="10">
        <f>IFERROR(__xludf.DUMMYFUNCTION("VALUE(REGEXEXTRACT(A3950, ""\d+""))"),6403.0)</f>
        <v>6403</v>
      </c>
    </row>
    <row r="3951">
      <c r="A3951" s="9" t="s">
        <v>15791</v>
      </c>
      <c r="B3951" s="9" t="s">
        <v>15792</v>
      </c>
      <c r="G3951" s="9" t="s">
        <v>15793</v>
      </c>
      <c r="O3951" s="10">
        <f>IFERROR(__xludf.DUMMYFUNCTION("VALUE(REGEXEXTRACT(A3951, ""\d+""))"),6404.0)</f>
        <v>6404</v>
      </c>
    </row>
    <row r="3952">
      <c r="A3952" s="9" t="s">
        <v>15794</v>
      </c>
      <c r="B3952" s="9" t="s">
        <v>15795</v>
      </c>
      <c r="G3952" s="9" t="s">
        <v>15796</v>
      </c>
      <c r="O3952" s="10">
        <f>IFERROR(__xludf.DUMMYFUNCTION("VALUE(REGEXEXTRACT(A3952, ""\d+""))"),6405.0)</f>
        <v>6405</v>
      </c>
    </row>
    <row r="3953">
      <c r="A3953" s="9" t="s">
        <v>15797</v>
      </c>
      <c r="B3953" s="9" t="s">
        <v>15798</v>
      </c>
      <c r="G3953" s="9" t="s">
        <v>15799</v>
      </c>
      <c r="O3953" s="10">
        <f>IFERROR(__xludf.DUMMYFUNCTION("VALUE(REGEXEXTRACT(A3953, ""\d+""))"),6406.0)</f>
        <v>6406</v>
      </c>
    </row>
    <row r="3954">
      <c r="A3954" s="9" t="s">
        <v>15800</v>
      </c>
      <c r="B3954" s="9" t="s">
        <v>15801</v>
      </c>
      <c r="G3954" s="9" t="s">
        <v>15802</v>
      </c>
      <c r="O3954" s="10">
        <f>IFERROR(__xludf.DUMMYFUNCTION("VALUE(REGEXEXTRACT(A3954, ""\d+""))"),6407.0)</f>
        <v>6407</v>
      </c>
    </row>
    <row r="3955">
      <c r="A3955" s="9" t="s">
        <v>15803</v>
      </c>
      <c r="B3955" s="9" t="s">
        <v>15804</v>
      </c>
      <c r="G3955" s="9" t="s">
        <v>15805</v>
      </c>
      <c r="O3955" s="10">
        <f>IFERROR(__xludf.DUMMYFUNCTION("VALUE(REGEXEXTRACT(A3955, ""\d+""))"),6408.0)</f>
        <v>6408</v>
      </c>
    </row>
    <row r="3956">
      <c r="A3956" s="9" t="s">
        <v>15806</v>
      </c>
      <c r="B3956" s="9" t="s">
        <v>15807</v>
      </c>
      <c r="G3956" s="9" t="s">
        <v>15808</v>
      </c>
      <c r="O3956" s="10">
        <f>IFERROR(__xludf.DUMMYFUNCTION("VALUE(REGEXEXTRACT(A3956, ""\d+""))"),6409.0)</f>
        <v>6409</v>
      </c>
    </row>
    <row r="3957">
      <c r="A3957" s="9" t="s">
        <v>15809</v>
      </c>
      <c r="B3957" s="9" t="s">
        <v>15810</v>
      </c>
      <c r="G3957" s="9" t="s">
        <v>15811</v>
      </c>
      <c r="O3957" s="10">
        <f>IFERROR(__xludf.DUMMYFUNCTION("VALUE(REGEXEXTRACT(A3957, ""\d+""))"),6410.0)</f>
        <v>6410</v>
      </c>
    </row>
    <row r="3958">
      <c r="A3958" s="9" t="s">
        <v>15812</v>
      </c>
      <c r="B3958" s="9" t="s">
        <v>15813</v>
      </c>
      <c r="G3958" s="9" t="s">
        <v>15814</v>
      </c>
      <c r="O3958" s="10">
        <f>IFERROR(__xludf.DUMMYFUNCTION("VALUE(REGEXEXTRACT(A3958, ""\d+""))"),6411.0)</f>
        <v>6411</v>
      </c>
    </row>
    <row r="3959">
      <c r="A3959" s="9" t="s">
        <v>15815</v>
      </c>
      <c r="B3959" s="9" t="s">
        <v>15816</v>
      </c>
      <c r="G3959" s="9" t="s">
        <v>15817</v>
      </c>
      <c r="O3959" s="10">
        <f>IFERROR(__xludf.DUMMYFUNCTION("VALUE(REGEXEXTRACT(A3959, ""\d+""))"),6412.0)</f>
        <v>6412</v>
      </c>
    </row>
    <row r="3960">
      <c r="A3960" s="9" t="s">
        <v>15818</v>
      </c>
      <c r="B3960" s="9" t="s">
        <v>15819</v>
      </c>
      <c r="G3960" s="9" t="s">
        <v>15820</v>
      </c>
      <c r="O3960" s="10">
        <f>IFERROR(__xludf.DUMMYFUNCTION("VALUE(REGEXEXTRACT(A3960, ""\d+""))"),6413.0)</f>
        <v>6413</v>
      </c>
    </row>
    <row r="3961">
      <c r="A3961" s="9" t="s">
        <v>15821</v>
      </c>
      <c r="B3961" s="9" t="s">
        <v>15822</v>
      </c>
      <c r="G3961" s="9" t="s">
        <v>15822</v>
      </c>
      <c r="O3961" s="10">
        <f>IFERROR(__xludf.DUMMYFUNCTION("VALUE(REGEXEXTRACT(A3961, ""\d+""))"),6414.0)</f>
        <v>6414</v>
      </c>
    </row>
    <row r="3962">
      <c r="A3962" s="9" t="s">
        <v>15823</v>
      </c>
      <c r="B3962" s="9" t="s">
        <v>15824</v>
      </c>
      <c r="G3962" s="9" t="s">
        <v>15825</v>
      </c>
      <c r="O3962" s="10">
        <f>IFERROR(__xludf.DUMMYFUNCTION("VALUE(REGEXEXTRACT(A3962, ""\d+""))"),6415.0)</f>
        <v>6415</v>
      </c>
    </row>
    <row r="3963">
      <c r="A3963" s="9" t="s">
        <v>15826</v>
      </c>
      <c r="B3963" s="9" t="s">
        <v>15827</v>
      </c>
      <c r="O3963" s="10">
        <f>IFERROR(__xludf.DUMMYFUNCTION("VALUE(REGEXEXTRACT(A3963, ""\d+""))"),6416.0)</f>
        <v>6416</v>
      </c>
    </row>
    <row r="3964">
      <c r="A3964" s="9" t="s">
        <v>15828</v>
      </c>
      <c r="B3964" s="9" t="s">
        <v>15829</v>
      </c>
      <c r="O3964" s="10">
        <f>IFERROR(__xludf.DUMMYFUNCTION("VALUE(REGEXEXTRACT(A3964, ""\d+""))"),6417.0)</f>
        <v>6417</v>
      </c>
    </row>
    <row r="3965">
      <c r="A3965" s="9" t="s">
        <v>15830</v>
      </c>
      <c r="B3965" s="9" t="s">
        <v>15831</v>
      </c>
      <c r="G3965" s="9" t="s">
        <v>15796</v>
      </c>
      <c r="O3965" s="10">
        <f>IFERROR(__xludf.DUMMYFUNCTION("VALUE(REGEXEXTRACT(A3965, ""\d+""))"),6418.0)</f>
        <v>6418</v>
      </c>
    </row>
    <row r="3966">
      <c r="A3966" s="9" t="s">
        <v>15832</v>
      </c>
      <c r="B3966" s="9" t="s">
        <v>15833</v>
      </c>
      <c r="G3966" s="9" t="s">
        <v>10214</v>
      </c>
      <c r="O3966" s="10">
        <f>IFERROR(__xludf.DUMMYFUNCTION("VALUE(REGEXEXTRACT(A3966, ""\d+""))"),6419.0)</f>
        <v>6419</v>
      </c>
    </row>
    <row r="3967">
      <c r="A3967" s="9" t="s">
        <v>15834</v>
      </c>
      <c r="B3967" s="9" t="s">
        <v>15835</v>
      </c>
      <c r="G3967" s="9" t="s">
        <v>15836</v>
      </c>
      <c r="O3967" s="10">
        <f>IFERROR(__xludf.DUMMYFUNCTION("VALUE(REGEXEXTRACT(A3967, ""\d+""))"),6420.0)</f>
        <v>6420</v>
      </c>
    </row>
    <row r="3968">
      <c r="A3968" s="9" t="s">
        <v>15837</v>
      </c>
      <c r="B3968" s="9" t="s">
        <v>15838</v>
      </c>
      <c r="G3968" s="9" t="s">
        <v>15839</v>
      </c>
      <c r="O3968" s="10">
        <f>IFERROR(__xludf.DUMMYFUNCTION("VALUE(REGEXEXTRACT(A3968, ""\d+""))"),6421.0)</f>
        <v>6421</v>
      </c>
    </row>
    <row r="3969">
      <c r="A3969" s="9" t="s">
        <v>15840</v>
      </c>
      <c r="B3969" s="9" t="s">
        <v>15841</v>
      </c>
      <c r="G3969" s="9" t="s">
        <v>15842</v>
      </c>
      <c r="O3969" s="10">
        <f>IFERROR(__xludf.DUMMYFUNCTION("VALUE(REGEXEXTRACT(A3969, ""\d+""))"),6423.0)</f>
        <v>6423</v>
      </c>
    </row>
    <row r="3970">
      <c r="A3970" s="9" t="s">
        <v>15843</v>
      </c>
      <c r="B3970" s="9" t="s">
        <v>15844</v>
      </c>
      <c r="G3970" s="9" t="s">
        <v>15845</v>
      </c>
      <c r="O3970" s="10">
        <f>IFERROR(__xludf.DUMMYFUNCTION("VALUE(REGEXEXTRACT(A3970, ""\d+""))"),6424.0)</f>
        <v>6424</v>
      </c>
    </row>
    <row r="3971">
      <c r="A3971" s="9" t="s">
        <v>15846</v>
      </c>
      <c r="B3971" s="9" t="s">
        <v>15847</v>
      </c>
      <c r="G3971" s="9" t="s">
        <v>15847</v>
      </c>
      <c r="O3971" s="10">
        <f>IFERROR(__xludf.DUMMYFUNCTION("VALUE(REGEXEXTRACT(A3971, ""\d+""))"),6425.0)</f>
        <v>6425</v>
      </c>
    </row>
    <row r="3972">
      <c r="A3972" s="9" t="s">
        <v>15848</v>
      </c>
      <c r="B3972" s="9" t="s">
        <v>15849</v>
      </c>
      <c r="G3972" s="9" t="s">
        <v>15850</v>
      </c>
      <c r="O3972" s="10">
        <f>IFERROR(__xludf.DUMMYFUNCTION("VALUE(REGEXEXTRACT(A3972, ""\d+""))"),6426.0)</f>
        <v>6426</v>
      </c>
    </row>
    <row r="3973">
      <c r="A3973" s="9" t="s">
        <v>15851</v>
      </c>
      <c r="B3973" s="9" t="s">
        <v>15852</v>
      </c>
      <c r="G3973" s="9" t="s">
        <v>15853</v>
      </c>
      <c r="O3973" s="10">
        <f>IFERROR(__xludf.DUMMYFUNCTION("VALUE(REGEXEXTRACT(A3973, ""\d+""))"),6427.0)</f>
        <v>6427</v>
      </c>
    </row>
    <row r="3974">
      <c r="A3974" s="9" t="s">
        <v>15854</v>
      </c>
      <c r="B3974" s="9" t="s">
        <v>15855</v>
      </c>
      <c r="G3974" s="9" t="s">
        <v>15855</v>
      </c>
      <c r="O3974" s="10">
        <f>IFERROR(__xludf.DUMMYFUNCTION("VALUE(REGEXEXTRACT(A3974, ""\d+""))"),6428.0)</f>
        <v>6428</v>
      </c>
    </row>
    <row r="3975">
      <c r="A3975" s="9" t="s">
        <v>15856</v>
      </c>
      <c r="B3975" s="9" t="s">
        <v>15857</v>
      </c>
      <c r="G3975" s="9" t="s">
        <v>15857</v>
      </c>
      <c r="O3975" s="10">
        <f>IFERROR(__xludf.DUMMYFUNCTION("VALUE(REGEXEXTRACT(A3975, ""\d+""))"),6429.0)</f>
        <v>6429</v>
      </c>
    </row>
    <row r="3976">
      <c r="A3976" s="9" t="s">
        <v>15858</v>
      </c>
      <c r="B3976" s="9" t="s">
        <v>15859</v>
      </c>
      <c r="G3976" s="9" t="s">
        <v>15860</v>
      </c>
      <c r="O3976" s="10">
        <f>IFERROR(__xludf.DUMMYFUNCTION("VALUE(REGEXEXTRACT(A3976, ""\d+""))"),6430.0)</f>
        <v>6430</v>
      </c>
    </row>
    <row r="3977">
      <c r="A3977" s="9" t="s">
        <v>15861</v>
      </c>
      <c r="B3977" s="9" t="s">
        <v>15862</v>
      </c>
      <c r="O3977" s="10">
        <f>IFERROR(__xludf.DUMMYFUNCTION("VALUE(REGEXEXTRACT(A3977, ""\d+""))"),6431.0)</f>
        <v>6431</v>
      </c>
    </row>
    <row r="3978">
      <c r="A3978" s="9" t="s">
        <v>15863</v>
      </c>
      <c r="B3978" s="9" t="s">
        <v>15864</v>
      </c>
      <c r="G3978" s="9" t="s">
        <v>15865</v>
      </c>
      <c r="O3978" s="10">
        <f>IFERROR(__xludf.DUMMYFUNCTION("VALUE(REGEXEXTRACT(A3978, ""\d+""))"),6438.0)</f>
        <v>6438</v>
      </c>
    </row>
    <row r="3979">
      <c r="A3979" s="9" t="s">
        <v>15866</v>
      </c>
      <c r="B3979" s="9" t="s">
        <v>15867</v>
      </c>
      <c r="G3979" s="9" t="s">
        <v>15868</v>
      </c>
      <c r="O3979" s="10">
        <f>IFERROR(__xludf.DUMMYFUNCTION("VALUE(REGEXEXTRACT(A3979, ""\d+""))"),6439.0)</f>
        <v>6439</v>
      </c>
    </row>
    <row r="3980">
      <c r="A3980" s="9" t="s">
        <v>15869</v>
      </c>
      <c r="B3980" s="9" t="s">
        <v>15870</v>
      </c>
      <c r="O3980" s="10">
        <f>IFERROR(__xludf.DUMMYFUNCTION("VALUE(REGEXEXTRACT(A3980, ""\d+""))"),6440.0)</f>
        <v>6440</v>
      </c>
    </row>
    <row r="3981">
      <c r="A3981" s="9" t="s">
        <v>15871</v>
      </c>
      <c r="B3981" s="9" t="s">
        <v>15872</v>
      </c>
      <c r="G3981" s="9" t="s">
        <v>15873</v>
      </c>
      <c r="O3981" s="10">
        <f>IFERROR(__xludf.DUMMYFUNCTION("VALUE(REGEXEXTRACT(A3981, ""\d+""))"),6441.0)</f>
        <v>6441</v>
      </c>
    </row>
    <row r="3982">
      <c r="A3982" s="9" t="s">
        <v>15874</v>
      </c>
      <c r="B3982" s="9" t="s">
        <v>13293</v>
      </c>
      <c r="G3982" s="9" t="s">
        <v>13294</v>
      </c>
      <c r="O3982" s="10">
        <f>IFERROR(__xludf.DUMMYFUNCTION("VALUE(REGEXEXTRACT(A3982, ""\d+""))"),6442.0)</f>
        <v>6442</v>
      </c>
    </row>
    <row r="3983">
      <c r="A3983" s="9" t="s">
        <v>15875</v>
      </c>
      <c r="B3983" s="9" t="s">
        <v>15876</v>
      </c>
      <c r="G3983" s="9" t="s">
        <v>15876</v>
      </c>
      <c r="O3983" s="10">
        <f>IFERROR(__xludf.DUMMYFUNCTION("VALUE(REGEXEXTRACT(A3983, ""\d+""))"),6443.0)</f>
        <v>6443</v>
      </c>
    </row>
    <row r="3984">
      <c r="A3984" s="9" t="s">
        <v>15877</v>
      </c>
      <c r="B3984" s="9" t="s">
        <v>15878</v>
      </c>
      <c r="G3984" s="9" t="s">
        <v>15879</v>
      </c>
      <c r="O3984" s="10">
        <f>IFERROR(__xludf.DUMMYFUNCTION("VALUE(REGEXEXTRACT(A3984, ""\d+""))"),6444.0)</f>
        <v>6444</v>
      </c>
    </row>
    <row r="3985">
      <c r="A3985" s="9" t="s">
        <v>15880</v>
      </c>
      <c r="B3985" s="9" t="s">
        <v>15881</v>
      </c>
      <c r="G3985" s="9" t="s">
        <v>15882</v>
      </c>
      <c r="O3985" s="10">
        <f>IFERROR(__xludf.DUMMYFUNCTION("VALUE(REGEXEXTRACT(A3985, ""\d+""))"),6445.0)</f>
        <v>6445</v>
      </c>
    </row>
    <row r="3986">
      <c r="A3986" s="9" t="s">
        <v>15883</v>
      </c>
      <c r="B3986" s="9" t="s">
        <v>15884</v>
      </c>
      <c r="G3986" s="9" t="s">
        <v>15885</v>
      </c>
      <c r="O3986" s="10">
        <f>IFERROR(__xludf.DUMMYFUNCTION("VALUE(REGEXEXTRACT(A3986, ""\d+""))"),6446.0)</f>
        <v>6446</v>
      </c>
    </row>
    <row r="3987">
      <c r="A3987" s="9" t="s">
        <v>15886</v>
      </c>
      <c r="B3987" s="9" t="s">
        <v>15887</v>
      </c>
      <c r="G3987" s="9" t="s">
        <v>15888</v>
      </c>
      <c r="O3987" s="10">
        <f>IFERROR(__xludf.DUMMYFUNCTION("VALUE(REGEXEXTRACT(A3987, ""\d+""))"),6447.0)</f>
        <v>6447</v>
      </c>
    </row>
    <row r="3988">
      <c r="A3988" s="9" t="s">
        <v>15889</v>
      </c>
      <c r="B3988" s="9" t="s">
        <v>15890</v>
      </c>
      <c r="G3988" s="9" t="s">
        <v>15891</v>
      </c>
      <c r="O3988" s="10">
        <f>IFERROR(__xludf.DUMMYFUNCTION("VALUE(REGEXEXTRACT(A3988, ""\d+""))"),6448.0)</f>
        <v>6448</v>
      </c>
    </row>
    <row r="3989">
      <c r="A3989" s="9" t="s">
        <v>15892</v>
      </c>
      <c r="B3989" s="9" t="s">
        <v>15893</v>
      </c>
      <c r="G3989" s="9" t="s">
        <v>15894</v>
      </c>
      <c r="O3989" s="10">
        <f>IFERROR(__xludf.DUMMYFUNCTION("VALUE(REGEXEXTRACT(A3989, ""\d+""))"),6449.0)</f>
        <v>6449</v>
      </c>
    </row>
    <row r="3990">
      <c r="A3990" s="9" t="s">
        <v>15895</v>
      </c>
      <c r="B3990" s="9" t="s">
        <v>15896</v>
      </c>
      <c r="G3990" s="9" t="s">
        <v>15897</v>
      </c>
      <c r="O3990" s="10">
        <f>IFERROR(__xludf.DUMMYFUNCTION("VALUE(REGEXEXTRACT(A3990, ""\d+""))"),6450.0)</f>
        <v>6450</v>
      </c>
    </row>
    <row r="3991">
      <c r="A3991" s="9" t="s">
        <v>15898</v>
      </c>
      <c r="B3991" s="9" t="s">
        <v>15899</v>
      </c>
      <c r="G3991" s="9" t="s">
        <v>15900</v>
      </c>
      <c r="O3991" s="10">
        <f>IFERROR(__xludf.DUMMYFUNCTION("VALUE(REGEXEXTRACT(A3991, ""\d+""))"),6451.0)</f>
        <v>6451</v>
      </c>
    </row>
    <row r="3992">
      <c r="A3992" s="9" t="s">
        <v>15901</v>
      </c>
      <c r="B3992" s="9" t="s">
        <v>15902</v>
      </c>
      <c r="G3992" s="9" t="s">
        <v>15903</v>
      </c>
      <c r="O3992" s="10">
        <f>IFERROR(__xludf.DUMMYFUNCTION("VALUE(REGEXEXTRACT(A3992, ""\d+""))"),6452.0)</f>
        <v>6452</v>
      </c>
    </row>
    <row r="3993">
      <c r="A3993" s="9" t="s">
        <v>15904</v>
      </c>
      <c r="B3993" s="9" t="s">
        <v>15905</v>
      </c>
      <c r="G3993" s="9" t="s">
        <v>15906</v>
      </c>
      <c r="O3993" s="10">
        <f>IFERROR(__xludf.DUMMYFUNCTION("VALUE(REGEXEXTRACT(A3993, ""\d+""))"),6453.0)</f>
        <v>6453</v>
      </c>
    </row>
    <row r="3994">
      <c r="A3994" s="9" t="s">
        <v>15907</v>
      </c>
      <c r="B3994" s="9" t="s">
        <v>15908</v>
      </c>
      <c r="G3994" s="9" t="s">
        <v>15909</v>
      </c>
      <c r="O3994" s="10">
        <f>IFERROR(__xludf.DUMMYFUNCTION("VALUE(REGEXEXTRACT(A3994, ""\d+""))"),6454.0)</f>
        <v>6454</v>
      </c>
    </row>
    <row r="3995">
      <c r="A3995" s="9" t="s">
        <v>15910</v>
      </c>
      <c r="B3995" s="9" t="s">
        <v>15911</v>
      </c>
      <c r="G3995" s="9" t="s">
        <v>15912</v>
      </c>
      <c r="O3995" s="10">
        <f>IFERROR(__xludf.DUMMYFUNCTION("VALUE(REGEXEXTRACT(A3995, ""\d+""))"),6455.0)</f>
        <v>6455</v>
      </c>
    </row>
    <row r="3996">
      <c r="A3996" s="9" t="s">
        <v>15913</v>
      </c>
      <c r="B3996" s="9" t="s">
        <v>15914</v>
      </c>
      <c r="G3996" s="9" t="s">
        <v>15915</v>
      </c>
      <c r="O3996" s="10">
        <f>IFERROR(__xludf.DUMMYFUNCTION("VALUE(REGEXEXTRACT(A3996, ""\d+""))"),6456.0)</f>
        <v>6456</v>
      </c>
    </row>
    <row r="3997">
      <c r="A3997" s="9" t="s">
        <v>15916</v>
      </c>
      <c r="B3997" s="9" t="s">
        <v>15917</v>
      </c>
      <c r="G3997" s="9" t="s">
        <v>15918</v>
      </c>
      <c r="O3997" s="10">
        <f>IFERROR(__xludf.DUMMYFUNCTION("VALUE(REGEXEXTRACT(A3997, ""\d+""))"),6457.0)</f>
        <v>6457</v>
      </c>
    </row>
    <row r="3998">
      <c r="A3998" s="9" t="s">
        <v>15919</v>
      </c>
      <c r="B3998" s="9" t="s">
        <v>15920</v>
      </c>
      <c r="G3998" s="9" t="s">
        <v>15921</v>
      </c>
      <c r="O3998" s="10">
        <f>IFERROR(__xludf.DUMMYFUNCTION("VALUE(REGEXEXTRACT(A3998, ""\d+""))"),6458.0)</f>
        <v>6458</v>
      </c>
    </row>
    <row r="3999">
      <c r="A3999" s="9" t="s">
        <v>15922</v>
      </c>
      <c r="B3999" s="9" t="s">
        <v>15923</v>
      </c>
      <c r="G3999" s="9" t="s">
        <v>15924</v>
      </c>
      <c r="O3999" s="10">
        <f>IFERROR(__xludf.DUMMYFUNCTION("VALUE(REGEXEXTRACT(A3999, ""\d+""))"),6459.0)</f>
        <v>6459</v>
      </c>
    </row>
    <row r="4000">
      <c r="A4000" s="9" t="s">
        <v>15925</v>
      </c>
      <c r="B4000" s="9" t="s">
        <v>15926</v>
      </c>
      <c r="D4000" s="9" t="s">
        <v>15927</v>
      </c>
      <c r="G4000" s="9" t="s">
        <v>15928</v>
      </c>
      <c r="O4000" s="10">
        <f>IFERROR(__xludf.DUMMYFUNCTION("VALUE(REGEXEXTRACT(A4000, ""\d+""))"),6460.0)</f>
        <v>6460</v>
      </c>
    </row>
    <row r="4001">
      <c r="A4001" s="9" t="s">
        <v>15929</v>
      </c>
      <c r="B4001" s="9" t="s">
        <v>15930</v>
      </c>
      <c r="D4001" s="9" t="s">
        <v>15931</v>
      </c>
      <c r="G4001" s="9" t="s">
        <v>15932</v>
      </c>
      <c r="O4001" s="10">
        <f>IFERROR(__xludf.DUMMYFUNCTION("VALUE(REGEXEXTRACT(A4001, ""\d+""))"),6461.0)</f>
        <v>6461</v>
      </c>
    </row>
    <row r="4002">
      <c r="A4002" s="9" t="s">
        <v>15933</v>
      </c>
      <c r="B4002" s="9" t="s">
        <v>15934</v>
      </c>
      <c r="D4002" s="9" t="s">
        <v>15935</v>
      </c>
      <c r="G4002" s="9" t="s">
        <v>15936</v>
      </c>
      <c r="O4002" s="10">
        <f>IFERROR(__xludf.DUMMYFUNCTION("VALUE(REGEXEXTRACT(A4002, ""\d+""))"),6462.0)</f>
        <v>6462</v>
      </c>
    </row>
    <row r="4003">
      <c r="A4003" s="9" t="s">
        <v>15937</v>
      </c>
      <c r="B4003" s="9" t="s">
        <v>15938</v>
      </c>
      <c r="D4003" s="9" t="s">
        <v>15939</v>
      </c>
      <c r="G4003" s="9" t="s">
        <v>15940</v>
      </c>
      <c r="O4003" s="10">
        <f>IFERROR(__xludf.DUMMYFUNCTION("VALUE(REGEXEXTRACT(A4003, ""\d+""))"),6463.0)</f>
        <v>6463</v>
      </c>
    </row>
    <row r="4004">
      <c r="A4004" s="9" t="s">
        <v>15941</v>
      </c>
      <c r="B4004" s="9" t="s">
        <v>15942</v>
      </c>
      <c r="D4004" s="9" t="s">
        <v>15943</v>
      </c>
      <c r="G4004" s="9" t="s">
        <v>15942</v>
      </c>
      <c r="O4004" s="10">
        <f>IFERROR(__xludf.DUMMYFUNCTION("VALUE(REGEXEXTRACT(A4004, ""\d+""))"),6464.0)</f>
        <v>6464</v>
      </c>
    </row>
    <row r="4005">
      <c r="A4005" s="9" t="s">
        <v>15944</v>
      </c>
      <c r="B4005" s="9" t="s">
        <v>15945</v>
      </c>
      <c r="D4005" s="9" t="s">
        <v>15946</v>
      </c>
      <c r="G4005" s="9" t="s">
        <v>15947</v>
      </c>
      <c r="O4005" s="10">
        <f>IFERROR(__xludf.DUMMYFUNCTION("VALUE(REGEXEXTRACT(A4005, ""\d+""))"),6465.0)</f>
        <v>6465</v>
      </c>
    </row>
    <row r="4006">
      <c r="A4006" s="9" t="s">
        <v>15948</v>
      </c>
      <c r="B4006" s="9" t="s">
        <v>15949</v>
      </c>
      <c r="D4006" s="9" t="s">
        <v>15950</v>
      </c>
      <c r="G4006" s="9" t="s">
        <v>15951</v>
      </c>
      <c r="O4006" s="10">
        <f>IFERROR(__xludf.DUMMYFUNCTION("VALUE(REGEXEXTRACT(A4006, ""\d+""))"),6466.0)</f>
        <v>6466</v>
      </c>
    </row>
    <row r="4007">
      <c r="A4007" s="9" t="s">
        <v>15952</v>
      </c>
      <c r="B4007" s="9" t="s">
        <v>15953</v>
      </c>
      <c r="G4007" s="9" t="s">
        <v>15953</v>
      </c>
      <c r="O4007" s="10">
        <f>IFERROR(__xludf.DUMMYFUNCTION("VALUE(REGEXEXTRACT(A4007, ""\d+""))"),6467.0)</f>
        <v>6467</v>
      </c>
    </row>
    <row r="4008">
      <c r="A4008" s="9" t="s">
        <v>15954</v>
      </c>
      <c r="B4008" s="9" t="s">
        <v>15955</v>
      </c>
      <c r="G4008" s="9" t="s">
        <v>15955</v>
      </c>
      <c r="O4008" s="10">
        <f>IFERROR(__xludf.DUMMYFUNCTION("VALUE(REGEXEXTRACT(A4008, ""\d+""))"),6468.0)</f>
        <v>6468</v>
      </c>
    </row>
    <row r="4009">
      <c r="A4009" s="9" t="s">
        <v>15956</v>
      </c>
      <c r="B4009" s="9" t="s">
        <v>15957</v>
      </c>
      <c r="G4009" s="9" t="s">
        <v>15957</v>
      </c>
      <c r="O4009" s="10">
        <f>IFERROR(__xludf.DUMMYFUNCTION("VALUE(REGEXEXTRACT(A4009, ""\d+""))"),6469.0)</f>
        <v>6469</v>
      </c>
    </row>
    <row r="4010">
      <c r="A4010" s="9" t="s">
        <v>15958</v>
      </c>
      <c r="B4010" s="9" t="s">
        <v>15959</v>
      </c>
      <c r="G4010" s="9" t="s">
        <v>15959</v>
      </c>
      <c r="O4010" s="10">
        <f>IFERROR(__xludf.DUMMYFUNCTION("VALUE(REGEXEXTRACT(A4010, ""\d+""))"),6470.0)</f>
        <v>6470</v>
      </c>
    </row>
    <row r="4011">
      <c r="A4011" s="9" t="s">
        <v>15960</v>
      </c>
      <c r="B4011" s="9" t="s">
        <v>15961</v>
      </c>
      <c r="D4011" s="9" t="s">
        <v>15962</v>
      </c>
      <c r="G4011" s="9" t="s">
        <v>15963</v>
      </c>
      <c r="O4011" s="10">
        <f>IFERROR(__xludf.DUMMYFUNCTION("VALUE(REGEXEXTRACT(A4011, ""\d+""))"),6471.0)</f>
        <v>6471</v>
      </c>
    </row>
    <row r="4012">
      <c r="A4012" s="9" t="s">
        <v>15964</v>
      </c>
      <c r="B4012" s="9" t="s">
        <v>15965</v>
      </c>
      <c r="D4012" s="9" t="s">
        <v>15966</v>
      </c>
      <c r="G4012" s="9" t="s">
        <v>15967</v>
      </c>
      <c r="O4012" s="10">
        <f>IFERROR(__xludf.DUMMYFUNCTION("VALUE(REGEXEXTRACT(A4012, ""\d+""))"),6472.0)</f>
        <v>6472</v>
      </c>
    </row>
    <row r="4013">
      <c r="A4013" s="9" t="s">
        <v>15968</v>
      </c>
      <c r="B4013" s="9" t="s">
        <v>15969</v>
      </c>
      <c r="D4013" s="9" t="s">
        <v>15970</v>
      </c>
      <c r="G4013" s="9" t="s">
        <v>15971</v>
      </c>
      <c r="O4013" s="10">
        <f>IFERROR(__xludf.DUMMYFUNCTION("VALUE(REGEXEXTRACT(A4013, ""\d+""))"),6474.0)</f>
        <v>6474</v>
      </c>
    </row>
    <row r="4014">
      <c r="A4014" s="9" t="s">
        <v>15972</v>
      </c>
      <c r="B4014" s="9" t="s">
        <v>15973</v>
      </c>
      <c r="D4014" s="9" t="s">
        <v>15974</v>
      </c>
      <c r="G4014" s="9" t="s">
        <v>15974</v>
      </c>
      <c r="O4014" s="10">
        <f>IFERROR(__xludf.DUMMYFUNCTION("VALUE(REGEXEXTRACT(A4014, ""\d+""))"),6475.0)</f>
        <v>6475</v>
      </c>
    </row>
    <row r="4015">
      <c r="A4015" s="9" t="s">
        <v>15975</v>
      </c>
      <c r="B4015" s="9" t="s">
        <v>15976</v>
      </c>
      <c r="D4015" s="9" t="s">
        <v>15977</v>
      </c>
      <c r="G4015" s="9" t="s">
        <v>15978</v>
      </c>
      <c r="O4015" s="10">
        <f>IFERROR(__xludf.DUMMYFUNCTION("VALUE(REGEXEXTRACT(A4015, ""\d+""))"),6476.0)</f>
        <v>6476</v>
      </c>
    </row>
    <row r="4016">
      <c r="A4016" s="9" t="s">
        <v>15979</v>
      </c>
      <c r="B4016" s="9" t="s">
        <v>15980</v>
      </c>
      <c r="D4016" s="9" t="s">
        <v>15981</v>
      </c>
      <c r="G4016" s="9" t="s">
        <v>15982</v>
      </c>
      <c r="O4016" s="10">
        <f>IFERROR(__xludf.DUMMYFUNCTION("VALUE(REGEXEXTRACT(A4016, ""\d+""))"),6477.0)</f>
        <v>6477</v>
      </c>
    </row>
    <row r="4017">
      <c r="A4017" s="9" t="s">
        <v>15983</v>
      </c>
      <c r="B4017" s="9" t="s">
        <v>15984</v>
      </c>
      <c r="D4017" s="9" t="s">
        <v>15985</v>
      </c>
      <c r="G4017" s="9" t="s">
        <v>15986</v>
      </c>
      <c r="O4017" s="10">
        <f>IFERROR(__xludf.DUMMYFUNCTION("VALUE(REGEXEXTRACT(A4017, ""\d+""))"),6478.0)</f>
        <v>6478</v>
      </c>
    </row>
    <row r="4018">
      <c r="A4018" s="9" t="s">
        <v>15987</v>
      </c>
      <c r="B4018" s="9" t="s">
        <v>15988</v>
      </c>
      <c r="D4018" s="9" t="s">
        <v>15989</v>
      </c>
      <c r="G4018" s="9" t="s">
        <v>15990</v>
      </c>
      <c r="O4018" s="10">
        <f>IFERROR(__xludf.DUMMYFUNCTION("VALUE(REGEXEXTRACT(A4018, ""\d+""))"),6479.0)</f>
        <v>6479</v>
      </c>
    </row>
    <row r="4019">
      <c r="A4019" s="9" t="s">
        <v>15991</v>
      </c>
      <c r="B4019" s="9" t="s">
        <v>15992</v>
      </c>
      <c r="D4019" s="9" t="s">
        <v>15993</v>
      </c>
      <c r="G4019" s="9" t="s">
        <v>15994</v>
      </c>
      <c r="O4019" s="10">
        <f>IFERROR(__xludf.DUMMYFUNCTION("VALUE(REGEXEXTRACT(A4019, ""\d+""))"),6480.0)</f>
        <v>6480</v>
      </c>
    </row>
    <row r="4020">
      <c r="A4020" s="9" t="s">
        <v>15995</v>
      </c>
      <c r="B4020" s="9" t="s">
        <v>15996</v>
      </c>
      <c r="D4020" s="9" t="s">
        <v>15997</v>
      </c>
      <c r="G4020" s="9" t="s">
        <v>15998</v>
      </c>
      <c r="O4020" s="10">
        <f>IFERROR(__xludf.DUMMYFUNCTION("VALUE(REGEXEXTRACT(A4020, ""\d+""))"),6481.0)</f>
        <v>6481</v>
      </c>
    </row>
    <row r="4021">
      <c r="A4021" s="9" t="s">
        <v>15999</v>
      </c>
      <c r="B4021" s="9" t="s">
        <v>16000</v>
      </c>
      <c r="D4021" s="9" t="s">
        <v>16001</v>
      </c>
      <c r="G4021" s="9" t="s">
        <v>16002</v>
      </c>
      <c r="O4021" s="10">
        <f>IFERROR(__xludf.DUMMYFUNCTION("VALUE(REGEXEXTRACT(A4021, ""\d+""))"),6482.0)</f>
        <v>6482</v>
      </c>
    </row>
    <row r="4022">
      <c r="A4022" s="9" t="s">
        <v>16003</v>
      </c>
      <c r="B4022" s="9" t="s">
        <v>16004</v>
      </c>
      <c r="D4022" s="9" t="s">
        <v>16005</v>
      </c>
      <c r="G4022" s="9" t="s">
        <v>16006</v>
      </c>
      <c r="O4022" s="10">
        <f>IFERROR(__xludf.DUMMYFUNCTION("VALUE(REGEXEXTRACT(A4022, ""\d+""))"),6483.0)</f>
        <v>6483</v>
      </c>
    </row>
    <row r="4023">
      <c r="A4023" s="9" t="s">
        <v>16007</v>
      </c>
      <c r="B4023" s="9" t="s">
        <v>16008</v>
      </c>
      <c r="D4023" s="9" t="s">
        <v>16009</v>
      </c>
      <c r="G4023" s="9" t="s">
        <v>16010</v>
      </c>
      <c r="O4023" s="10">
        <f>IFERROR(__xludf.DUMMYFUNCTION("VALUE(REGEXEXTRACT(A4023, ""\d+""))"),6484.0)</f>
        <v>6484</v>
      </c>
    </row>
    <row r="4024">
      <c r="A4024" s="9" t="s">
        <v>16011</v>
      </c>
      <c r="B4024" s="9" t="s">
        <v>16012</v>
      </c>
      <c r="D4024" s="9" t="s">
        <v>16013</v>
      </c>
      <c r="G4024" s="9" t="s">
        <v>16014</v>
      </c>
      <c r="O4024" s="10">
        <f>IFERROR(__xludf.DUMMYFUNCTION("VALUE(REGEXEXTRACT(A4024, ""\d+""))"),6485.0)</f>
        <v>6485</v>
      </c>
    </row>
    <row r="4025">
      <c r="A4025" s="9" t="s">
        <v>16015</v>
      </c>
      <c r="B4025" s="9" t="s">
        <v>16016</v>
      </c>
      <c r="D4025" s="9" t="s">
        <v>16017</v>
      </c>
      <c r="G4025" s="9" t="s">
        <v>16018</v>
      </c>
      <c r="O4025" s="10">
        <f>IFERROR(__xludf.DUMMYFUNCTION("VALUE(REGEXEXTRACT(A4025, ""\d+""))"),6486.0)</f>
        <v>6486</v>
      </c>
    </row>
    <row r="4026">
      <c r="A4026" s="9" t="s">
        <v>16019</v>
      </c>
      <c r="B4026" s="9" t="s">
        <v>16020</v>
      </c>
      <c r="G4026" s="9" t="s">
        <v>16021</v>
      </c>
      <c r="O4026" s="10">
        <f>IFERROR(__xludf.DUMMYFUNCTION("VALUE(REGEXEXTRACT(A4026, ""\d+""))"),6487.0)</f>
        <v>6487</v>
      </c>
    </row>
    <row r="4027">
      <c r="A4027" s="9" t="s">
        <v>16022</v>
      </c>
      <c r="B4027" s="9" t="s">
        <v>16023</v>
      </c>
      <c r="G4027" s="9" t="s">
        <v>16024</v>
      </c>
      <c r="O4027" s="10">
        <f>IFERROR(__xludf.DUMMYFUNCTION("VALUE(REGEXEXTRACT(A4027, ""\d+""))"),6488.0)</f>
        <v>6488</v>
      </c>
    </row>
    <row r="4028">
      <c r="A4028" s="9" t="s">
        <v>16025</v>
      </c>
      <c r="B4028" s="9" t="s">
        <v>16026</v>
      </c>
      <c r="G4028" s="9" t="s">
        <v>16027</v>
      </c>
      <c r="O4028" s="10">
        <f>IFERROR(__xludf.DUMMYFUNCTION("VALUE(REGEXEXTRACT(A4028, ""\d+""))"),6489.0)</f>
        <v>6489</v>
      </c>
    </row>
    <row r="4029">
      <c r="A4029" s="9" t="s">
        <v>16028</v>
      </c>
      <c r="B4029" s="9" t="s">
        <v>16029</v>
      </c>
      <c r="G4029" s="9" t="s">
        <v>16030</v>
      </c>
      <c r="O4029" s="10">
        <f>IFERROR(__xludf.DUMMYFUNCTION("VALUE(REGEXEXTRACT(A4029, ""\d+""))"),6491.0)</f>
        <v>6491</v>
      </c>
    </row>
    <row r="4030">
      <c r="A4030" s="9" t="s">
        <v>16031</v>
      </c>
      <c r="B4030" s="9" t="s">
        <v>16032</v>
      </c>
      <c r="G4030" s="9" t="s">
        <v>16033</v>
      </c>
      <c r="O4030" s="10">
        <f>IFERROR(__xludf.DUMMYFUNCTION("VALUE(REGEXEXTRACT(A4030, ""\d+""))"),6493.0)</f>
        <v>6493</v>
      </c>
    </row>
    <row r="4031">
      <c r="A4031" s="9" t="s">
        <v>16034</v>
      </c>
      <c r="B4031" s="9" t="s">
        <v>16035</v>
      </c>
      <c r="G4031" s="9" t="s">
        <v>16036</v>
      </c>
      <c r="O4031" s="10">
        <f>IFERROR(__xludf.DUMMYFUNCTION("VALUE(REGEXEXTRACT(A4031, ""\d+""))"),6494.0)</f>
        <v>6494</v>
      </c>
    </row>
    <row r="4032">
      <c r="A4032" s="9" t="s">
        <v>16037</v>
      </c>
      <c r="B4032" s="9" t="s">
        <v>16038</v>
      </c>
      <c r="G4032" s="9" t="s">
        <v>16039</v>
      </c>
      <c r="O4032" s="10">
        <f>IFERROR(__xludf.DUMMYFUNCTION("VALUE(REGEXEXTRACT(A4032, ""\d+""))"),6496.0)</f>
        <v>6496</v>
      </c>
    </row>
    <row r="4033">
      <c r="A4033" s="9" t="s">
        <v>16040</v>
      </c>
      <c r="B4033" s="9" t="s">
        <v>16041</v>
      </c>
      <c r="G4033" s="9" t="s">
        <v>16042</v>
      </c>
      <c r="O4033" s="10">
        <f>IFERROR(__xludf.DUMMYFUNCTION("VALUE(REGEXEXTRACT(A4033, ""\d+""))"),6497.0)</f>
        <v>6497</v>
      </c>
    </row>
    <row r="4034">
      <c r="A4034" s="9" t="s">
        <v>16043</v>
      </c>
      <c r="B4034" s="9" t="s">
        <v>16044</v>
      </c>
      <c r="G4034" s="9" t="s">
        <v>16045</v>
      </c>
      <c r="O4034" s="10">
        <f>IFERROR(__xludf.DUMMYFUNCTION("VALUE(REGEXEXTRACT(A4034, ""\d+""))"),6498.0)</f>
        <v>6498</v>
      </c>
    </row>
    <row r="4035">
      <c r="A4035" s="9" t="s">
        <v>16046</v>
      </c>
      <c r="B4035" s="9" t="s">
        <v>16047</v>
      </c>
      <c r="G4035" s="9" t="s">
        <v>16048</v>
      </c>
      <c r="O4035" s="10">
        <f>IFERROR(__xludf.DUMMYFUNCTION("VALUE(REGEXEXTRACT(A4035, ""\d+""))"),6500.0)</f>
        <v>6500</v>
      </c>
    </row>
    <row r="4036">
      <c r="A4036" s="9" t="s">
        <v>16049</v>
      </c>
      <c r="B4036" s="9" t="s">
        <v>16050</v>
      </c>
      <c r="G4036" s="9" t="s">
        <v>16051</v>
      </c>
      <c r="O4036" s="10">
        <f>IFERROR(__xludf.DUMMYFUNCTION("VALUE(REGEXEXTRACT(A4036, ""\d+""))"),6501.0)</f>
        <v>6501</v>
      </c>
    </row>
    <row r="4037">
      <c r="A4037" s="9" t="s">
        <v>16052</v>
      </c>
      <c r="B4037" s="9" t="s">
        <v>16053</v>
      </c>
      <c r="G4037" s="9" t="s">
        <v>16054</v>
      </c>
      <c r="O4037" s="10">
        <f>IFERROR(__xludf.DUMMYFUNCTION("VALUE(REGEXEXTRACT(A4037, ""\d+""))"),6502.0)</f>
        <v>6502</v>
      </c>
    </row>
    <row r="4038">
      <c r="A4038" s="9" t="s">
        <v>16055</v>
      </c>
      <c r="B4038" s="9" t="s">
        <v>16056</v>
      </c>
      <c r="G4038" s="9" t="s">
        <v>16057</v>
      </c>
      <c r="O4038" s="10">
        <f>IFERROR(__xludf.DUMMYFUNCTION("VALUE(REGEXEXTRACT(A4038, ""\d+""))"),6503.0)</f>
        <v>6503</v>
      </c>
    </row>
    <row r="4039">
      <c r="A4039" s="9" t="s">
        <v>16058</v>
      </c>
      <c r="B4039" s="9" t="s">
        <v>16059</v>
      </c>
      <c r="G4039" s="9" t="s">
        <v>16060</v>
      </c>
      <c r="O4039" s="10">
        <f>IFERROR(__xludf.DUMMYFUNCTION("VALUE(REGEXEXTRACT(A4039, ""\d+""))"),6504.0)</f>
        <v>6504</v>
      </c>
    </row>
    <row r="4040">
      <c r="A4040" s="9" t="s">
        <v>16061</v>
      </c>
      <c r="B4040" s="9" t="s">
        <v>16062</v>
      </c>
      <c r="G4040" s="9" t="s">
        <v>16060</v>
      </c>
      <c r="O4040" s="10">
        <f>IFERROR(__xludf.DUMMYFUNCTION("VALUE(REGEXEXTRACT(A4040, ""\d+""))"),6505.0)</f>
        <v>6505</v>
      </c>
    </row>
    <row r="4041">
      <c r="A4041" s="9" t="s">
        <v>16063</v>
      </c>
      <c r="B4041" s="9" t="s">
        <v>16064</v>
      </c>
      <c r="G4041" s="9" t="s">
        <v>16065</v>
      </c>
      <c r="O4041" s="10">
        <f>IFERROR(__xludf.DUMMYFUNCTION("VALUE(REGEXEXTRACT(A4041, ""\d+""))"),6506.0)</f>
        <v>6506</v>
      </c>
    </row>
    <row r="4042">
      <c r="A4042" s="9" t="s">
        <v>16066</v>
      </c>
      <c r="B4042" s="9" t="s">
        <v>16067</v>
      </c>
      <c r="G4042" s="9" t="s">
        <v>16068</v>
      </c>
      <c r="O4042" s="10">
        <f>IFERROR(__xludf.DUMMYFUNCTION("VALUE(REGEXEXTRACT(A4042, ""\d+""))"),6507.0)</f>
        <v>6507</v>
      </c>
    </row>
    <row r="4043">
      <c r="A4043" s="9" t="s">
        <v>16069</v>
      </c>
      <c r="B4043" s="9" t="s">
        <v>16070</v>
      </c>
      <c r="G4043" s="9" t="s">
        <v>16071</v>
      </c>
      <c r="O4043" s="10">
        <f>IFERROR(__xludf.DUMMYFUNCTION("VALUE(REGEXEXTRACT(A4043, ""\d+""))"),6508.0)</f>
        <v>6508</v>
      </c>
    </row>
    <row r="4044">
      <c r="A4044" s="9" t="s">
        <v>16072</v>
      </c>
      <c r="B4044" s="9" t="s">
        <v>16073</v>
      </c>
      <c r="G4044" s="9" t="s">
        <v>16073</v>
      </c>
      <c r="O4044" s="10">
        <f>IFERROR(__xludf.DUMMYFUNCTION("VALUE(REGEXEXTRACT(A4044, ""\d+""))"),6509.0)</f>
        <v>6509</v>
      </c>
    </row>
    <row r="4045">
      <c r="A4045" s="9" t="s">
        <v>16074</v>
      </c>
      <c r="B4045" s="9" t="s">
        <v>16075</v>
      </c>
      <c r="G4045" s="9" t="s">
        <v>15499</v>
      </c>
      <c r="O4045" s="10">
        <f>IFERROR(__xludf.DUMMYFUNCTION("VALUE(REGEXEXTRACT(A4045, ""\d+""))"),6510.0)</f>
        <v>6510</v>
      </c>
    </row>
    <row r="4046">
      <c r="A4046" s="9" t="s">
        <v>16076</v>
      </c>
      <c r="B4046" s="9" t="s">
        <v>16077</v>
      </c>
      <c r="G4046" s="9" t="s">
        <v>16078</v>
      </c>
      <c r="O4046" s="10">
        <f>IFERROR(__xludf.DUMMYFUNCTION("VALUE(REGEXEXTRACT(A4046, ""\d+""))"),6511.0)</f>
        <v>6511</v>
      </c>
    </row>
    <row r="4047">
      <c r="A4047" s="9" t="s">
        <v>16079</v>
      </c>
      <c r="B4047" s="9" t="s">
        <v>16080</v>
      </c>
      <c r="G4047" s="9" t="s">
        <v>16081</v>
      </c>
      <c r="O4047" s="10">
        <f>IFERROR(__xludf.DUMMYFUNCTION("VALUE(REGEXEXTRACT(A4047, ""\d+""))"),6513.0)</f>
        <v>6513</v>
      </c>
    </row>
    <row r="4048">
      <c r="A4048" s="9" t="s">
        <v>16082</v>
      </c>
      <c r="B4048" s="9" t="s">
        <v>16083</v>
      </c>
      <c r="O4048" s="10">
        <f>IFERROR(__xludf.DUMMYFUNCTION("VALUE(REGEXEXTRACT(A4048, ""\d+""))"),6514.0)</f>
        <v>6514</v>
      </c>
    </row>
    <row r="4049">
      <c r="A4049" s="9" t="s">
        <v>16084</v>
      </c>
      <c r="B4049" s="9" t="s">
        <v>16085</v>
      </c>
      <c r="O4049" s="10">
        <f>IFERROR(__xludf.DUMMYFUNCTION("VALUE(REGEXEXTRACT(A4049, ""\d+""))"),6515.0)</f>
        <v>6515</v>
      </c>
    </row>
    <row r="4050">
      <c r="A4050" s="9" t="s">
        <v>16086</v>
      </c>
      <c r="B4050" s="9" t="s">
        <v>16087</v>
      </c>
      <c r="G4050" s="9" t="s">
        <v>16088</v>
      </c>
      <c r="O4050" s="10">
        <f>IFERROR(__xludf.DUMMYFUNCTION("VALUE(REGEXEXTRACT(A4050, ""\d+""))"),6516.0)</f>
        <v>6516</v>
      </c>
    </row>
    <row r="4051">
      <c r="A4051" s="9" t="s">
        <v>16089</v>
      </c>
      <c r="B4051" s="9" t="s">
        <v>16090</v>
      </c>
      <c r="G4051" s="9" t="s">
        <v>16091</v>
      </c>
      <c r="O4051" s="10">
        <f>IFERROR(__xludf.DUMMYFUNCTION("VALUE(REGEXEXTRACT(A4051, ""\d+""))"),6517.0)</f>
        <v>6517</v>
      </c>
    </row>
    <row r="4052">
      <c r="A4052" s="9" t="s">
        <v>16092</v>
      </c>
      <c r="B4052" s="9" t="s">
        <v>16093</v>
      </c>
      <c r="G4052" s="9" t="s">
        <v>16093</v>
      </c>
      <c r="O4052" s="10">
        <f>IFERROR(__xludf.DUMMYFUNCTION("VALUE(REGEXEXTRACT(A4052, ""\d+""))"),6518.0)</f>
        <v>6518</v>
      </c>
    </row>
    <row r="4053">
      <c r="A4053" s="9" t="s">
        <v>16094</v>
      </c>
      <c r="B4053" s="9" t="s">
        <v>16095</v>
      </c>
      <c r="G4053" s="9" t="s">
        <v>16096</v>
      </c>
      <c r="O4053" s="10">
        <f>IFERROR(__xludf.DUMMYFUNCTION("VALUE(REGEXEXTRACT(A4053, ""\d+""))"),6519.0)</f>
        <v>6519</v>
      </c>
    </row>
    <row r="4054">
      <c r="A4054" s="9" t="s">
        <v>16097</v>
      </c>
      <c r="B4054" s="9" t="s">
        <v>16098</v>
      </c>
      <c r="G4054" s="9" t="s">
        <v>16099</v>
      </c>
      <c r="O4054" s="10">
        <f>IFERROR(__xludf.DUMMYFUNCTION("VALUE(REGEXEXTRACT(A4054, ""\d+""))"),6520.0)</f>
        <v>6520</v>
      </c>
    </row>
    <row r="4055">
      <c r="A4055" s="9" t="s">
        <v>16100</v>
      </c>
      <c r="B4055" s="9" t="s">
        <v>16101</v>
      </c>
      <c r="G4055" s="9" t="s">
        <v>16101</v>
      </c>
      <c r="O4055" s="10">
        <f>IFERROR(__xludf.DUMMYFUNCTION("VALUE(REGEXEXTRACT(A4055, ""\d+""))"),6612.0)</f>
        <v>6612</v>
      </c>
    </row>
    <row r="4056">
      <c r="A4056" s="9" t="s">
        <v>16102</v>
      </c>
      <c r="B4056" s="9" t="s">
        <v>16103</v>
      </c>
      <c r="G4056" s="9" t="s">
        <v>16103</v>
      </c>
      <c r="O4056" s="10">
        <f>IFERROR(__xludf.DUMMYFUNCTION("VALUE(REGEXEXTRACT(A4056, ""\d+""))"),6613.0)</f>
        <v>6613</v>
      </c>
    </row>
    <row r="4057">
      <c r="A4057" s="9" t="s">
        <v>16104</v>
      </c>
      <c r="B4057" s="9" t="s">
        <v>16105</v>
      </c>
      <c r="G4057" s="9" t="s">
        <v>16106</v>
      </c>
      <c r="O4057" s="10">
        <f>IFERROR(__xludf.DUMMYFUNCTION("VALUE(REGEXEXTRACT(A4057, ""\d+""))"),6614.0)</f>
        <v>6614</v>
      </c>
    </row>
    <row r="4058">
      <c r="A4058" s="9" t="s">
        <v>16107</v>
      </c>
      <c r="B4058" s="9" t="s">
        <v>16108</v>
      </c>
      <c r="G4058" s="9" t="s">
        <v>16109</v>
      </c>
      <c r="O4058" s="10">
        <f>IFERROR(__xludf.DUMMYFUNCTION("VALUE(REGEXEXTRACT(A4058, ""\d+""))"),6615.0)</f>
        <v>6615</v>
      </c>
    </row>
    <row r="4059">
      <c r="A4059" s="9" t="s">
        <v>16110</v>
      </c>
      <c r="B4059" s="9" t="s">
        <v>16111</v>
      </c>
      <c r="G4059" s="9" t="s">
        <v>16112</v>
      </c>
      <c r="O4059" s="10">
        <f>IFERROR(__xludf.DUMMYFUNCTION("VALUE(REGEXEXTRACT(A4059, ""\d+""))"),6616.0)</f>
        <v>6616</v>
      </c>
    </row>
    <row r="4060">
      <c r="A4060" s="9" t="s">
        <v>16113</v>
      </c>
      <c r="B4060" s="9" t="s">
        <v>16114</v>
      </c>
      <c r="G4060" s="9" t="s">
        <v>16114</v>
      </c>
      <c r="O4060" s="10">
        <f>IFERROR(__xludf.DUMMYFUNCTION("VALUE(REGEXEXTRACT(A4060, ""\d+""))"),6617.0)</f>
        <v>6617</v>
      </c>
    </row>
    <row r="4061">
      <c r="A4061" s="9" t="s">
        <v>16115</v>
      </c>
      <c r="B4061" s="9" t="s">
        <v>16116</v>
      </c>
      <c r="G4061" s="9" t="s">
        <v>16116</v>
      </c>
      <c r="O4061" s="10">
        <f>IFERROR(__xludf.DUMMYFUNCTION("VALUE(REGEXEXTRACT(A4061, ""\d+""))"),6618.0)</f>
        <v>6618</v>
      </c>
    </row>
    <row r="4062">
      <c r="A4062" s="9" t="s">
        <v>16117</v>
      </c>
      <c r="B4062" s="9" t="s">
        <v>16118</v>
      </c>
      <c r="G4062" s="9" t="s">
        <v>16118</v>
      </c>
      <c r="O4062" s="10">
        <f>IFERROR(__xludf.DUMMYFUNCTION("VALUE(REGEXEXTRACT(A4062, ""\d+""))"),6619.0)</f>
        <v>6619</v>
      </c>
    </row>
    <row r="4063">
      <c r="A4063" s="9" t="s">
        <v>16119</v>
      </c>
      <c r="B4063" s="9" t="s">
        <v>16120</v>
      </c>
      <c r="G4063" s="9" t="s">
        <v>16121</v>
      </c>
      <c r="O4063" s="10">
        <f>IFERROR(__xludf.DUMMYFUNCTION("VALUE(REGEXEXTRACT(A4063, ""\d+""))"),6620.0)</f>
        <v>6620</v>
      </c>
    </row>
    <row r="4064">
      <c r="A4064" s="9" t="s">
        <v>16122</v>
      </c>
      <c r="B4064" s="9" t="s">
        <v>16123</v>
      </c>
      <c r="G4064" s="9" t="s">
        <v>16124</v>
      </c>
      <c r="O4064" s="10">
        <f>IFERROR(__xludf.DUMMYFUNCTION("VALUE(REGEXEXTRACT(A4064, ""\d+""))"),6624.0)</f>
        <v>6624</v>
      </c>
    </row>
    <row r="4065">
      <c r="A4065" s="9" t="s">
        <v>16125</v>
      </c>
      <c r="B4065" s="9" t="s">
        <v>16126</v>
      </c>
      <c r="G4065" s="9" t="s">
        <v>16127</v>
      </c>
      <c r="O4065" s="10">
        <f>IFERROR(__xludf.DUMMYFUNCTION("VALUE(REGEXEXTRACT(A4065, ""\d+""))"),6625.0)</f>
        <v>6625</v>
      </c>
    </row>
    <row r="4066">
      <c r="A4066" s="9" t="s">
        <v>16128</v>
      </c>
      <c r="B4066" s="9" t="s">
        <v>16129</v>
      </c>
      <c r="G4066" s="9" t="s">
        <v>16130</v>
      </c>
      <c r="O4066" s="10">
        <f>IFERROR(__xludf.DUMMYFUNCTION("VALUE(REGEXEXTRACT(A4066, ""\d+""))"),6626.0)</f>
        <v>6626</v>
      </c>
    </row>
    <row r="4067">
      <c r="A4067" s="9" t="s">
        <v>16131</v>
      </c>
      <c r="B4067" s="9" t="s">
        <v>16132</v>
      </c>
      <c r="G4067" s="9" t="s">
        <v>16133</v>
      </c>
      <c r="O4067" s="10">
        <f>IFERROR(__xludf.DUMMYFUNCTION("VALUE(REGEXEXTRACT(A4067, ""\d+""))"),6627.0)</f>
        <v>6627</v>
      </c>
    </row>
    <row r="4068">
      <c r="A4068" s="9" t="s">
        <v>16134</v>
      </c>
      <c r="B4068" s="9" t="s">
        <v>16135</v>
      </c>
      <c r="G4068" s="9" t="s">
        <v>16136</v>
      </c>
      <c r="O4068" s="10">
        <f>IFERROR(__xludf.DUMMYFUNCTION("VALUE(REGEXEXTRACT(A4068, ""\d+""))"),6630.0)</f>
        <v>6630</v>
      </c>
    </row>
    <row r="4069">
      <c r="A4069" s="9" t="s">
        <v>16137</v>
      </c>
      <c r="B4069" s="9" t="s">
        <v>16138</v>
      </c>
      <c r="G4069" s="9" t="s">
        <v>16138</v>
      </c>
      <c r="O4069" s="10">
        <f>IFERROR(__xludf.DUMMYFUNCTION("VALUE(REGEXEXTRACT(A4069, ""\d+""))"),6633.0)</f>
        <v>6633</v>
      </c>
    </row>
    <row r="4070">
      <c r="A4070" s="9" t="s">
        <v>16139</v>
      </c>
      <c r="B4070" s="9" t="s">
        <v>16140</v>
      </c>
      <c r="G4070" s="9" t="s">
        <v>16141</v>
      </c>
      <c r="O4070" s="10">
        <f>IFERROR(__xludf.DUMMYFUNCTION("VALUE(REGEXEXTRACT(A4070, ""\d+""))"),6638.0)</f>
        <v>6638</v>
      </c>
    </row>
    <row r="4071">
      <c r="A4071" s="9" t="s">
        <v>16142</v>
      </c>
      <c r="B4071" s="9" t="s">
        <v>16143</v>
      </c>
      <c r="G4071" s="9" t="s">
        <v>16144</v>
      </c>
      <c r="O4071" s="10">
        <f>IFERROR(__xludf.DUMMYFUNCTION("VALUE(REGEXEXTRACT(A4071, ""\d+""))"),6639.0)</f>
        <v>6639</v>
      </c>
    </row>
    <row r="4072">
      <c r="A4072" s="9" t="s">
        <v>16145</v>
      </c>
      <c r="B4072" s="9" t="s">
        <v>16146</v>
      </c>
      <c r="G4072" s="9" t="s">
        <v>16144</v>
      </c>
      <c r="O4072" s="10">
        <f>IFERROR(__xludf.DUMMYFUNCTION("VALUE(REGEXEXTRACT(A4072, ""\d+""))"),6640.0)</f>
        <v>6640</v>
      </c>
    </row>
    <row r="4073">
      <c r="A4073" s="9" t="s">
        <v>16147</v>
      </c>
      <c r="B4073" s="9" t="s">
        <v>16148</v>
      </c>
      <c r="G4073" s="9" t="s">
        <v>16149</v>
      </c>
      <c r="O4073" s="10">
        <f>IFERROR(__xludf.DUMMYFUNCTION("VALUE(REGEXEXTRACT(A4073, ""\d+""))"),6641.0)</f>
        <v>6641</v>
      </c>
    </row>
    <row r="4074">
      <c r="A4074" s="9" t="s">
        <v>16150</v>
      </c>
      <c r="B4074" s="9" t="s">
        <v>16151</v>
      </c>
      <c r="G4074" s="9" t="s">
        <v>16152</v>
      </c>
      <c r="O4074" s="10">
        <f>IFERROR(__xludf.DUMMYFUNCTION("VALUE(REGEXEXTRACT(A4074, ""\d+""))"),6642.0)</f>
        <v>6642</v>
      </c>
    </row>
    <row r="4075">
      <c r="A4075" s="9" t="s">
        <v>16153</v>
      </c>
      <c r="B4075" s="9" t="s">
        <v>16154</v>
      </c>
      <c r="G4075" s="9" t="s">
        <v>16155</v>
      </c>
      <c r="O4075" s="10">
        <f>IFERROR(__xludf.DUMMYFUNCTION("VALUE(REGEXEXTRACT(A4075, ""\d+""))"),6643.0)</f>
        <v>6643</v>
      </c>
    </row>
    <row r="4076">
      <c r="A4076" s="9" t="s">
        <v>16156</v>
      </c>
      <c r="B4076" s="9" t="s">
        <v>16157</v>
      </c>
      <c r="G4076" s="9" t="s">
        <v>16158</v>
      </c>
      <c r="O4076" s="10">
        <f>IFERROR(__xludf.DUMMYFUNCTION("VALUE(REGEXEXTRACT(A4076, ""\d+""))"),6644.0)</f>
        <v>6644</v>
      </c>
    </row>
    <row r="4077">
      <c r="A4077" s="9" t="s">
        <v>16159</v>
      </c>
      <c r="B4077" s="9" t="s">
        <v>16160</v>
      </c>
      <c r="G4077" s="9" t="s">
        <v>16161</v>
      </c>
      <c r="O4077" s="10">
        <f>IFERROR(__xludf.DUMMYFUNCTION("VALUE(REGEXEXTRACT(A4077, ""\d+""))"),6645.0)</f>
        <v>6645</v>
      </c>
    </row>
    <row r="4078">
      <c r="A4078" s="9" t="s">
        <v>16162</v>
      </c>
      <c r="B4078" s="9" t="s">
        <v>16163</v>
      </c>
      <c r="G4078" s="9" t="s">
        <v>16164</v>
      </c>
      <c r="O4078" s="10">
        <f>IFERROR(__xludf.DUMMYFUNCTION("VALUE(REGEXEXTRACT(A4078, ""\d+""))"),6646.0)</f>
        <v>6646</v>
      </c>
    </row>
    <row r="4079">
      <c r="A4079" s="9" t="s">
        <v>16165</v>
      </c>
      <c r="B4079" s="9" t="s">
        <v>16163</v>
      </c>
      <c r="G4079" s="9" t="s">
        <v>16164</v>
      </c>
      <c r="O4079" s="10">
        <f>IFERROR(__xludf.DUMMYFUNCTION("VALUE(REGEXEXTRACT(A4079, ""\d+""))"),6647.0)</f>
        <v>6647</v>
      </c>
    </row>
    <row r="4080">
      <c r="A4080" s="9" t="s">
        <v>16166</v>
      </c>
      <c r="B4080" s="9" t="s">
        <v>16167</v>
      </c>
      <c r="G4080" s="9" t="s">
        <v>16168</v>
      </c>
      <c r="O4080" s="10">
        <f>IFERROR(__xludf.DUMMYFUNCTION("VALUE(REGEXEXTRACT(A4080, ""\d+""))"),6650.0)</f>
        <v>6650</v>
      </c>
    </row>
    <row r="4081">
      <c r="A4081" s="9" t="s">
        <v>16169</v>
      </c>
      <c r="B4081" s="9" t="s">
        <v>16170</v>
      </c>
      <c r="G4081" s="9" t="s">
        <v>16171</v>
      </c>
      <c r="O4081" s="10">
        <f>IFERROR(__xludf.DUMMYFUNCTION("VALUE(REGEXEXTRACT(A4081, ""\d+""))"),6651.0)</f>
        <v>6651</v>
      </c>
    </row>
    <row r="4082">
      <c r="A4082" s="9" t="s">
        <v>16172</v>
      </c>
      <c r="B4082" s="9" t="s">
        <v>16173</v>
      </c>
      <c r="G4082" s="9" t="s">
        <v>16174</v>
      </c>
      <c r="O4082" s="10">
        <f>IFERROR(__xludf.DUMMYFUNCTION("VALUE(REGEXEXTRACT(A4082, ""\d+""))"),6652.0)</f>
        <v>6652</v>
      </c>
    </row>
    <row r="4083">
      <c r="A4083" s="9" t="s">
        <v>16175</v>
      </c>
      <c r="B4083" s="9" t="s">
        <v>16176</v>
      </c>
      <c r="G4083" s="9" t="s">
        <v>16177</v>
      </c>
      <c r="O4083" s="10">
        <f>IFERROR(__xludf.DUMMYFUNCTION("VALUE(REGEXEXTRACT(A4083, ""\d+""))"),6653.0)</f>
        <v>6653</v>
      </c>
    </row>
    <row r="4084">
      <c r="A4084" s="9" t="s">
        <v>16178</v>
      </c>
      <c r="B4084" s="9" t="s">
        <v>16179</v>
      </c>
      <c r="G4084" s="9" t="s">
        <v>16180</v>
      </c>
      <c r="O4084" s="10">
        <f>IFERROR(__xludf.DUMMYFUNCTION("VALUE(REGEXEXTRACT(A4084, ""\d+""))"),6654.0)</f>
        <v>6654</v>
      </c>
    </row>
    <row r="4085">
      <c r="A4085" s="9" t="s">
        <v>16181</v>
      </c>
      <c r="B4085" s="9" t="s">
        <v>16176</v>
      </c>
      <c r="G4085" s="9" t="s">
        <v>16177</v>
      </c>
      <c r="O4085" s="10">
        <f>IFERROR(__xludf.DUMMYFUNCTION("VALUE(REGEXEXTRACT(A4085, ""\d+""))"),6655.0)</f>
        <v>6655</v>
      </c>
    </row>
    <row r="4086">
      <c r="A4086" s="9" t="s">
        <v>16182</v>
      </c>
      <c r="B4086" s="9" t="s">
        <v>16183</v>
      </c>
      <c r="G4086" s="9" t="s">
        <v>16184</v>
      </c>
      <c r="O4086" s="10">
        <f>IFERROR(__xludf.DUMMYFUNCTION("VALUE(REGEXEXTRACT(A4086, ""\d+""))"),6656.0)</f>
        <v>6656</v>
      </c>
    </row>
    <row r="4087">
      <c r="A4087" s="9" t="s">
        <v>16185</v>
      </c>
      <c r="B4087" s="9" t="s">
        <v>16186</v>
      </c>
      <c r="G4087" s="9" t="s">
        <v>16187</v>
      </c>
      <c r="O4087" s="10">
        <f>IFERROR(__xludf.DUMMYFUNCTION("VALUE(REGEXEXTRACT(A4087, ""\d+""))"),6657.0)</f>
        <v>6657</v>
      </c>
    </row>
    <row r="4088">
      <c r="A4088" s="9" t="s">
        <v>16188</v>
      </c>
      <c r="B4088" s="9" t="s">
        <v>16186</v>
      </c>
      <c r="G4088" s="9" t="s">
        <v>16187</v>
      </c>
      <c r="O4088" s="10">
        <f>IFERROR(__xludf.DUMMYFUNCTION("VALUE(REGEXEXTRACT(A4088, ""\d+""))"),6658.0)</f>
        <v>6658</v>
      </c>
    </row>
    <row r="4089">
      <c r="A4089" s="9" t="s">
        <v>16189</v>
      </c>
      <c r="B4089" s="9" t="s">
        <v>16190</v>
      </c>
      <c r="G4089" s="9" t="s">
        <v>16191</v>
      </c>
      <c r="O4089" s="10">
        <f>IFERROR(__xludf.DUMMYFUNCTION("VALUE(REGEXEXTRACT(A4089, ""\d+""))"),6659.0)</f>
        <v>6659</v>
      </c>
    </row>
    <row r="4090">
      <c r="A4090" s="9" t="s">
        <v>16192</v>
      </c>
      <c r="B4090" s="9" t="s">
        <v>16193</v>
      </c>
      <c r="G4090" s="9" t="s">
        <v>16194</v>
      </c>
      <c r="O4090" s="10">
        <f>IFERROR(__xludf.DUMMYFUNCTION("VALUE(REGEXEXTRACT(A4090, ""\d+""))"),6660.0)</f>
        <v>6660</v>
      </c>
    </row>
    <row r="4091">
      <c r="A4091" s="9" t="s">
        <v>16195</v>
      </c>
      <c r="B4091" s="9" t="s">
        <v>16196</v>
      </c>
      <c r="G4091" s="9" t="s">
        <v>16197</v>
      </c>
      <c r="O4091" s="10">
        <f>IFERROR(__xludf.DUMMYFUNCTION("VALUE(REGEXEXTRACT(A4091, ""\d+""))"),6661.0)</f>
        <v>6661</v>
      </c>
    </row>
    <row r="4092">
      <c r="A4092" s="9" t="s">
        <v>16198</v>
      </c>
      <c r="B4092" s="9" t="s">
        <v>16199</v>
      </c>
      <c r="G4092" s="9" t="s">
        <v>16200</v>
      </c>
      <c r="O4092" s="10">
        <f>IFERROR(__xludf.DUMMYFUNCTION("VALUE(REGEXEXTRACT(A4092, ""\d+""))"),6662.0)</f>
        <v>6662</v>
      </c>
    </row>
    <row r="4093">
      <c r="A4093" s="9" t="s">
        <v>16201</v>
      </c>
      <c r="B4093" s="9" t="s">
        <v>16202</v>
      </c>
      <c r="G4093" s="9" t="s">
        <v>16203</v>
      </c>
      <c r="O4093" s="10">
        <f>IFERROR(__xludf.DUMMYFUNCTION("VALUE(REGEXEXTRACT(A4093, ""\d+""))"),6664.0)</f>
        <v>6664</v>
      </c>
    </row>
    <row r="4094">
      <c r="A4094" s="9" t="s">
        <v>16204</v>
      </c>
      <c r="B4094" s="9" t="s">
        <v>16205</v>
      </c>
      <c r="G4094" s="9" t="s">
        <v>16206</v>
      </c>
      <c r="O4094" s="10">
        <f>IFERROR(__xludf.DUMMYFUNCTION("VALUE(REGEXEXTRACT(A4094, ""\d+""))"),6665.0)</f>
        <v>6665</v>
      </c>
    </row>
    <row r="4095">
      <c r="A4095" s="9" t="s">
        <v>16207</v>
      </c>
      <c r="B4095" s="9" t="s">
        <v>16208</v>
      </c>
      <c r="G4095" s="9" t="s">
        <v>16209</v>
      </c>
      <c r="O4095" s="10">
        <f>IFERROR(__xludf.DUMMYFUNCTION("VALUE(REGEXEXTRACT(A4095, ""\d+""))"),6666.0)</f>
        <v>6666</v>
      </c>
    </row>
    <row r="4096">
      <c r="A4096" s="9" t="s">
        <v>16210</v>
      </c>
      <c r="B4096" s="9" t="s">
        <v>16211</v>
      </c>
      <c r="G4096" s="9" t="s">
        <v>16212</v>
      </c>
      <c r="O4096" s="10">
        <f>IFERROR(__xludf.DUMMYFUNCTION("VALUE(REGEXEXTRACT(A4096, ""\d+""))"),6667.0)</f>
        <v>6667</v>
      </c>
    </row>
    <row r="4097">
      <c r="A4097" s="9" t="s">
        <v>16213</v>
      </c>
      <c r="B4097" s="9" t="s">
        <v>16214</v>
      </c>
      <c r="G4097" s="9" t="s">
        <v>16215</v>
      </c>
      <c r="O4097" s="10">
        <f>IFERROR(__xludf.DUMMYFUNCTION("VALUE(REGEXEXTRACT(A4097, ""\d+""))"),6668.0)</f>
        <v>6668</v>
      </c>
    </row>
    <row r="4098">
      <c r="A4098" s="9" t="s">
        <v>16216</v>
      </c>
      <c r="B4098" s="9" t="s">
        <v>16217</v>
      </c>
      <c r="G4098" s="9" t="s">
        <v>16218</v>
      </c>
      <c r="O4098" s="10">
        <f>IFERROR(__xludf.DUMMYFUNCTION("VALUE(REGEXEXTRACT(A4098, ""\d+""))"),6669.0)</f>
        <v>6669</v>
      </c>
    </row>
    <row r="4099">
      <c r="A4099" s="9" t="s">
        <v>16219</v>
      </c>
      <c r="B4099" s="9" t="s">
        <v>16220</v>
      </c>
      <c r="G4099" s="9" t="s">
        <v>16221</v>
      </c>
      <c r="O4099" s="10">
        <f>IFERROR(__xludf.DUMMYFUNCTION("VALUE(REGEXEXTRACT(A4099, ""\d+""))"),6670.0)</f>
        <v>6670</v>
      </c>
    </row>
    <row r="4100">
      <c r="A4100" s="9" t="s">
        <v>16222</v>
      </c>
      <c r="B4100" s="9" t="s">
        <v>16223</v>
      </c>
      <c r="G4100" s="9" t="s">
        <v>16224</v>
      </c>
      <c r="O4100" s="10">
        <f>IFERROR(__xludf.DUMMYFUNCTION("VALUE(REGEXEXTRACT(A4100, ""\d+""))"),6671.0)</f>
        <v>6671</v>
      </c>
    </row>
    <row r="4101">
      <c r="A4101" s="9" t="s">
        <v>16225</v>
      </c>
      <c r="B4101" s="9" t="s">
        <v>16226</v>
      </c>
      <c r="G4101" s="9" t="s">
        <v>16227</v>
      </c>
      <c r="O4101" s="10">
        <f>IFERROR(__xludf.DUMMYFUNCTION("VALUE(REGEXEXTRACT(A4101, ""\d+""))"),6672.0)</f>
        <v>6672</v>
      </c>
    </row>
    <row r="4102">
      <c r="A4102" s="9" t="s">
        <v>16228</v>
      </c>
      <c r="B4102" s="9" t="s">
        <v>16229</v>
      </c>
      <c r="G4102" s="9" t="s">
        <v>16230</v>
      </c>
      <c r="O4102" s="10">
        <f>IFERROR(__xludf.DUMMYFUNCTION("VALUE(REGEXEXTRACT(A4102, ""\d+""))"),6673.0)</f>
        <v>6673</v>
      </c>
    </row>
    <row r="4103">
      <c r="A4103" s="9" t="s">
        <v>16231</v>
      </c>
      <c r="B4103" s="9" t="s">
        <v>16232</v>
      </c>
      <c r="G4103" s="9" t="s">
        <v>16233</v>
      </c>
      <c r="O4103" s="10">
        <f>IFERROR(__xludf.DUMMYFUNCTION("VALUE(REGEXEXTRACT(A4103, ""\d+""))"),6674.0)</f>
        <v>6674</v>
      </c>
    </row>
    <row r="4104">
      <c r="A4104" s="9" t="s">
        <v>16234</v>
      </c>
      <c r="B4104" s="9" t="s">
        <v>16235</v>
      </c>
      <c r="G4104" s="9" t="s">
        <v>16236</v>
      </c>
      <c r="O4104" s="10">
        <f>IFERROR(__xludf.DUMMYFUNCTION("VALUE(REGEXEXTRACT(A4104, ""\d+""))"),6675.0)</f>
        <v>6675</v>
      </c>
    </row>
    <row r="4105">
      <c r="A4105" s="9" t="s">
        <v>16237</v>
      </c>
      <c r="B4105" s="9" t="s">
        <v>16238</v>
      </c>
      <c r="G4105" s="9" t="s">
        <v>16239</v>
      </c>
      <c r="O4105" s="10">
        <f>IFERROR(__xludf.DUMMYFUNCTION("VALUE(REGEXEXTRACT(A4105, ""\d+""))"),6678.0)</f>
        <v>6678</v>
      </c>
    </row>
    <row r="4106">
      <c r="A4106" s="9" t="s">
        <v>16240</v>
      </c>
      <c r="B4106" s="9" t="s">
        <v>16241</v>
      </c>
      <c r="G4106" s="9" t="s">
        <v>16241</v>
      </c>
      <c r="O4106" s="10">
        <f>IFERROR(__xludf.DUMMYFUNCTION("VALUE(REGEXEXTRACT(A4106, ""\d+""))"),6679.0)</f>
        <v>6679</v>
      </c>
    </row>
    <row r="4107">
      <c r="A4107" s="9" t="s">
        <v>16242</v>
      </c>
      <c r="B4107" s="9" t="s">
        <v>16243</v>
      </c>
      <c r="G4107" s="9" t="s">
        <v>16244</v>
      </c>
      <c r="O4107" s="10">
        <f>IFERROR(__xludf.DUMMYFUNCTION("VALUE(REGEXEXTRACT(A4107, ""\d+""))"),6680.0)</f>
        <v>6680</v>
      </c>
    </row>
    <row r="4108">
      <c r="A4108" s="9" t="s">
        <v>16245</v>
      </c>
      <c r="B4108" s="9" t="s">
        <v>16246</v>
      </c>
      <c r="G4108" s="9" t="s">
        <v>16246</v>
      </c>
      <c r="O4108" s="10">
        <f>IFERROR(__xludf.DUMMYFUNCTION("VALUE(REGEXEXTRACT(A4108, ""\d+""))"),6681.0)</f>
        <v>6681</v>
      </c>
    </row>
    <row r="4109">
      <c r="A4109" s="9" t="s">
        <v>16247</v>
      </c>
      <c r="B4109" s="9" t="s">
        <v>16248</v>
      </c>
      <c r="G4109" s="9" t="s">
        <v>16248</v>
      </c>
      <c r="O4109" s="10">
        <f>IFERROR(__xludf.DUMMYFUNCTION("VALUE(REGEXEXTRACT(A4109, ""\d+""))"),6682.0)</f>
        <v>6682</v>
      </c>
    </row>
    <row r="4110">
      <c r="A4110" s="9" t="s">
        <v>16249</v>
      </c>
      <c r="B4110" s="9" t="s">
        <v>16250</v>
      </c>
      <c r="G4110" s="9" t="s">
        <v>16251</v>
      </c>
      <c r="O4110" s="10">
        <f>IFERROR(__xludf.DUMMYFUNCTION("VALUE(REGEXEXTRACT(A4110, ""\d+""))"),6683.0)</f>
        <v>6683</v>
      </c>
    </row>
    <row r="4111">
      <c r="A4111" s="9" t="s">
        <v>16252</v>
      </c>
      <c r="B4111" s="9" t="s">
        <v>16253</v>
      </c>
      <c r="G4111" s="9" t="s">
        <v>16254</v>
      </c>
      <c r="O4111" s="10">
        <f>IFERROR(__xludf.DUMMYFUNCTION("VALUE(REGEXEXTRACT(A4111, ""\d+""))"),6684.0)</f>
        <v>6684</v>
      </c>
    </row>
    <row r="4112">
      <c r="A4112" s="9" t="s">
        <v>16255</v>
      </c>
      <c r="B4112" s="9" t="s">
        <v>16256</v>
      </c>
      <c r="G4112" s="9" t="s">
        <v>16257</v>
      </c>
      <c r="O4112" s="10">
        <f>IFERROR(__xludf.DUMMYFUNCTION("VALUE(REGEXEXTRACT(A4112, ""\d+""))"),6685.0)</f>
        <v>6685</v>
      </c>
    </row>
    <row r="4113">
      <c r="A4113" s="9" t="s">
        <v>16258</v>
      </c>
      <c r="B4113" s="9" t="s">
        <v>16259</v>
      </c>
      <c r="G4113" s="9" t="s">
        <v>16259</v>
      </c>
      <c r="O4113" s="10">
        <f>IFERROR(__xludf.DUMMYFUNCTION("VALUE(REGEXEXTRACT(A4113, ""\d+""))"),6686.0)</f>
        <v>6686</v>
      </c>
    </row>
    <row r="4114">
      <c r="A4114" s="9" t="s">
        <v>16260</v>
      </c>
      <c r="B4114" s="9" t="s">
        <v>16261</v>
      </c>
      <c r="G4114" s="9" t="s">
        <v>16262</v>
      </c>
      <c r="O4114" s="10">
        <f>IFERROR(__xludf.DUMMYFUNCTION("VALUE(REGEXEXTRACT(A4114, ""\d+""))"),6687.0)</f>
        <v>6687</v>
      </c>
    </row>
    <row r="4115">
      <c r="A4115" s="9" t="s">
        <v>16263</v>
      </c>
      <c r="B4115" s="9" t="s">
        <v>16264</v>
      </c>
      <c r="G4115" s="9" t="s">
        <v>16264</v>
      </c>
      <c r="O4115" s="10">
        <f>IFERROR(__xludf.DUMMYFUNCTION("VALUE(REGEXEXTRACT(A4115, ""\d+""))"),6688.0)</f>
        <v>6688</v>
      </c>
    </row>
    <row r="4116">
      <c r="A4116" s="9" t="s">
        <v>16265</v>
      </c>
      <c r="B4116" s="9" t="s">
        <v>16266</v>
      </c>
      <c r="G4116" s="9" t="s">
        <v>16267</v>
      </c>
      <c r="O4116" s="10">
        <f>IFERROR(__xludf.DUMMYFUNCTION("VALUE(REGEXEXTRACT(A4116, ""\d+""))"),6690.0)</f>
        <v>6690</v>
      </c>
    </row>
    <row r="4117">
      <c r="A4117" s="9" t="s">
        <v>16268</v>
      </c>
      <c r="B4117" s="9" t="s">
        <v>16269</v>
      </c>
      <c r="G4117" s="9" t="s">
        <v>16270</v>
      </c>
      <c r="O4117" s="10">
        <f>IFERROR(__xludf.DUMMYFUNCTION("VALUE(REGEXEXTRACT(A4117, ""\d+""))"),6691.0)</f>
        <v>6691</v>
      </c>
    </row>
    <row r="4118">
      <c r="A4118" s="9" t="s">
        <v>16271</v>
      </c>
      <c r="B4118" s="9" t="s">
        <v>16272</v>
      </c>
      <c r="G4118" s="9" t="s">
        <v>16272</v>
      </c>
      <c r="O4118" s="10">
        <f>IFERROR(__xludf.DUMMYFUNCTION("VALUE(REGEXEXTRACT(A4118, ""\d+""))"),6692.0)</f>
        <v>6692</v>
      </c>
    </row>
    <row r="4119">
      <c r="A4119" s="9" t="s">
        <v>16273</v>
      </c>
      <c r="B4119" s="9" t="s">
        <v>16274</v>
      </c>
      <c r="G4119" s="9" t="s">
        <v>16274</v>
      </c>
      <c r="O4119" s="10">
        <f>IFERROR(__xludf.DUMMYFUNCTION("VALUE(REGEXEXTRACT(A4119, ""\d+""))"),6693.0)</f>
        <v>6693</v>
      </c>
    </row>
    <row r="4120">
      <c r="A4120" s="9" t="s">
        <v>16275</v>
      </c>
      <c r="B4120" s="9" t="s">
        <v>16276</v>
      </c>
      <c r="G4120" s="9" t="s">
        <v>16277</v>
      </c>
      <c r="O4120" s="10">
        <f>IFERROR(__xludf.DUMMYFUNCTION("VALUE(REGEXEXTRACT(A4120, ""\d+""))"),6694.0)</f>
        <v>6694</v>
      </c>
    </row>
    <row r="4121">
      <c r="A4121" s="9" t="s">
        <v>16278</v>
      </c>
      <c r="B4121" s="9" t="s">
        <v>16279</v>
      </c>
      <c r="G4121" s="9" t="s">
        <v>16280</v>
      </c>
      <c r="O4121" s="10">
        <f>IFERROR(__xludf.DUMMYFUNCTION("VALUE(REGEXEXTRACT(A4121, ""\d+""))"),6695.0)</f>
        <v>6695</v>
      </c>
    </row>
    <row r="4122">
      <c r="A4122" s="9" t="s">
        <v>16281</v>
      </c>
      <c r="B4122" s="9" t="s">
        <v>16282</v>
      </c>
      <c r="G4122" s="9" t="s">
        <v>16283</v>
      </c>
      <c r="O4122" s="10">
        <f>IFERROR(__xludf.DUMMYFUNCTION("VALUE(REGEXEXTRACT(A4122, ""\d+""))"),6696.0)</f>
        <v>6696</v>
      </c>
    </row>
    <row r="4123">
      <c r="A4123" s="9" t="s">
        <v>16284</v>
      </c>
      <c r="B4123" s="9" t="s">
        <v>16285</v>
      </c>
      <c r="G4123" s="9" t="s">
        <v>16286</v>
      </c>
      <c r="O4123" s="10">
        <f>IFERROR(__xludf.DUMMYFUNCTION("VALUE(REGEXEXTRACT(A4123, ""\d+""))"),6697.0)</f>
        <v>6697</v>
      </c>
    </row>
    <row r="4124">
      <c r="A4124" s="9" t="s">
        <v>16287</v>
      </c>
      <c r="B4124" s="9" t="s">
        <v>16288</v>
      </c>
      <c r="G4124" s="9" t="s">
        <v>16289</v>
      </c>
      <c r="O4124" s="10">
        <f>IFERROR(__xludf.DUMMYFUNCTION("VALUE(REGEXEXTRACT(A4124, ""\d+""))"),6699.0)</f>
        <v>6699</v>
      </c>
    </row>
    <row r="4125">
      <c r="A4125" s="9" t="s">
        <v>16290</v>
      </c>
      <c r="B4125" s="9" t="s">
        <v>16291</v>
      </c>
      <c r="G4125" s="9" t="s">
        <v>16292</v>
      </c>
      <c r="O4125" s="10">
        <f>IFERROR(__xludf.DUMMYFUNCTION("VALUE(REGEXEXTRACT(A4125, ""\d+""))"),6700.0)</f>
        <v>6700</v>
      </c>
    </row>
    <row r="4126">
      <c r="A4126" s="9" t="s">
        <v>16293</v>
      </c>
      <c r="B4126" s="9" t="s">
        <v>16294</v>
      </c>
      <c r="G4126" s="9" t="s">
        <v>16295</v>
      </c>
      <c r="O4126" s="10">
        <f>IFERROR(__xludf.DUMMYFUNCTION("VALUE(REGEXEXTRACT(A4126, ""\d+""))"),6701.0)</f>
        <v>6701</v>
      </c>
    </row>
    <row r="4127">
      <c r="A4127" s="9" t="s">
        <v>16296</v>
      </c>
      <c r="B4127" s="9" t="s">
        <v>16297</v>
      </c>
      <c r="G4127" s="9" t="s">
        <v>16298</v>
      </c>
      <c r="O4127" s="10">
        <f>IFERROR(__xludf.DUMMYFUNCTION("VALUE(REGEXEXTRACT(A4127, ""\d+""))"),6702.0)</f>
        <v>6702</v>
      </c>
    </row>
    <row r="4128">
      <c r="A4128" s="9" t="s">
        <v>16299</v>
      </c>
      <c r="B4128" s="9" t="s">
        <v>16297</v>
      </c>
      <c r="G4128" s="9" t="s">
        <v>16298</v>
      </c>
      <c r="O4128" s="10">
        <f>IFERROR(__xludf.DUMMYFUNCTION("VALUE(REGEXEXTRACT(A4128, ""\d+""))"),6703.0)</f>
        <v>6703</v>
      </c>
    </row>
    <row r="4129">
      <c r="A4129" s="9" t="s">
        <v>16300</v>
      </c>
      <c r="B4129" s="9" t="s">
        <v>16301</v>
      </c>
      <c r="G4129" s="9" t="s">
        <v>16302</v>
      </c>
      <c r="O4129" s="10">
        <f>IFERROR(__xludf.DUMMYFUNCTION("VALUE(REGEXEXTRACT(A4129, ""\d+""))"),6704.0)</f>
        <v>6704</v>
      </c>
    </row>
    <row r="4130">
      <c r="A4130" s="9" t="s">
        <v>16303</v>
      </c>
      <c r="B4130" s="9" t="s">
        <v>16304</v>
      </c>
      <c r="G4130" s="9" t="s">
        <v>16305</v>
      </c>
      <c r="O4130" s="10">
        <f>IFERROR(__xludf.DUMMYFUNCTION("VALUE(REGEXEXTRACT(A4130, ""\d+""))"),6705.0)</f>
        <v>6705</v>
      </c>
    </row>
    <row r="4131">
      <c r="A4131" s="9" t="s">
        <v>16306</v>
      </c>
      <c r="B4131" s="9" t="s">
        <v>16307</v>
      </c>
      <c r="G4131" s="9" t="s">
        <v>16308</v>
      </c>
      <c r="O4131" s="10">
        <f>IFERROR(__xludf.DUMMYFUNCTION("VALUE(REGEXEXTRACT(A4131, ""\d+""))"),6706.0)</f>
        <v>6706</v>
      </c>
    </row>
    <row r="4132">
      <c r="A4132" s="9" t="s">
        <v>16309</v>
      </c>
      <c r="B4132" s="9" t="s">
        <v>16310</v>
      </c>
      <c r="G4132" s="9" t="s">
        <v>16311</v>
      </c>
      <c r="O4132" s="10">
        <f>IFERROR(__xludf.DUMMYFUNCTION("VALUE(REGEXEXTRACT(A4132, ""\d+""))"),6707.0)</f>
        <v>6707</v>
      </c>
    </row>
    <row r="4133">
      <c r="A4133" s="9" t="s">
        <v>16312</v>
      </c>
      <c r="B4133" s="9" t="s">
        <v>16313</v>
      </c>
      <c r="G4133" s="9" t="s">
        <v>16314</v>
      </c>
      <c r="O4133" s="10">
        <f>IFERROR(__xludf.DUMMYFUNCTION("VALUE(REGEXEXTRACT(A4133, ""\d+""))"),6708.0)</f>
        <v>6708</v>
      </c>
    </row>
    <row r="4134">
      <c r="A4134" s="9" t="s">
        <v>16315</v>
      </c>
      <c r="B4134" s="9" t="s">
        <v>16316</v>
      </c>
      <c r="G4134" s="9" t="s">
        <v>16317</v>
      </c>
      <c r="O4134" s="10">
        <f>IFERROR(__xludf.DUMMYFUNCTION("VALUE(REGEXEXTRACT(A4134, ""\d+""))"),6709.0)</f>
        <v>6709</v>
      </c>
    </row>
    <row r="4135">
      <c r="A4135" s="9" t="s">
        <v>16318</v>
      </c>
      <c r="B4135" s="9" t="s">
        <v>16319</v>
      </c>
      <c r="G4135" s="9" t="s">
        <v>16320</v>
      </c>
      <c r="O4135" s="10">
        <f>IFERROR(__xludf.DUMMYFUNCTION("VALUE(REGEXEXTRACT(A4135, ""\d+""))"),6710.0)</f>
        <v>6710</v>
      </c>
    </row>
    <row r="4136">
      <c r="A4136" s="9" t="s">
        <v>16321</v>
      </c>
      <c r="B4136" s="9" t="s">
        <v>16322</v>
      </c>
      <c r="G4136" s="9" t="s">
        <v>16323</v>
      </c>
      <c r="O4136" s="10">
        <f>IFERROR(__xludf.DUMMYFUNCTION("VALUE(REGEXEXTRACT(A4136, ""\d+""))"),6712.0)</f>
        <v>6712</v>
      </c>
    </row>
    <row r="4137">
      <c r="A4137" s="9" t="s">
        <v>16324</v>
      </c>
      <c r="B4137" s="9" t="s">
        <v>16325</v>
      </c>
      <c r="G4137" s="9" t="s">
        <v>16326</v>
      </c>
      <c r="O4137" s="10">
        <f>IFERROR(__xludf.DUMMYFUNCTION("VALUE(REGEXEXTRACT(A4137, ""\d+""))"),6713.0)</f>
        <v>6713</v>
      </c>
    </row>
    <row r="4138">
      <c r="A4138" s="9" t="s">
        <v>16327</v>
      </c>
      <c r="B4138" s="9" t="s">
        <v>16328</v>
      </c>
      <c r="G4138" s="9" t="s">
        <v>16329</v>
      </c>
      <c r="O4138" s="10">
        <f>IFERROR(__xludf.DUMMYFUNCTION("VALUE(REGEXEXTRACT(A4138, ""\d+""))"),6714.0)</f>
        <v>6714</v>
      </c>
    </row>
    <row r="4139">
      <c r="A4139" s="9" t="s">
        <v>16330</v>
      </c>
      <c r="B4139" s="9" t="s">
        <v>16331</v>
      </c>
      <c r="G4139" s="9" t="s">
        <v>16332</v>
      </c>
      <c r="O4139" s="10">
        <f>IFERROR(__xludf.DUMMYFUNCTION("VALUE(REGEXEXTRACT(A4139, ""\d+""))"),6715.0)</f>
        <v>6715</v>
      </c>
    </row>
    <row r="4140">
      <c r="A4140" s="9" t="s">
        <v>16333</v>
      </c>
      <c r="B4140" s="9" t="s">
        <v>16334</v>
      </c>
      <c r="G4140" s="9" t="s">
        <v>16335</v>
      </c>
      <c r="O4140" s="10">
        <f>IFERROR(__xludf.DUMMYFUNCTION("VALUE(REGEXEXTRACT(A4140, ""\d+""))"),6716.0)</f>
        <v>6716</v>
      </c>
    </row>
    <row r="4141">
      <c r="A4141" s="9" t="s">
        <v>16336</v>
      </c>
      <c r="B4141" s="9" t="s">
        <v>16337</v>
      </c>
      <c r="G4141" s="9" t="s">
        <v>16338</v>
      </c>
      <c r="O4141" s="10">
        <f>IFERROR(__xludf.DUMMYFUNCTION("VALUE(REGEXEXTRACT(A4141, ""\d+""))"),6717.0)</f>
        <v>6717</v>
      </c>
    </row>
    <row r="4142">
      <c r="A4142" s="9" t="s">
        <v>16339</v>
      </c>
      <c r="B4142" s="9" t="s">
        <v>16340</v>
      </c>
      <c r="G4142" s="9" t="s">
        <v>16341</v>
      </c>
      <c r="O4142" s="10">
        <f>IFERROR(__xludf.DUMMYFUNCTION("VALUE(REGEXEXTRACT(A4142, ""\d+""))"),6718.0)</f>
        <v>6718</v>
      </c>
    </row>
    <row r="4143">
      <c r="A4143" s="9" t="s">
        <v>16342</v>
      </c>
      <c r="B4143" s="9" t="s">
        <v>16343</v>
      </c>
      <c r="G4143" s="9" t="s">
        <v>16344</v>
      </c>
      <c r="O4143" s="10">
        <f>IFERROR(__xludf.DUMMYFUNCTION("VALUE(REGEXEXTRACT(A4143, ""\d+""))"),6719.0)</f>
        <v>6719</v>
      </c>
    </row>
    <row r="4144">
      <c r="A4144" s="9" t="s">
        <v>16345</v>
      </c>
      <c r="B4144" s="9" t="s">
        <v>16346</v>
      </c>
      <c r="G4144" s="9" t="s">
        <v>16347</v>
      </c>
      <c r="O4144" s="10">
        <f>IFERROR(__xludf.DUMMYFUNCTION("VALUE(REGEXEXTRACT(A4144, ""\d+""))"),6720.0)</f>
        <v>6720</v>
      </c>
    </row>
    <row r="4145">
      <c r="A4145" s="9" t="s">
        <v>16348</v>
      </c>
      <c r="B4145" s="9" t="s">
        <v>16349</v>
      </c>
      <c r="G4145" s="9" t="s">
        <v>16350</v>
      </c>
      <c r="O4145" s="10">
        <f>IFERROR(__xludf.DUMMYFUNCTION("VALUE(REGEXEXTRACT(A4145, ""\d+""))"),6721.0)</f>
        <v>6721</v>
      </c>
    </row>
    <row r="4146">
      <c r="A4146" s="9" t="s">
        <v>16351</v>
      </c>
      <c r="B4146" s="9" t="s">
        <v>16352</v>
      </c>
      <c r="G4146" s="9" t="s">
        <v>16353</v>
      </c>
      <c r="O4146" s="10">
        <f>IFERROR(__xludf.DUMMYFUNCTION("VALUE(REGEXEXTRACT(A4146, ""\d+""))"),6722.0)</f>
        <v>6722</v>
      </c>
    </row>
    <row r="4147">
      <c r="A4147" s="9" t="s">
        <v>16354</v>
      </c>
      <c r="B4147" s="9" t="s">
        <v>16355</v>
      </c>
      <c r="G4147" s="9" t="s">
        <v>16356</v>
      </c>
      <c r="O4147" s="10">
        <f>IFERROR(__xludf.DUMMYFUNCTION("VALUE(REGEXEXTRACT(A4147, ""\d+""))"),6723.0)</f>
        <v>6723</v>
      </c>
    </row>
    <row r="4148">
      <c r="A4148" s="9" t="s">
        <v>16357</v>
      </c>
      <c r="B4148" s="9" t="s">
        <v>16358</v>
      </c>
      <c r="G4148" s="9" t="s">
        <v>16359</v>
      </c>
      <c r="O4148" s="10">
        <f>IFERROR(__xludf.DUMMYFUNCTION("VALUE(REGEXEXTRACT(A4148, ""\d+""))"),6724.0)</f>
        <v>6724</v>
      </c>
    </row>
    <row r="4149">
      <c r="A4149" s="9" t="s">
        <v>16360</v>
      </c>
      <c r="B4149" s="9" t="s">
        <v>16361</v>
      </c>
      <c r="G4149" s="9" t="s">
        <v>16362</v>
      </c>
      <c r="O4149" s="10">
        <f>IFERROR(__xludf.DUMMYFUNCTION("VALUE(REGEXEXTRACT(A4149, ""\d+""))"),6725.0)</f>
        <v>6725</v>
      </c>
    </row>
    <row r="4150">
      <c r="A4150" s="9" t="s">
        <v>16363</v>
      </c>
      <c r="B4150" s="9" t="s">
        <v>16364</v>
      </c>
      <c r="G4150" s="9" t="s">
        <v>16365</v>
      </c>
      <c r="O4150" s="10">
        <f>IFERROR(__xludf.DUMMYFUNCTION("VALUE(REGEXEXTRACT(A4150, ""\d+""))"),6726.0)</f>
        <v>6726</v>
      </c>
    </row>
    <row r="4151">
      <c r="A4151" s="9" t="s">
        <v>16366</v>
      </c>
      <c r="B4151" s="9" t="s">
        <v>16367</v>
      </c>
      <c r="G4151" s="9" t="s">
        <v>16368</v>
      </c>
      <c r="O4151" s="10">
        <f>IFERROR(__xludf.DUMMYFUNCTION("VALUE(REGEXEXTRACT(A4151, ""\d+""))"),6727.0)</f>
        <v>6727</v>
      </c>
    </row>
    <row r="4152">
      <c r="A4152" s="9" t="s">
        <v>16369</v>
      </c>
      <c r="B4152" s="9" t="s">
        <v>16370</v>
      </c>
      <c r="G4152" s="9" t="s">
        <v>16371</v>
      </c>
      <c r="O4152" s="10">
        <f>IFERROR(__xludf.DUMMYFUNCTION("VALUE(REGEXEXTRACT(A4152, ""\d+""))"),6728.0)</f>
        <v>6728</v>
      </c>
    </row>
    <row r="4153">
      <c r="A4153" s="9" t="s">
        <v>16372</v>
      </c>
      <c r="B4153" s="9" t="s">
        <v>16373</v>
      </c>
      <c r="O4153" s="10">
        <f>IFERROR(__xludf.DUMMYFUNCTION("VALUE(REGEXEXTRACT(A4153, ""\d+""))"),6729.0)</f>
        <v>6729</v>
      </c>
    </row>
    <row r="4154">
      <c r="A4154" s="9" t="s">
        <v>16374</v>
      </c>
      <c r="B4154" s="9" t="s">
        <v>16375</v>
      </c>
      <c r="G4154" s="9" t="s">
        <v>16376</v>
      </c>
      <c r="O4154" s="10">
        <f>IFERROR(__xludf.DUMMYFUNCTION("VALUE(REGEXEXTRACT(A4154, ""\d+""))"),6730.0)</f>
        <v>6730</v>
      </c>
    </row>
    <row r="4155">
      <c r="A4155" s="9" t="s">
        <v>16377</v>
      </c>
      <c r="B4155" s="9" t="s">
        <v>16378</v>
      </c>
      <c r="G4155" s="9" t="s">
        <v>16379</v>
      </c>
      <c r="O4155" s="10">
        <f>IFERROR(__xludf.DUMMYFUNCTION("VALUE(REGEXEXTRACT(A4155, ""\d+""))"),6731.0)</f>
        <v>6731</v>
      </c>
    </row>
    <row r="4156">
      <c r="A4156" s="9" t="s">
        <v>16380</v>
      </c>
      <c r="B4156" s="9" t="s">
        <v>16381</v>
      </c>
      <c r="G4156" s="9" t="s">
        <v>16382</v>
      </c>
      <c r="O4156" s="10">
        <f>IFERROR(__xludf.DUMMYFUNCTION("VALUE(REGEXEXTRACT(A4156, ""\d+""))"),6732.0)</f>
        <v>6732</v>
      </c>
    </row>
    <row r="4157">
      <c r="A4157" s="9" t="s">
        <v>16383</v>
      </c>
      <c r="B4157" s="9" t="s">
        <v>16384</v>
      </c>
      <c r="G4157" s="9" t="s">
        <v>16385</v>
      </c>
      <c r="O4157" s="10">
        <f>IFERROR(__xludf.DUMMYFUNCTION("VALUE(REGEXEXTRACT(A4157, ""\d+""))"),6735.0)</f>
        <v>6735</v>
      </c>
    </row>
    <row r="4158">
      <c r="A4158" s="9" t="s">
        <v>16386</v>
      </c>
      <c r="B4158" s="9" t="s">
        <v>16387</v>
      </c>
      <c r="G4158" s="9" t="s">
        <v>16388</v>
      </c>
      <c r="O4158" s="10">
        <f>IFERROR(__xludf.DUMMYFUNCTION("VALUE(REGEXEXTRACT(A4158, ""\d+""))"),6737.0)</f>
        <v>6737</v>
      </c>
    </row>
    <row r="4159">
      <c r="A4159" s="9" t="s">
        <v>16389</v>
      </c>
      <c r="B4159" s="9" t="s">
        <v>16390</v>
      </c>
      <c r="G4159" s="9" t="s">
        <v>16391</v>
      </c>
      <c r="O4159" s="10">
        <f>IFERROR(__xludf.DUMMYFUNCTION("VALUE(REGEXEXTRACT(A4159, ""\d+""))"),6738.0)</f>
        <v>6738</v>
      </c>
    </row>
    <row r="4160">
      <c r="A4160" s="9" t="s">
        <v>16392</v>
      </c>
      <c r="B4160" s="9" t="s">
        <v>16393</v>
      </c>
      <c r="G4160" s="9" t="s">
        <v>16394</v>
      </c>
      <c r="O4160" s="10">
        <f>IFERROR(__xludf.DUMMYFUNCTION("VALUE(REGEXEXTRACT(A4160, ""\d+""))"),6739.0)</f>
        <v>6739</v>
      </c>
    </row>
    <row r="4161">
      <c r="A4161" s="9" t="s">
        <v>16395</v>
      </c>
      <c r="B4161" s="9" t="s">
        <v>16396</v>
      </c>
      <c r="G4161" s="9" t="s">
        <v>16397</v>
      </c>
      <c r="O4161" s="10">
        <f>IFERROR(__xludf.DUMMYFUNCTION("VALUE(REGEXEXTRACT(A4161, ""\d+""))"),6740.0)</f>
        <v>6740</v>
      </c>
    </row>
    <row r="4162">
      <c r="A4162" s="9" t="s">
        <v>16398</v>
      </c>
      <c r="B4162" s="9" t="s">
        <v>16399</v>
      </c>
      <c r="G4162" s="9" t="s">
        <v>16400</v>
      </c>
      <c r="O4162" s="10">
        <f>IFERROR(__xludf.DUMMYFUNCTION("VALUE(REGEXEXTRACT(A4162, ""\d+""))"),6741.0)</f>
        <v>6741</v>
      </c>
    </row>
    <row r="4163">
      <c r="A4163" s="9" t="s">
        <v>16401</v>
      </c>
      <c r="B4163" s="9" t="s">
        <v>16402</v>
      </c>
      <c r="G4163" s="9" t="s">
        <v>16403</v>
      </c>
      <c r="O4163" s="10">
        <f>IFERROR(__xludf.DUMMYFUNCTION("VALUE(REGEXEXTRACT(A4163, ""\d+""))"),6742.0)</f>
        <v>6742</v>
      </c>
    </row>
    <row r="4164">
      <c r="A4164" s="9" t="s">
        <v>16404</v>
      </c>
      <c r="B4164" s="9" t="s">
        <v>16405</v>
      </c>
      <c r="G4164" s="9" t="s">
        <v>16406</v>
      </c>
      <c r="O4164" s="10">
        <f>IFERROR(__xludf.DUMMYFUNCTION("VALUE(REGEXEXTRACT(A4164, ""\d+""))"),6743.0)</f>
        <v>6743</v>
      </c>
    </row>
    <row r="4165">
      <c r="A4165" s="9" t="s">
        <v>16407</v>
      </c>
      <c r="B4165" s="9" t="s">
        <v>16408</v>
      </c>
      <c r="G4165" s="9" t="s">
        <v>16409</v>
      </c>
      <c r="O4165" s="10">
        <f>IFERROR(__xludf.DUMMYFUNCTION("VALUE(REGEXEXTRACT(A4165, ""\d+""))"),6744.0)</f>
        <v>6744</v>
      </c>
    </row>
    <row r="4166">
      <c r="A4166" s="9" t="s">
        <v>16410</v>
      </c>
      <c r="B4166" s="9" t="s">
        <v>16411</v>
      </c>
      <c r="G4166" s="9" t="s">
        <v>16412</v>
      </c>
      <c r="O4166" s="10">
        <f>IFERROR(__xludf.DUMMYFUNCTION("VALUE(REGEXEXTRACT(A4166, ""\d+""))"),6745.0)</f>
        <v>6745</v>
      </c>
    </row>
    <row r="4167">
      <c r="A4167" s="9" t="s">
        <v>16413</v>
      </c>
      <c r="B4167" s="9" t="s">
        <v>16414</v>
      </c>
      <c r="G4167" s="9" t="s">
        <v>16415</v>
      </c>
      <c r="O4167" s="10">
        <f>IFERROR(__xludf.DUMMYFUNCTION("VALUE(REGEXEXTRACT(A4167, ""\d+""))"),6746.0)</f>
        <v>6746</v>
      </c>
    </row>
    <row r="4168">
      <c r="A4168" s="9" t="s">
        <v>16416</v>
      </c>
      <c r="B4168" s="9" t="s">
        <v>16417</v>
      </c>
      <c r="G4168" s="9" t="s">
        <v>16418</v>
      </c>
      <c r="O4168" s="10">
        <f>IFERROR(__xludf.DUMMYFUNCTION("VALUE(REGEXEXTRACT(A4168, ""\d+""))"),6747.0)</f>
        <v>6747</v>
      </c>
    </row>
    <row r="4169">
      <c r="A4169" s="9" t="s">
        <v>16419</v>
      </c>
      <c r="B4169" s="9" t="s">
        <v>16420</v>
      </c>
      <c r="G4169" s="9" t="s">
        <v>16421</v>
      </c>
      <c r="O4169" s="10">
        <f>IFERROR(__xludf.DUMMYFUNCTION("VALUE(REGEXEXTRACT(A4169, ""\d+""))"),6748.0)</f>
        <v>6748</v>
      </c>
    </row>
    <row r="4170">
      <c r="A4170" s="9" t="s">
        <v>16422</v>
      </c>
      <c r="B4170" s="9" t="s">
        <v>16423</v>
      </c>
      <c r="G4170" s="9" t="s">
        <v>16424</v>
      </c>
      <c r="O4170" s="10">
        <f>IFERROR(__xludf.DUMMYFUNCTION("VALUE(REGEXEXTRACT(A4170, ""\d+""))"),6749.0)</f>
        <v>6749</v>
      </c>
    </row>
    <row r="4171">
      <c r="A4171" s="9" t="s">
        <v>16425</v>
      </c>
      <c r="B4171" s="9" t="s">
        <v>16426</v>
      </c>
      <c r="G4171" s="9" t="s">
        <v>16421</v>
      </c>
      <c r="O4171" s="10">
        <f>IFERROR(__xludf.DUMMYFUNCTION("VALUE(REGEXEXTRACT(A4171, ""\d+""))"),6750.0)</f>
        <v>6750</v>
      </c>
    </row>
    <row r="4172">
      <c r="A4172" s="9" t="s">
        <v>16427</v>
      </c>
      <c r="B4172" s="9" t="s">
        <v>16428</v>
      </c>
      <c r="G4172" s="9" t="s">
        <v>16429</v>
      </c>
      <c r="O4172" s="10">
        <f>IFERROR(__xludf.DUMMYFUNCTION("VALUE(REGEXEXTRACT(A4172, ""\d+""))"),6751.0)</f>
        <v>6751</v>
      </c>
    </row>
    <row r="4173">
      <c r="A4173" s="9" t="s">
        <v>16430</v>
      </c>
      <c r="B4173" s="9" t="s">
        <v>16431</v>
      </c>
      <c r="G4173" s="9" t="s">
        <v>16432</v>
      </c>
      <c r="O4173" s="10">
        <f>IFERROR(__xludf.DUMMYFUNCTION("VALUE(REGEXEXTRACT(A4173, ""\d+""))"),6752.0)</f>
        <v>6752</v>
      </c>
    </row>
    <row r="4174">
      <c r="A4174" s="9" t="s">
        <v>16433</v>
      </c>
      <c r="B4174" s="9" t="s">
        <v>16431</v>
      </c>
      <c r="G4174" s="9" t="s">
        <v>16432</v>
      </c>
      <c r="O4174" s="10">
        <f>IFERROR(__xludf.DUMMYFUNCTION("VALUE(REGEXEXTRACT(A4174, ""\d+""))"),6753.0)</f>
        <v>6753</v>
      </c>
    </row>
    <row r="4175">
      <c r="A4175" s="9" t="s">
        <v>16434</v>
      </c>
      <c r="B4175" s="9" t="s">
        <v>16435</v>
      </c>
      <c r="G4175" s="9" t="s">
        <v>16436</v>
      </c>
      <c r="O4175" s="10">
        <f>IFERROR(__xludf.DUMMYFUNCTION("VALUE(REGEXEXTRACT(A4175, ""\d+""))"),6754.0)</f>
        <v>6754</v>
      </c>
    </row>
    <row r="4176">
      <c r="A4176" s="9" t="s">
        <v>16437</v>
      </c>
      <c r="B4176" s="9" t="s">
        <v>16438</v>
      </c>
      <c r="G4176" s="9" t="s">
        <v>16439</v>
      </c>
      <c r="O4176" s="10">
        <f>IFERROR(__xludf.DUMMYFUNCTION("VALUE(REGEXEXTRACT(A4176, ""\d+""))"),6755.0)</f>
        <v>6755</v>
      </c>
    </row>
    <row r="4177">
      <c r="A4177" s="9" t="s">
        <v>16440</v>
      </c>
      <c r="B4177" s="9" t="s">
        <v>16441</v>
      </c>
      <c r="G4177" s="9" t="s">
        <v>16442</v>
      </c>
      <c r="O4177" s="10">
        <f>IFERROR(__xludf.DUMMYFUNCTION("VALUE(REGEXEXTRACT(A4177, ""\d+""))"),6756.0)</f>
        <v>6756</v>
      </c>
    </row>
    <row r="4178">
      <c r="A4178" s="9" t="s">
        <v>16443</v>
      </c>
      <c r="B4178" s="9" t="s">
        <v>16444</v>
      </c>
      <c r="G4178" s="9" t="s">
        <v>16445</v>
      </c>
      <c r="O4178" s="10">
        <f>IFERROR(__xludf.DUMMYFUNCTION("VALUE(REGEXEXTRACT(A4178, ""\d+""))"),6757.0)</f>
        <v>6757</v>
      </c>
    </row>
    <row r="4179">
      <c r="A4179" s="9" t="s">
        <v>16446</v>
      </c>
      <c r="B4179" s="9" t="s">
        <v>16447</v>
      </c>
      <c r="G4179" s="9" t="s">
        <v>16448</v>
      </c>
      <c r="O4179" s="10">
        <f>IFERROR(__xludf.DUMMYFUNCTION("VALUE(REGEXEXTRACT(A4179, ""\d+""))"),6758.0)</f>
        <v>6758</v>
      </c>
    </row>
    <row r="4180">
      <c r="A4180" s="9" t="s">
        <v>16449</v>
      </c>
      <c r="B4180" s="9" t="s">
        <v>16450</v>
      </c>
      <c r="G4180" s="9" t="s">
        <v>16451</v>
      </c>
      <c r="O4180" s="10">
        <f>IFERROR(__xludf.DUMMYFUNCTION("VALUE(REGEXEXTRACT(A4180, ""\d+""))"),6759.0)</f>
        <v>6759</v>
      </c>
    </row>
    <row r="4181">
      <c r="A4181" s="9" t="s">
        <v>16452</v>
      </c>
      <c r="B4181" s="9" t="s">
        <v>16453</v>
      </c>
      <c r="G4181" s="9" t="s">
        <v>16454</v>
      </c>
      <c r="O4181" s="10">
        <f>IFERROR(__xludf.DUMMYFUNCTION("VALUE(REGEXEXTRACT(A4181, ""\d+""))"),6760.0)</f>
        <v>6760</v>
      </c>
    </row>
    <row r="4182">
      <c r="A4182" s="9" t="s">
        <v>16455</v>
      </c>
      <c r="B4182" s="9" t="s">
        <v>16456</v>
      </c>
      <c r="G4182" s="9" t="s">
        <v>16457</v>
      </c>
      <c r="O4182" s="10">
        <f>IFERROR(__xludf.DUMMYFUNCTION("VALUE(REGEXEXTRACT(A4182, ""\d+""))"),6761.0)</f>
        <v>6761</v>
      </c>
    </row>
    <row r="4183">
      <c r="A4183" s="9" t="s">
        <v>16458</v>
      </c>
      <c r="B4183" s="9" t="s">
        <v>16459</v>
      </c>
      <c r="G4183" s="9" t="s">
        <v>16460</v>
      </c>
      <c r="O4183" s="10">
        <f>IFERROR(__xludf.DUMMYFUNCTION("VALUE(REGEXEXTRACT(A4183, ""\d+""))"),6762.0)</f>
        <v>6762</v>
      </c>
    </row>
    <row r="4184">
      <c r="A4184" s="9" t="s">
        <v>16461</v>
      </c>
      <c r="B4184" s="9" t="s">
        <v>16462</v>
      </c>
      <c r="G4184" s="9" t="s">
        <v>16463</v>
      </c>
      <c r="O4184" s="10">
        <f>IFERROR(__xludf.DUMMYFUNCTION("VALUE(REGEXEXTRACT(A4184, ""\d+""))"),6763.0)</f>
        <v>6763</v>
      </c>
    </row>
    <row r="4185">
      <c r="A4185" s="9" t="s">
        <v>16464</v>
      </c>
      <c r="B4185" s="9" t="s">
        <v>16465</v>
      </c>
      <c r="G4185" s="9" t="s">
        <v>16466</v>
      </c>
      <c r="O4185" s="10">
        <f>IFERROR(__xludf.DUMMYFUNCTION("VALUE(REGEXEXTRACT(A4185, ""\d+""))"),6764.0)</f>
        <v>6764</v>
      </c>
    </row>
    <row r="4186">
      <c r="A4186" s="9" t="s">
        <v>16467</v>
      </c>
      <c r="B4186" s="9" t="s">
        <v>16468</v>
      </c>
      <c r="G4186" s="9" t="s">
        <v>16469</v>
      </c>
      <c r="O4186" s="10">
        <f>IFERROR(__xludf.DUMMYFUNCTION("VALUE(REGEXEXTRACT(A4186, ""\d+""))"),6765.0)</f>
        <v>6765</v>
      </c>
    </row>
    <row r="4187">
      <c r="A4187" s="9" t="s">
        <v>16470</v>
      </c>
      <c r="B4187" s="9" t="s">
        <v>16471</v>
      </c>
      <c r="G4187" s="9" t="s">
        <v>16472</v>
      </c>
      <c r="O4187" s="10">
        <f>IFERROR(__xludf.DUMMYFUNCTION("VALUE(REGEXEXTRACT(A4187, ""\d+""))"),6766.0)</f>
        <v>6766</v>
      </c>
    </row>
    <row r="4188">
      <c r="A4188" s="9" t="s">
        <v>16473</v>
      </c>
      <c r="B4188" s="9" t="s">
        <v>16474</v>
      </c>
      <c r="G4188" s="9" t="s">
        <v>16475</v>
      </c>
      <c r="O4188" s="10">
        <f>IFERROR(__xludf.DUMMYFUNCTION("VALUE(REGEXEXTRACT(A4188, ""\d+""))"),6767.0)</f>
        <v>6767</v>
      </c>
    </row>
    <row r="4189">
      <c r="A4189" s="9" t="s">
        <v>16476</v>
      </c>
      <c r="B4189" s="9" t="s">
        <v>16477</v>
      </c>
      <c r="G4189" s="9" t="s">
        <v>16478</v>
      </c>
      <c r="O4189" s="10">
        <f>IFERROR(__xludf.DUMMYFUNCTION("VALUE(REGEXEXTRACT(A4189, ""\d+""))"),6768.0)</f>
        <v>6768</v>
      </c>
    </row>
    <row r="4190">
      <c r="A4190" s="9" t="s">
        <v>16479</v>
      </c>
      <c r="B4190" s="9" t="s">
        <v>16480</v>
      </c>
      <c r="G4190" s="9" t="s">
        <v>16481</v>
      </c>
      <c r="O4190" s="10">
        <f>IFERROR(__xludf.DUMMYFUNCTION("VALUE(REGEXEXTRACT(A4190, ""\d+""))"),6769.0)</f>
        <v>6769</v>
      </c>
    </row>
    <row r="4191">
      <c r="A4191" s="9" t="s">
        <v>16482</v>
      </c>
      <c r="B4191" s="9" t="s">
        <v>16483</v>
      </c>
      <c r="G4191" s="9" t="s">
        <v>16484</v>
      </c>
      <c r="O4191" s="10">
        <f>IFERROR(__xludf.DUMMYFUNCTION("VALUE(REGEXEXTRACT(A4191, ""\d+""))"),6770.0)</f>
        <v>6770</v>
      </c>
    </row>
    <row r="4192">
      <c r="A4192" s="9" t="s">
        <v>16485</v>
      </c>
      <c r="B4192" s="9" t="s">
        <v>16486</v>
      </c>
      <c r="G4192" s="9" t="s">
        <v>16487</v>
      </c>
      <c r="O4192" s="10">
        <f>IFERROR(__xludf.DUMMYFUNCTION("VALUE(REGEXEXTRACT(A4192, ""\d+""))"),6771.0)</f>
        <v>6771</v>
      </c>
    </row>
    <row r="4193">
      <c r="A4193" s="9" t="s">
        <v>16488</v>
      </c>
      <c r="B4193" s="9" t="s">
        <v>16489</v>
      </c>
      <c r="G4193" s="9" t="s">
        <v>16490</v>
      </c>
      <c r="O4193" s="10">
        <f>IFERROR(__xludf.DUMMYFUNCTION("VALUE(REGEXEXTRACT(A4193, ""\d+""))"),6772.0)</f>
        <v>6772</v>
      </c>
    </row>
    <row r="4194">
      <c r="A4194" s="9" t="s">
        <v>16491</v>
      </c>
      <c r="B4194" s="9" t="s">
        <v>16492</v>
      </c>
      <c r="G4194" s="9" t="s">
        <v>16493</v>
      </c>
      <c r="O4194" s="10">
        <f>IFERROR(__xludf.DUMMYFUNCTION("VALUE(REGEXEXTRACT(A4194, ""\d+""))"),6773.0)</f>
        <v>6773</v>
      </c>
    </row>
    <row r="4195">
      <c r="A4195" s="9" t="s">
        <v>16494</v>
      </c>
      <c r="B4195" s="9" t="s">
        <v>16495</v>
      </c>
      <c r="G4195" s="9" t="s">
        <v>16496</v>
      </c>
      <c r="O4195" s="10">
        <f>IFERROR(__xludf.DUMMYFUNCTION("VALUE(REGEXEXTRACT(A4195, ""\d+""))"),6774.0)</f>
        <v>6774</v>
      </c>
    </row>
    <row r="4196">
      <c r="A4196" s="9" t="s">
        <v>16497</v>
      </c>
      <c r="B4196" s="9" t="s">
        <v>16498</v>
      </c>
      <c r="G4196" s="9" t="s">
        <v>16499</v>
      </c>
      <c r="O4196" s="10">
        <f>IFERROR(__xludf.DUMMYFUNCTION("VALUE(REGEXEXTRACT(A4196, ""\d+""))"),6775.0)</f>
        <v>6775</v>
      </c>
    </row>
    <row r="4197">
      <c r="A4197" s="9" t="s">
        <v>16500</v>
      </c>
      <c r="B4197" s="9" t="s">
        <v>16501</v>
      </c>
      <c r="G4197" s="9" t="s">
        <v>16502</v>
      </c>
      <c r="O4197" s="10">
        <f>IFERROR(__xludf.DUMMYFUNCTION("VALUE(REGEXEXTRACT(A4197, ""\d+""))"),6776.0)</f>
        <v>6776</v>
      </c>
    </row>
    <row r="4198">
      <c r="A4198" s="9" t="s">
        <v>16503</v>
      </c>
      <c r="B4198" s="9" t="s">
        <v>16504</v>
      </c>
      <c r="G4198" s="9" t="s">
        <v>16505</v>
      </c>
      <c r="O4198" s="10">
        <f>IFERROR(__xludf.DUMMYFUNCTION("VALUE(REGEXEXTRACT(A4198, ""\d+""))"),6777.0)</f>
        <v>6777</v>
      </c>
    </row>
    <row r="4199">
      <c r="A4199" s="9" t="s">
        <v>16506</v>
      </c>
      <c r="B4199" s="9" t="s">
        <v>16507</v>
      </c>
      <c r="G4199" s="9" t="s">
        <v>16508</v>
      </c>
      <c r="O4199" s="10">
        <f>IFERROR(__xludf.DUMMYFUNCTION("VALUE(REGEXEXTRACT(A4199, ""\d+""))"),6778.0)</f>
        <v>6778</v>
      </c>
    </row>
    <row r="4200">
      <c r="A4200" s="9" t="s">
        <v>16509</v>
      </c>
      <c r="B4200" s="9" t="s">
        <v>16510</v>
      </c>
      <c r="G4200" s="9" t="s">
        <v>16511</v>
      </c>
      <c r="O4200" s="10">
        <f>IFERROR(__xludf.DUMMYFUNCTION("VALUE(REGEXEXTRACT(A4200, ""\d+""))"),6779.0)</f>
        <v>6779</v>
      </c>
    </row>
    <row r="4201">
      <c r="A4201" s="9" t="s">
        <v>16512</v>
      </c>
      <c r="B4201" s="9" t="s">
        <v>16513</v>
      </c>
      <c r="G4201" s="9" t="s">
        <v>16514</v>
      </c>
      <c r="O4201" s="10">
        <f>IFERROR(__xludf.DUMMYFUNCTION("VALUE(REGEXEXTRACT(A4201, ""\d+""))"),6780.0)</f>
        <v>6780</v>
      </c>
    </row>
    <row r="4202">
      <c r="A4202" s="9" t="s">
        <v>16515</v>
      </c>
      <c r="B4202" s="9" t="s">
        <v>16516</v>
      </c>
      <c r="G4202" s="9" t="s">
        <v>16517</v>
      </c>
      <c r="O4202" s="10">
        <f>IFERROR(__xludf.DUMMYFUNCTION("VALUE(REGEXEXTRACT(A4202, ""\d+""))"),6781.0)</f>
        <v>6781</v>
      </c>
    </row>
    <row r="4203">
      <c r="A4203" s="9" t="s">
        <v>16518</v>
      </c>
      <c r="B4203" s="9" t="s">
        <v>16519</v>
      </c>
      <c r="G4203" s="9" t="s">
        <v>16520</v>
      </c>
      <c r="O4203" s="10">
        <f>IFERROR(__xludf.DUMMYFUNCTION("VALUE(REGEXEXTRACT(A4203, ""\d+""))"),6782.0)</f>
        <v>6782</v>
      </c>
    </row>
    <row r="4204">
      <c r="A4204" s="9" t="s">
        <v>16521</v>
      </c>
      <c r="B4204" s="9" t="s">
        <v>16522</v>
      </c>
      <c r="G4204" s="9" t="s">
        <v>16523</v>
      </c>
      <c r="O4204" s="10">
        <f>IFERROR(__xludf.DUMMYFUNCTION("VALUE(REGEXEXTRACT(A4204, ""\d+""))"),6783.0)</f>
        <v>6783</v>
      </c>
    </row>
    <row r="4205">
      <c r="A4205" s="9" t="s">
        <v>16524</v>
      </c>
      <c r="B4205" s="9" t="s">
        <v>16525</v>
      </c>
      <c r="G4205" s="9" t="s">
        <v>16526</v>
      </c>
      <c r="O4205" s="10">
        <f>IFERROR(__xludf.DUMMYFUNCTION("VALUE(REGEXEXTRACT(A4205, ""\d+""))"),6784.0)</f>
        <v>6784</v>
      </c>
    </row>
    <row r="4206">
      <c r="A4206" s="9" t="s">
        <v>16527</v>
      </c>
      <c r="B4206" s="9" t="s">
        <v>16528</v>
      </c>
      <c r="G4206" s="9" t="s">
        <v>16529</v>
      </c>
      <c r="O4206" s="10">
        <f>IFERROR(__xludf.DUMMYFUNCTION("VALUE(REGEXEXTRACT(A4206, ""\d+""))"),6785.0)</f>
        <v>6785</v>
      </c>
    </row>
    <row r="4207">
      <c r="A4207" s="9" t="s">
        <v>16530</v>
      </c>
      <c r="B4207" s="9" t="s">
        <v>16531</v>
      </c>
      <c r="G4207" s="9" t="s">
        <v>16532</v>
      </c>
      <c r="O4207" s="10">
        <f>IFERROR(__xludf.DUMMYFUNCTION("VALUE(REGEXEXTRACT(A4207, ""\d+""))"),6786.0)</f>
        <v>6786</v>
      </c>
    </row>
    <row r="4208">
      <c r="A4208" s="9" t="s">
        <v>16533</v>
      </c>
      <c r="B4208" s="9" t="s">
        <v>16534</v>
      </c>
      <c r="G4208" s="9" t="s">
        <v>16535</v>
      </c>
      <c r="O4208" s="10">
        <f>IFERROR(__xludf.DUMMYFUNCTION("VALUE(REGEXEXTRACT(A4208, ""\d+""))"),6787.0)</f>
        <v>6787</v>
      </c>
    </row>
    <row r="4209">
      <c r="A4209" s="9" t="s">
        <v>16536</v>
      </c>
      <c r="B4209" s="9" t="s">
        <v>16537</v>
      </c>
      <c r="G4209" s="9" t="s">
        <v>16538</v>
      </c>
      <c r="O4209" s="10">
        <f>IFERROR(__xludf.DUMMYFUNCTION("VALUE(REGEXEXTRACT(A4209, ""\d+""))"),6788.0)</f>
        <v>6788</v>
      </c>
    </row>
    <row r="4210">
      <c r="A4210" s="9" t="s">
        <v>16539</v>
      </c>
      <c r="B4210" s="9" t="s">
        <v>16540</v>
      </c>
      <c r="G4210" s="9" t="s">
        <v>16541</v>
      </c>
      <c r="O4210" s="10">
        <f>IFERROR(__xludf.DUMMYFUNCTION("VALUE(REGEXEXTRACT(A4210, ""\d+""))"),6789.0)</f>
        <v>6789</v>
      </c>
    </row>
    <row r="4211">
      <c r="A4211" s="9" t="s">
        <v>16542</v>
      </c>
      <c r="B4211" s="9" t="s">
        <v>16543</v>
      </c>
      <c r="G4211" s="9" t="s">
        <v>16544</v>
      </c>
      <c r="O4211" s="10">
        <f>IFERROR(__xludf.DUMMYFUNCTION("VALUE(REGEXEXTRACT(A4211, ""\d+""))"),6790.0)</f>
        <v>6790</v>
      </c>
    </row>
    <row r="4212">
      <c r="A4212" s="9" t="s">
        <v>16545</v>
      </c>
      <c r="B4212" s="9" t="s">
        <v>16546</v>
      </c>
      <c r="G4212" s="9" t="s">
        <v>16547</v>
      </c>
      <c r="O4212" s="10">
        <f>IFERROR(__xludf.DUMMYFUNCTION("VALUE(REGEXEXTRACT(A4212, ""\d+""))"),6791.0)</f>
        <v>6791</v>
      </c>
    </row>
    <row r="4213">
      <c r="A4213" s="9" t="s">
        <v>16548</v>
      </c>
      <c r="B4213" s="9" t="s">
        <v>16549</v>
      </c>
      <c r="G4213" s="9" t="s">
        <v>16550</v>
      </c>
      <c r="O4213" s="10">
        <f>IFERROR(__xludf.DUMMYFUNCTION("VALUE(REGEXEXTRACT(A4213, ""\d+""))"),6792.0)</f>
        <v>6792</v>
      </c>
    </row>
    <row r="4214">
      <c r="A4214" s="9" t="s">
        <v>16551</v>
      </c>
      <c r="B4214" s="9" t="s">
        <v>16552</v>
      </c>
      <c r="G4214" s="9" t="s">
        <v>16553</v>
      </c>
      <c r="O4214" s="10">
        <f>IFERROR(__xludf.DUMMYFUNCTION("VALUE(REGEXEXTRACT(A4214, ""\d+""))"),6793.0)</f>
        <v>6793</v>
      </c>
    </row>
    <row r="4215">
      <c r="A4215" s="9" t="s">
        <v>16554</v>
      </c>
      <c r="B4215" s="9" t="s">
        <v>16555</v>
      </c>
      <c r="G4215" s="9" t="s">
        <v>16556</v>
      </c>
      <c r="O4215" s="10">
        <f>IFERROR(__xludf.DUMMYFUNCTION("VALUE(REGEXEXTRACT(A4215, ""\d+""))"),6794.0)</f>
        <v>6794</v>
      </c>
    </row>
    <row r="4216">
      <c r="A4216" s="9" t="s">
        <v>16557</v>
      </c>
      <c r="B4216" s="9" t="s">
        <v>16558</v>
      </c>
      <c r="G4216" s="9" t="s">
        <v>16559</v>
      </c>
      <c r="O4216" s="10">
        <f>IFERROR(__xludf.DUMMYFUNCTION("VALUE(REGEXEXTRACT(A4216, ""\d+""))"),6795.0)</f>
        <v>6795</v>
      </c>
    </row>
    <row r="4217">
      <c r="A4217" s="9" t="s">
        <v>16560</v>
      </c>
      <c r="B4217" s="9" t="s">
        <v>16561</v>
      </c>
      <c r="G4217" s="9" t="s">
        <v>16562</v>
      </c>
      <c r="O4217" s="10">
        <f>IFERROR(__xludf.DUMMYFUNCTION("VALUE(REGEXEXTRACT(A4217, ""\d+""))"),6796.0)</f>
        <v>6796</v>
      </c>
    </row>
    <row r="4218">
      <c r="A4218" s="9" t="s">
        <v>16563</v>
      </c>
      <c r="B4218" s="9" t="s">
        <v>16564</v>
      </c>
      <c r="G4218" s="9" t="s">
        <v>16565</v>
      </c>
      <c r="O4218" s="10">
        <f>IFERROR(__xludf.DUMMYFUNCTION("VALUE(REGEXEXTRACT(A4218, ""\d+""))"),6797.0)</f>
        <v>6797</v>
      </c>
    </row>
    <row r="4219">
      <c r="A4219" s="9" t="s">
        <v>16566</v>
      </c>
      <c r="B4219" s="9" t="s">
        <v>16567</v>
      </c>
      <c r="G4219" s="9" t="s">
        <v>16567</v>
      </c>
      <c r="O4219" s="10">
        <f>IFERROR(__xludf.DUMMYFUNCTION("VALUE(REGEXEXTRACT(A4219, ""\d+""))"),6798.0)</f>
        <v>6798</v>
      </c>
    </row>
    <row r="4220">
      <c r="A4220" s="9" t="s">
        <v>16568</v>
      </c>
      <c r="B4220" s="9" t="s">
        <v>16569</v>
      </c>
      <c r="G4220" s="9" t="s">
        <v>16570</v>
      </c>
      <c r="O4220" s="10">
        <f>IFERROR(__xludf.DUMMYFUNCTION("VALUE(REGEXEXTRACT(A4220, ""\d+""))"),6799.0)</f>
        <v>6799</v>
      </c>
    </row>
    <row r="4221">
      <c r="A4221" s="9" t="s">
        <v>16571</v>
      </c>
      <c r="B4221" s="9" t="s">
        <v>16572</v>
      </c>
      <c r="G4221" s="9" t="s">
        <v>16573</v>
      </c>
      <c r="O4221" s="10">
        <f>IFERROR(__xludf.DUMMYFUNCTION("VALUE(REGEXEXTRACT(A4221, ""\d+""))"),6800.0)</f>
        <v>6800</v>
      </c>
    </row>
    <row r="4222">
      <c r="A4222" s="9" t="s">
        <v>16574</v>
      </c>
      <c r="B4222" s="9" t="s">
        <v>16575</v>
      </c>
      <c r="G4222" s="9" t="s">
        <v>16576</v>
      </c>
      <c r="O4222" s="10">
        <f>IFERROR(__xludf.DUMMYFUNCTION("VALUE(REGEXEXTRACT(A4222, ""\d+""))"),6801.0)</f>
        <v>6801</v>
      </c>
    </row>
    <row r="4223">
      <c r="A4223" s="9" t="s">
        <v>16577</v>
      </c>
      <c r="B4223" s="9" t="s">
        <v>16578</v>
      </c>
      <c r="G4223" s="9" t="s">
        <v>16579</v>
      </c>
      <c r="O4223" s="10">
        <f>IFERROR(__xludf.DUMMYFUNCTION("VALUE(REGEXEXTRACT(A4223, ""\d+""))"),6802.0)</f>
        <v>6802</v>
      </c>
    </row>
    <row r="4224">
      <c r="A4224" s="9" t="s">
        <v>16580</v>
      </c>
      <c r="B4224" s="9" t="s">
        <v>16581</v>
      </c>
      <c r="G4224" s="9" t="s">
        <v>16582</v>
      </c>
      <c r="O4224" s="10">
        <f>IFERROR(__xludf.DUMMYFUNCTION("VALUE(REGEXEXTRACT(A4224, ""\d+""))"),6803.0)</f>
        <v>6803</v>
      </c>
    </row>
    <row r="4225">
      <c r="A4225" s="9" t="s">
        <v>16583</v>
      </c>
      <c r="B4225" s="9" t="s">
        <v>13125</v>
      </c>
      <c r="G4225" s="9" t="s">
        <v>13126</v>
      </c>
      <c r="O4225" s="10">
        <f>IFERROR(__xludf.DUMMYFUNCTION("VALUE(REGEXEXTRACT(A4225, ""\d+""))"),6806.0)</f>
        <v>6806</v>
      </c>
    </row>
    <row r="4226">
      <c r="A4226" s="9" t="s">
        <v>16584</v>
      </c>
      <c r="B4226" s="9" t="s">
        <v>12989</v>
      </c>
      <c r="G4226" s="9" t="s">
        <v>12990</v>
      </c>
      <c r="O4226" s="10">
        <f>IFERROR(__xludf.DUMMYFUNCTION("VALUE(REGEXEXTRACT(A4226, ""\d+""))"),6807.0)</f>
        <v>6807</v>
      </c>
    </row>
    <row r="4227">
      <c r="A4227" s="9" t="s">
        <v>16585</v>
      </c>
      <c r="B4227" s="9" t="s">
        <v>13128</v>
      </c>
      <c r="G4227" s="9" t="s">
        <v>13128</v>
      </c>
      <c r="O4227" s="10">
        <f>IFERROR(__xludf.DUMMYFUNCTION("VALUE(REGEXEXTRACT(A4227, ""\d+""))"),6808.0)</f>
        <v>6808</v>
      </c>
    </row>
    <row r="4228">
      <c r="A4228" s="9" t="s">
        <v>16586</v>
      </c>
      <c r="B4228" s="9" t="s">
        <v>16587</v>
      </c>
      <c r="G4228" s="9" t="s">
        <v>16588</v>
      </c>
      <c r="O4228" s="10">
        <f>IFERROR(__xludf.DUMMYFUNCTION("VALUE(REGEXEXTRACT(A4228, ""\d+""))"),6809.0)</f>
        <v>6809</v>
      </c>
    </row>
    <row r="4229">
      <c r="A4229" s="9" t="s">
        <v>16589</v>
      </c>
      <c r="B4229" s="9" t="s">
        <v>16590</v>
      </c>
      <c r="G4229" s="9" t="s">
        <v>16591</v>
      </c>
      <c r="O4229" s="10">
        <f>IFERROR(__xludf.DUMMYFUNCTION("VALUE(REGEXEXTRACT(A4229, ""\d+""))"),6810.0)</f>
        <v>6810</v>
      </c>
    </row>
    <row r="4230">
      <c r="A4230" s="9" t="s">
        <v>16592</v>
      </c>
      <c r="B4230" s="9" t="s">
        <v>16593</v>
      </c>
      <c r="G4230" s="9" t="s">
        <v>16594</v>
      </c>
      <c r="O4230" s="10">
        <f>IFERROR(__xludf.DUMMYFUNCTION("VALUE(REGEXEXTRACT(A4230, ""\d+""))"),6811.0)</f>
        <v>6811</v>
      </c>
    </row>
    <row r="4231">
      <c r="A4231" s="9" t="s">
        <v>16595</v>
      </c>
      <c r="B4231" s="9" t="s">
        <v>16596</v>
      </c>
      <c r="G4231" s="9" t="s">
        <v>16597</v>
      </c>
      <c r="O4231" s="10">
        <f>IFERROR(__xludf.DUMMYFUNCTION("VALUE(REGEXEXTRACT(A4231, ""\d+""))"),6812.0)</f>
        <v>6812</v>
      </c>
    </row>
    <row r="4232">
      <c r="A4232" s="9" t="s">
        <v>16598</v>
      </c>
      <c r="B4232" s="9" t="s">
        <v>16599</v>
      </c>
      <c r="G4232" s="9" t="s">
        <v>16594</v>
      </c>
      <c r="O4232" s="10">
        <f>IFERROR(__xludf.DUMMYFUNCTION("VALUE(REGEXEXTRACT(A4232, ""\d+""))"),6814.0)</f>
        <v>6814</v>
      </c>
    </row>
    <row r="4233">
      <c r="A4233" s="9" t="s">
        <v>16600</v>
      </c>
      <c r="B4233" s="9" t="s">
        <v>16601</v>
      </c>
      <c r="G4233" s="9" t="s">
        <v>16602</v>
      </c>
      <c r="O4233" s="10">
        <f>IFERROR(__xludf.DUMMYFUNCTION("VALUE(REGEXEXTRACT(A4233, ""\d+""))"),6815.0)</f>
        <v>6815</v>
      </c>
    </row>
    <row r="4234">
      <c r="A4234" s="9" t="s">
        <v>16603</v>
      </c>
      <c r="B4234" s="9" t="s">
        <v>16604</v>
      </c>
      <c r="G4234" s="9" t="s">
        <v>16605</v>
      </c>
      <c r="O4234" s="10">
        <f>IFERROR(__xludf.DUMMYFUNCTION("VALUE(REGEXEXTRACT(A4234, ""\d+""))"),6816.0)</f>
        <v>6816</v>
      </c>
    </row>
    <row r="4235">
      <c r="A4235" s="9" t="s">
        <v>16606</v>
      </c>
      <c r="B4235" s="9" t="s">
        <v>16607</v>
      </c>
      <c r="G4235" s="9" t="s">
        <v>16608</v>
      </c>
      <c r="O4235" s="10">
        <f>IFERROR(__xludf.DUMMYFUNCTION("VALUE(REGEXEXTRACT(A4235, ""\d+""))"),6817.0)</f>
        <v>6817</v>
      </c>
    </row>
    <row r="4236">
      <c r="A4236" s="9" t="s">
        <v>16609</v>
      </c>
      <c r="B4236" s="9" t="s">
        <v>16610</v>
      </c>
      <c r="G4236" s="9" t="s">
        <v>16611</v>
      </c>
      <c r="O4236" s="10">
        <f>IFERROR(__xludf.DUMMYFUNCTION("VALUE(REGEXEXTRACT(A4236, ""\d+""))"),6818.0)</f>
        <v>6818</v>
      </c>
    </row>
    <row r="4237">
      <c r="A4237" s="9" t="s">
        <v>16612</v>
      </c>
      <c r="B4237" s="9" t="s">
        <v>16613</v>
      </c>
      <c r="G4237" s="9" t="s">
        <v>16614</v>
      </c>
      <c r="O4237" s="10">
        <f>IFERROR(__xludf.DUMMYFUNCTION("VALUE(REGEXEXTRACT(A4237, ""\d+""))"),6819.0)</f>
        <v>6819</v>
      </c>
    </row>
    <row r="4238">
      <c r="A4238" s="9" t="s">
        <v>16615</v>
      </c>
      <c r="B4238" s="9" t="s">
        <v>16616</v>
      </c>
      <c r="G4238" s="9" t="s">
        <v>16617</v>
      </c>
      <c r="O4238" s="10">
        <f>IFERROR(__xludf.DUMMYFUNCTION("VALUE(REGEXEXTRACT(A4238, ""\d+""))"),6820.0)</f>
        <v>6820</v>
      </c>
    </row>
    <row r="4239">
      <c r="A4239" s="9" t="s">
        <v>16618</v>
      </c>
      <c r="B4239" s="9" t="s">
        <v>13275</v>
      </c>
      <c r="G4239" s="9" t="s">
        <v>13276</v>
      </c>
      <c r="O4239" s="10">
        <f>IFERROR(__xludf.DUMMYFUNCTION("VALUE(REGEXEXTRACT(A4239, ""\d+""))"),6821.0)</f>
        <v>6821</v>
      </c>
    </row>
    <row r="4240">
      <c r="A4240" s="9" t="s">
        <v>16619</v>
      </c>
      <c r="B4240" s="9" t="s">
        <v>13278</v>
      </c>
      <c r="G4240" s="9" t="s">
        <v>13279</v>
      </c>
      <c r="O4240" s="10">
        <f>IFERROR(__xludf.DUMMYFUNCTION("VALUE(REGEXEXTRACT(A4240, ""\d+""))"),6822.0)</f>
        <v>6822</v>
      </c>
    </row>
    <row r="4241">
      <c r="A4241" s="9" t="s">
        <v>16620</v>
      </c>
      <c r="B4241" s="9" t="s">
        <v>13287</v>
      </c>
      <c r="G4241" s="9" t="s">
        <v>13288</v>
      </c>
      <c r="O4241" s="10">
        <f>IFERROR(__xludf.DUMMYFUNCTION("VALUE(REGEXEXTRACT(A4241, ""\d+""))"),6823.0)</f>
        <v>6823</v>
      </c>
    </row>
    <row r="4242">
      <c r="A4242" s="9" t="s">
        <v>16621</v>
      </c>
      <c r="B4242" s="9" t="s">
        <v>13284</v>
      </c>
      <c r="G4242" s="9" t="s">
        <v>13285</v>
      </c>
      <c r="O4242" s="10">
        <f>IFERROR(__xludf.DUMMYFUNCTION("VALUE(REGEXEXTRACT(A4242, ""\d+""))"),6824.0)</f>
        <v>6824</v>
      </c>
    </row>
    <row r="4243">
      <c r="A4243" s="9" t="s">
        <v>16622</v>
      </c>
      <c r="B4243" s="9" t="s">
        <v>13281</v>
      </c>
      <c r="G4243" s="9" t="s">
        <v>13282</v>
      </c>
      <c r="O4243" s="10">
        <f>IFERROR(__xludf.DUMMYFUNCTION("VALUE(REGEXEXTRACT(A4243, ""\d+""))"),6825.0)</f>
        <v>6825</v>
      </c>
    </row>
    <row r="4244">
      <c r="A4244" s="9" t="s">
        <v>16623</v>
      </c>
      <c r="B4244" s="9" t="s">
        <v>13290</v>
      </c>
      <c r="G4244" s="9" t="s">
        <v>13291</v>
      </c>
      <c r="O4244" s="10">
        <f>IFERROR(__xludf.DUMMYFUNCTION("VALUE(REGEXEXTRACT(A4244, ""\d+""))"),6826.0)</f>
        <v>6826</v>
      </c>
    </row>
    <row r="4245">
      <c r="A4245" s="9" t="s">
        <v>16624</v>
      </c>
      <c r="B4245" s="9" t="s">
        <v>13267</v>
      </c>
      <c r="G4245" s="9" t="s">
        <v>13268</v>
      </c>
      <c r="O4245" s="10">
        <f>IFERROR(__xludf.DUMMYFUNCTION("VALUE(REGEXEXTRACT(A4245, ""\d+""))"),6827.0)</f>
        <v>6827</v>
      </c>
    </row>
    <row r="4246">
      <c r="A4246" s="9" t="s">
        <v>16625</v>
      </c>
      <c r="B4246" s="9" t="s">
        <v>13261</v>
      </c>
      <c r="G4246" s="9" t="s">
        <v>13262</v>
      </c>
      <c r="O4246" s="10">
        <f>IFERROR(__xludf.DUMMYFUNCTION("VALUE(REGEXEXTRACT(A4246, ""\d+""))"),6828.0)</f>
        <v>6828</v>
      </c>
    </row>
    <row r="4247">
      <c r="A4247" s="9" t="s">
        <v>16626</v>
      </c>
      <c r="B4247" s="9" t="s">
        <v>13252</v>
      </c>
      <c r="G4247" s="9" t="s">
        <v>13253</v>
      </c>
      <c r="O4247" s="10">
        <f>IFERROR(__xludf.DUMMYFUNCTION("VALUE(REGEXEXTRACT(A4247, ""\d+""))"),6829.0)</f>
        <v>6829</v>
      </c>
    </row>
    <row r="4248">
      <c r="A4248" s="9" t="s">
        <v>16627</v>
      </c>
      <c r="B4248" s="9" t="s">
        <v>16628</v>
      </c>
      <c r="G4248" s="9" t="s">
        <v>16629</v>
      </c>
      <c r="O4248" s="10">
        <f>IFERROR(__xludf.DUMMYFUNCTION("VALUE(REGEXEXTRACT(A4248, ""\d+""))"),6830.0)</f>
        <v>6830</v>
      </c>
    </row>
    <row r="4249">
      <c r="A4249" s="9" t="s">
        <v>16630</v>
      </c>
      <c r="B4249" s="9" t="s">
        <v>13228</v>
      </c>
      <c r="G4249" s="9" t="s">
        <v>13229</v>
      </c>
      <c r="O4249" s="10">
        <f>IFERROR(__xludf.DUMMYFUNCTION("VALUE(REGEXEXTRACT(A4249, ""\d+""))"),6831.0)</f>
        <v>6831</v>
      </c>
    </row>
    <row r="4250">
      <c r="A4250" s="9" t="s">
        <v>16631</v>
      </c>
      <c r="B4250" s="9" t="s">
        <v>13225</v>
      </c>
      <c r="G4250" s="9" t="s">
        <v>13226</v>
      </c>
      <c r="O4250" s="10">
        <f>IFERROR(__xludf.DUMMYFUNCTION("VALUE(REGEXEXTRACT(A4250, ""\d+""))"),6832.0)</f>
        <v>6832</v>
      </c>
    </row>
    <row r="4251">
      <c r="A4251" s="9" t="s">
        <v>16632</v>
      </c>
      <c r="B4251" s="9" t="s">
        <v>13222</v>
      </c>
      <c r="G4251" s="9" t="s">
        <v>13223</v>
      </c>
      <c r="O4251" s="10">
        <f>IFERROR(__xludf.DUMMYFUNCTION("VALUE(REGEXEXTRACT(A4251, ""\d+""))"),6833.0)</f>
        <v>6833</v>
      </c>
    </row>
    <row r="4252">
      <c r="A4252" s="9" t="s">
        <v>16633</v>
      </c>
      <c r="B4252" s="9" t="s">
        <v>13219</v>
      </c>
      <c r="G4252" s="9" t="s">
        <v>13220</v>
      </c>
      <c r="O4252" s="10">
        <f>IFERROR(__xludf.DUMMYFUNCTION("VALUE(REGEXEXTRACT(A4252, ""\d+""))"),6834.0)</f>
        <v>6834</v>
      </c>
    </row>
    <row r="4253">
      <c r="A4253" s="9" t="s">
        <v>16634</v>
      </c>
      <c r="B4253" s="9" t="s">
        <v>16635</v>
      </c>
      <c r="G4253" s="9" t="s">
        <v>16636</v>
      </c>
      <c r="O4253" s="10">
        <f>IFERROR(__xludf.DUMMYFUNCTION("VALUE(REGEXEXTRACT(A4253, ""\d+""))"),6835.0)</f>
        <v>6835</v>
      </c>
    </row>
    <row r="4254">
      <c r="A4254" s="9" t="s">
        <v>16637</v>
      </c>
      <c r="B4254" s="9" t="s">
        <v>16638</v>
      </c>
      <c r="G4254" s="9" t="s">
        <v>16639</v>
      </c>
      <c r="O4254" s="10">
        <f>IFERROR(__xludf.DUMMYFUNCTION("VALUE(REGEXEXTRACT(A4254, ""\d+""))"),6836.0)</f>
        <v>6836</v>
      </c>
    </row>
    <row r="4255">
      <c r="A4255" s="9" t="s">
        <v>16640</v>
      </c>
      <c r="B4255" s="9" t="s">
        <v>13264</v>
      </c>
      <c r="G4255" s="9" t="s">
        <v>13265</v>
      </c>
      <c r="O4255" s="10">
        <f>IFERROR(__xludf.DUMMYFUNCTION("VALUE(REGEXEXTRACT(A4255, ""\d+""))"),6837.0)</f>
        <v>6837</v>
      </c>
    </row>
    <row r="4256">
      <c r="A4256" s="9" t="s">
        <v>16641</v>
      </c>
      <c r="B4256" s="9" t="s">
        <v>16642</v>
      </c>
      <c r="G4256" s="9" t="s">
        <v>16643</v>
      </c>
      <c r="O4256" s="10">
        <f>IFERROR(__xludf.DUMMYFUNCTION("VALUE(REGEXEXTRACT(A4256, ""\d+""))"),6838.0)</f>
        <v>6838</v>
      </c>
    </row>
    <row r="4257">
      <c r="A4257" s="9" t="s">
        <v>16644</v>
      </c>
      <c r="B4257" s="9" t="s">
        <v>13237</v>
      </c>
      <c r="G4257" s="9" t="s">
        <v>13238</v>
      </c>
      <c r="O4257" s="10">
        <f>IFERROR(__xludf.DUMMYFUNCTION("VALUE(REGEXEXTRACT(A4257, ""\d+""))"),6839.0)</f>
        <v>6839</v>
      </c>
    </row>
    <row r="4258">
      <c r="A4258" s="9" t="s">
        <v>16645</v>
      </c>
      <c r="B4258" s="9" t="s">
        <v>13240</v>
      </c>
      <c r="G4258" s="9" t="s">
        <v>13241</v>
      </c>
      <c r="O4258" s="10">
        <f>IFERROR(__xludf.DUMMYFUNCTION("VALUE(REGEXEXTRACT(A4258, ""\d+""))"),6840.0)</f>
        <v>6840</v>
      </c>
    </row>
    <row r="4259">
      <c r="A4259" s="9" t="s">
        <v>16646</v>
      </c>
      <c r="B4259" s="9" t="s">
        <v>13246</v>
      </c>
      <c r="G4259" s="9" t="s">
        <v>13247</v>
      </c>
      <c r="O4259" s="10">
        <f>IFERROR(__xludf.DUMMYFUNCTION("VALUE(REGEXEXTRACT(A4259, ""\d+""))"),6841.0)</f>
        <v>6841</v>
      </c>
    </row>
    <row r="4260">
      <c r="A4260" s="9" t="s">
        <v>16647</v>
      </c>
      <c r="B4260" s="9" t="s">
        <v>13243</v>
      </c>
      <c r="G4260" s="9" t="s">
        <v>13244</v>
      </c>
      <c r="O4260" s="10">
        <f>IFERROR(__xludf.DUMMYFUNCTION("VALUE(REGEXEXTRACT(A4260, ""\d+""))"),6842.0)</f>
        <v>6842</v>
      </c>
    </row>
    <row r="4261">
      <c r="A4261" s="9" t="s">
        <v>16648</v>
      </c>
      <c r="B4261" s="9" t="s">
        <v>16649</v>
      </c>
      <c r="G4261" s="9" t="s">
        <v>16650</v>
      </c>
      <c r="O4261" s="10">
        <f>IFERROR(__xludf.DUMMYFUNCTION("VALUE(REGEXEXTRACT(A4261, ""\d+""))"),6843.0)</f>
        <v>6843</v>
      </c>
    </row>
    <row r="4262">
      <c r="A4262" s="9" t="s">
        <v>16651</v>
      </c>
      <c r="B4262" s="9" t="s">
        <v>13296</v>
      </c>
      <c r="G4262" s="9" t="s">
        <v>13297</v>
      </c>
      <c r="O4262" s="10">
        <f>IFERROR(__xludf.DUMMYFUNCTION("VALUE(REGEXEXTRACT(A4262, ""\d+""))"),6844.0)</f>
        <v>6844</v>
      </c>
    </row>
    <row r="4263">
      <c r="A4263" s="9" t="s">
        <v>16652</v>
      </c>
      <c r="B4263" s="9" t="s">
        <v>16653</v>
      </c>
      <c r="G4263" s="9" t="s">
        <v>16654</v>
      </c>
      <c r="O4263" s="10">
        <f>IFERROR(__xludf.DUMMYFUNCTION("VALUE(REGEXEXTRACT(A4263, ""\d+""))"),6845.0)</f>
        <v>6845</v>
      </c>
    </row>
    <row r="4264">
      <c r="A4264" s="9" t="s">
        <v>16655</v>
      </c>
      <c r="B4264" s="9" t="s">
        <v>16656</v>
      </c>
      <c r="G4264" s="9" t="s">
        <v>16657</v>
      </c>
      <c r="O4264" s="10">
        <f>IFERROR(__xludf.DUMMYFUNCTION("VALUE(REGEXEXTRACT(A4264, ""\d+""))"),6846.0)</f>
        <v>6846</v>
      </c>
    </row>
    <row r="4265">
      <c r="A4265" s="9" t="s">
        <v>16658</v>
      </c>
      <c r="B4265" s="9" t="s">
        <v>16659</v>
      </c>
      <c r="G4265" s="9" t="s">
        <v>16660</v>
      </c>
      <c r="O4265" s="10">
        <f>IFERROR(__xludf.DUMMYFUNCTION("VALUE(REGEXEXTRACT(A4265, ""\d+""))"),6847.0)</f>
        <v>6847</v>
      </c>
    </row>
    <row r="4266">
      <c r="A4266" s="9" t="s">
        <v>16661</v>
      </c>
      <c r="B4266" s="9" t="s">
        <v>16662</v>
      </c>
      <c r="G4266" s="9" t="s">
        <v>16663</v>
      </c>
      <c r="O4266" s="10">
        <f>IFERROR(__xludf.DUMMYFUNCTION("VALUE(REGEXEXTRACT(A4266, ""\d+""))"),6848.0)</f>
        <v>6848</v>
      </c>
    </row>
    <row r="4267">
      <c r="A4267" s="9" t="s">
        <v>16664</v>
      </c>
      <c r="B4267" s="9" t="s">
        <v>16665</v>
      </c>
      <c r="G4267" s="9" t="s">
        <v>16666</v>
      </c>
      <c r="O4267" s="10">
        <f>IFERROR(__xludf.DUMMYFUNCTION("VALUE(REGEXEXTRACT(A4267, ""\d+""))"),6849.0)</f>
        <v>6849</v>
      </c>
    </row>
    <row r="4268">
      <c r="A4268" s="9" t="s">
        <v>16667</v>
      </c>
      <c r="B4268" s="9" t="s">
        <v>16668</v>
      </c>
      <c r="G4268" s="9" t="s">
        <v>16669</v>
      </c>
      <c r="O4268" s="10">
        <f>IFERROR(__xludf.DUMMYFUNCTION("VALUE(REGEXEXTRACT(A4268, ""\d+""))"),6850.0)</f>
        <v>6850</v>
      </c>
    </row>
    <row r="4269">
      <c r="A4269" s="9" t="s">
        <v>16670</v>
      </c>
      <c r="B4269" s="9" t="s">
        <v>16671</v>
      </c>
      <c r="G4269" s="9" t="s">
        <v>16672</v>
      </c>
      <c r="O4269" s="10">
        <f>IFERROR(__xludf.DUMMYFUNCTION("VALUE(REGEXEXTRACT(A4269, ""\d+""))"),6851.0)</f>
        <v>6851</v>
      </c>
    </row>
    <row r="4270">
      <c r="A4270" s="9" t="s">
        <v>16673</v>
      </c>
      <c r="B4270" s="9" t="s">
        <v>16674</v>
      </c>
      <c r="G4270" s="9" t="s">
        <v>16675</v>
      </c>
      <c r="O4270" s="10">
        <f>IFERROR(__xludf.DUMMYFUNCTION("VALUE(REGEXEXTRACT(A4270, ""\d+""))"),6852.0)</f>
        <v>6852</v>
      </c>
    </row>
    <row r="4271">
      <c r="A4271" s="9" t="s">
        <v>16676</v>
      </c>
      <c r="B4271" s="9" t="s">
        <v>16677</v>
      </c>
      <c r="G4271" s="9" t="s">
        <v>16678</v>
      </c>
      <c r="O4271" s="10">
        <f>IFERROR(__xludf.DUMMYFUNCTION("VALUE(REGEXEXTRACT(A4271, ""\d+""))"),6853.0)</f>
        <v>6853</v>
      </c>
    </row>
    <row r="4272">
      <c r="A4272" s="9" t="s">
        <v>16679</v>
      </c>
      <c r="B4272" s="9" t="s">
        <v>16680</v>
      </c>
      <c r="G4272" s="9" t="s">
        <v>16681</v>
      </c>
      <c r="O4272" s="10">
        <f>IFERROR(__xludf.DUMMYFUNCTION("VALUE(REGEXEXTRACT(A4272, ""\d+""))"),6854.0)</f>
        <v>6854</v>
      </c>
    </row>
    <row r="4273">
      <c r="A4273" s="9" t="s">
        <v>16682</v>
      </c>
      <c r="B4273" s="9" t="s">
        <v>16683</v>
      </c>
      <c r="G4273" s="9" t="s">
        <v>16684</v>
      </c>
      <c r="O4273" s="10">
        <f>IFERROR(__xludf.DUMMYFUNCTION("VALUE(REGEXEXTRACT(A4273, ""\d+""))"),6855.0)</f>
        <v>6855</v>
      </c>
    </row>
    <row r="4274">
      <c r="A4274" s="9" t="s">
        <v>16685</v>
      </c>
      <c r="B4274" s="9" t="s">
        <v>16686</v>
      </c>
      <c r="G4274" s="9" t="s">
        <v>16687</v>
      </c>
      <c r="O4274" s="10">
        <f>IFERROR(__xludf.DUMMYFUNCTION("VALUE(REGEXEXTRACT(A4274, ""\d+""))"),6856.0)</f>
        <v>6856</v>
      </c>
    </row>
    <row r="4275">
      <c r="A4275" s="9" t="s">
        <v>16688</v>
      </c>
      <c r="B4275" s="9" t="s">
        <v>16689</v>
      </c>
      <c r="G4275" s="9" t="s">
        <v>16690</v>
      </c>
      <c r="O4275" s="10">
        <f>IFERROR(__xludf.DUMMYFUNCTION("VALUE(REGEXEXTRACT(A4275, ""\d+""))"),6857.0)</f>
        <v>6857</v>
      </c>
    </row>
    <row r="4276">
      <c r="A4276" s="9" t="s">
        <v>16691</v>
      </c>
      <c r="B4276" s="9" t="s">
        <v>16692</v>
      </c>
      <c r="G4276" s="9" t="s">
        <v>16693</v>
      </c>
      <c r="O4276" s="10">
        <f>IFERROR(__xludf.DUMMYFUNCTION("VALUE(REGEXEXTRACT(A4276, ""\d+""))"),6858.0)</f>
        <v>6858</v>
      </c>
    </row>
    <row r="4277">
      <c r="A4277" s="9" t="s">
        <v>16694</v>
      </c>
      <c r="B4277" s="9" t="s">
        <v>16695</v>
      </c>
      <c r="G4277" s="9" t="s">
        <v>16696</v>
      </c>
      <c r="O4277" s="10">
        <f>IFERROR(__xludf.DUMMYFUNCTION("VALUE(REGEXEXTRACT(A4277, ""\d+""))"),6859.0)</f>
        <v>6859</v>
      </c>
    </row>
    <row r="4278">
      <c r="A4278" s="9" t="s">
        <v>16697</v>
      </c>
      <c r="B4278" s="9" t="s">
        <v>16698</v>
      </c>
      <c r="G4278" s="9" t="s">
        <v>16699</v>
      </c>
      <c r="O4278" s="10">
        <f>IFERROR(__xludf.DUMMYFUNCTION("VALUE(REGEXEXTRACT(A4278, ""\d+""))"),6861.0)</f>
        <v>6861</v>
      </c>
    </row>
    <row r="4279">
      <c r="A4279" s="9" t="s">
        <v>16700</v>
      </c>
      <c r="B4279" s="9" t="s">
        <v>16701</v>
      </c>
      <c r="G4279" s="9" t="s">
        <v>16701</v>
      </c>
      <c r="O4279" s="10">
        <f>IFERROR(__xludf.DUMMYFUNCTION("VALUE(REGEXEXTRACT(A4279, ""\d+""))"),6862.0)</f>
        <v>6862</v>
      </c>
    </row>
    <row r="4280">
      <c r="A4280" s="9" t="s">
        <v>16702</v>
      </c>
      <c r="B4280" s="9" t="s">
        <v>16703</v>
      </c>
      <c r="G4280" s="9" t="s">
        <v>16704</v>
      </c>
      <c r="O4280" s="10">
        <f>IFERROR(__xludf.DUMMYFUNCTION("VALUE(REGEXEXTRACT(A4280, ""\d+""))"),6863.0)</f>
        <v>6863</v>
      </c>
    </row>
    <row r="4281">
      <c r="A4281" s="9" t="s">
        <v>16705</v>
      </c>
      <c r="B4281" s="9" t="s">
        <v>16706</v>
      </c>
      <c r="G4281" s="9" t="s">
        <v>16707</v>
      </c>
      <c r="O4281" s="10">
        <f>IFERROR(__xludf.DUMMYFUNCTION("VALUE(REGEXEXTRACT(A4281, ""\d+""))"),6864.0)</f>
        <v>6864</v>
      </c>
    </row>
    <row r="4282">
      <c r="A4282" s="9" t="s">
        <v>16708</v>
      </c>
      <c r="B4282" s="9" t="s">
        <v>16709</v>
      </c>
      <c r="G4282" s="9" t="s">
        <v>16710</v>
      </c>
      <c r="O4282" s="10">
        <f>IFERROR(__xludf.DUMMYFUNCTION("VALUE(REGEXEXTRACT(A4282, ""\d+""))"),6865.0)</f>
        <v>6865</v>
      </c>
    </row>
    <row r="4283">
      <c r="A4283" s="9" t="s">
        <v>16711</v>
      </c>
      <c r="B4283" s="9" t="s">
        <v>16712</v>
      </c>
      <c r="G4283" s="9" t="s">
        <v>16713</v>
      </c>
      <c r="O4283" s="10">
        <f>IFERROR(__xludf.DUMMYFUNCTION("VALUE(REGEXEXTRACT(A4283, ""\d+""))"),6866.0)</f>
        <v>6866</v>
      </c>
    </row>
    <row r="4284">
      <c r="A4284" s="9" t="s">
        <v>16714</v>
      </c>
      <c r="B4284" s="9" t="s">
        <v>16715</v>
      </c>
      <c r="G4284" s="9" t="s">
        <v>16716</v>
      </c>
      <c r="O4284" s="10">
        <f>IFERROR(__xludf.DUMMYFUNCTION("VALUE(REGEXEXTRACT(A4284, ""\d+""))"),6867.0)</f>
        <v>6867</v>
      </c>
    </row>
    <row r="4285">
      <c r="A4285" s="9" t="s">
        <v>16717</v>
      </c>
      <c r="B4285" s="9" t="s">
        <v>16718</v>
      </c>
      <c r="G4285" s="9" t="s">
        <v>16719</v>
      </c>
      <c r="O4285" s="10">
        <f>IFERROR(__xludf.DUMMYFUNCTION("VALUE(REGEXEXTRACT(A4285, ""\d+""))"),6868.0)</f>
        <v>6868</v>
      </c>
    </row>
    <row r="4286">
      <c r="A4286" s="9" t="s">
        <v>16720</v>
      </c>
      <c r="B4286" s="9" t="s">
        <v>16721</v>
      </c>
      <c r="G4286" s="9" t="s">
        <v>16722</v>
      </c>
      <c r="O4286" s="10">
        <f>IFERROR(__xludf.DUMMYFUNCTION("VALUE(REGEXEXTRACT(A4286, ""\d+""))"),6869.0)</f>
        <v>6869</v>
      </c>
    </row>
    <row r="4287">
      <c r="A4287" s="9" t="s">
        <v>16723</v>
      </c>
      <c r="B4287" s="9" t="s">
        <v>16724</v>
      </c>
      <c r="G4287" s="9" t="s">
        <v>16725</v>
      </c>
      <c r="O4287" s="10">
        <f>IFERROR(__xludf.DUMMYFUNCTION("VALUE(REGEXEXTRACT(A4287, ""\d+""))"),6870.0)</f>
        <v>6870</v>
      </c>
    </row>
    <row r="4288">
      <c r="A4288" s="9" t="s">
        <v>16726</v>
      </c>
      <c r="B4288" s="9" t="s">
        <v>16727</v>
      </c>
      <c r="G4288" s="9" t="s">
        <v>16727</v>
      </c>
      <c r="O4288" s="10">
        <f>IFERROR(__xludf.DUMMYFUNCTION("VALUE(REGEXEXTRACT(A4288, ""\d+""))"),6871.0)</f>
        <v>6871</v>
      </c>
    </row>
    <row r="4289">
      <c r="A4289" s="9" t="s">
        <v>16728</v>
      </c>
      <c r="B4289" s="9" t="s">
        <v>16729</v>
      </c>
      <c r="G4289" s="9" t="s">
        <v>16729</v>
      </c>
      <c r="O4289" s="10">
        <f>IFERROR(__xludf.DUMMYFUNCTION("VALUE(REGEXEXTRACT(A4289, ""\d+""))"),6872.0)</f>
        <v>6872</v>
      </c>
    </row>
    <row r="4290">
      <c r="A4290" s="9" t="s">
        <v>16730</v>
      </c>
      <c r="B4290" s="9" t="s">
        <v>16731</v>
      </c>
      <c r="G4290" s="9" t="s">
        <v>16731</v>
      </c>
      <c r="O4290" s="10">
        <f>IFERROR(__xludf.DUMMYFUNCTION("VALUE(REGEXEXTRACT(A4290, ""\d+""))"),6873.0)</f>
        <v>6873</v>
      </c>
    </row>
    <row r="4291">
      <c r="A4291" s="9" t="s">
        <v>16732</v>
      </c>
      <c r="B4291" s="9" t="s">
        <v>16733</v>
      </c>
      <c r="G4291" s="9" t="s">
        <v>16734</v>
      </c>
      <c r="O4291" s="10">
        <f>IFERROR(__xludf.DUMMYFUNCTION("VALUE(REGEXEXTRACT(A4291, ""\d+""))"),6874.0)</f>
        <v>6874</v>
      </c>
    </row>
    <row r="4292">
      <c r="A4292" s="9" t="s">
        <v>16735</v>
      </c>
      <c r="B4292" s="9" t="s">
        <v>16736</v>
      </c>
      <c r="G4292" s="9" t="s">
        <v>16737</v>
      </c>
      <c r="O4292" s="10">
        <f>IFERROR(__xludf.DUMMYFUNCTION("VALUE(REGEXEXTRACT(A4292, ""\d+""))"),6875.0)</f>
        <v>6875</v>
      </c>
    </row>
    <row r="4293">
      <c r="A4293" s="9" t="s">
        <v>16738</v>
      </c>
      <c r="B4293" s="9" t="s">
        <v>16739</v>
      </c>
      <c r="G4293" s="9" t="s">
        <v>16740</v>
      </c>
      <c r="O4293" s="10">
        <f>IFERROR(__xludf.DUMMYFUNCTION("VALUE(REGEXEXTRACT(A4293, ""\d+""))"),6876.0)</f>
        <v>6876</v>
      </c>
    </row>
    <row r="4294">
      <c r="A4294" s="9" t="s">
        <v>16741</v>
      </c>
      <c r="B4294" s="9" t="s">
        <v>16739</v>
      </c>
      <c r="G4294" s="9" t="s">
        <v>16740</v>
      </c>
      <c r="O4294" s="10">
        <f>IFERROR(__xludf.DUMMYFUNCTION("VALUE(REGEXEXTRACT(A4294, ""\d+""))"),6877.0)</f>
        <v>6877</v>
      </c>
    </row>
    <row r="4295">
      <c r="A4295" s="9" t="s">
        <v>16742</v>
      </c>
      <c r="B4295" s="9" t="s">
        <v>16743</v>
      </c>
      <c r="G4295" s="9" t="s">
        <v>16743</v>
      </c>
      <c r="O4295" s="10">
        <f>IFERROR(__xludf.DUMMYFUNCTION("VALUE(REGEXEXTRACT(A4295, ""\d+""))"),6878.0)</f>
        <v>6878</v>
      </c>
    </row>
    <row r="4296">
      <c r="A4296" s="9" t="s">
        <v>16744</v>
      </c>
      <c r="B4296" s="9" t="s">
        <v>16745</v>
      </c>
      <c r="G4296" s="9" t="s">
        <v>16746</v>
      </c>
      <c r="O4296" s="10">
        <f>IFERROR(__xludf.DUMMYFUNCTION("VALUE(REGEXEXTRACT(A4296, ""\d+""))"),6879.0)</f>
        <v>6879</v>
      </c>
    </row>
    <row r="4297">
      <c r="A4297" s="9" t="s">
        <v>16747</v>
      </c>
      <c r="B4297" s="9" t="s">
        <v>16748</v>
      </c>
      <c r="O4297" s="10">
        <f>IFERROR(__xludf.DUMMYFUNCTION("VALUE(REGEXEXTRACT(A4297, ""\d+""))"),6881.0)</f>
        <v>6881</v>
      </c>
    </row>
    <row r="4298">
      <c r="A4298" s="9" t="s">
        <v>16749</v>
      </c>
      <c r="B4298" s="9" t="s">
        <v>16750</v>
      </c>
      <c r="G4298" s="9" t="s">
        <v>16751</v>
      </c>
      <c r="O4298" s="10">
        <f>IFERROR(__xludf.DUMMYFUNCTION("VALUE(REGEXEXTRACT(A4298, ""\d+""))"),6883.0)</f>
        <v>6883</v>
      </c>
    </row>
    <row r="4299">
      <c r="A4299" s="9" t="s">
        <v>16752</v>
      </c>
      <c r="B4299" s="9" t="s">
        <v>16753</v>
      </c>
      <c r="G4299" s="9" t="s">
        <v>16754</v>
      </c>
      <c r="O4299" s="10">
        <f>IFERROR(__xludf.DUMMYFUNCTION("VALUE(REGEXEXTRACT(A4299, ""\d+""))"),6884.0)</f>
        <v>6884</v>
      </c>
    </row>
    <row r="4300">
      <c r="A4300" s="9" t="s">
        <v>16755</v>
      </c>
      <c r="B4300" s="9" t="s">
        <v>16756</v>
      </c>
      <c r="G4300" s="9" t="s">
        <v>16757</v>
      </c>
      <c r="O4300" s="10">
        <f>IFERROR(__xludf.DUMMYFUNCTION("VALUE(REGEXEXTRACT(A4300, ""\d+""))"),6885.0)</f>
        <v>6885</v>
      </c>
    </row>
    <row r="4301">
      <c r="A4301" s="9" t="s">
        <v>16758</v>
      </c>
      <c r="B4301" s="9" t="s">
        <v>16759</v>
      </c>
      <c r="G4301" s="9" t="s">
        <v>16760</v>
      </c>
      <c r="O4301" s="10">
        <f>IFERROR(__xludf.DUMMYFUNCTION("VALUE(REGEXEXTRACT(A4301, ""\d+""))"),6886.0)</f>
        <v>6886</v>
      </c>
    </row>
    <row r="4302">
      <c r="A4302" s="9" t="s">
        <v>16761</v>
      </c>
      <c r="B4302" s="9" t="s">
        <v>16762</v>
      </c>
      <c r="G4302" s="9" t="s">
        <v>16763</v>
      </c>
      <c r="O4302" s="10">
        <f>IFERROR(__xludf.DUMMYFUNCTION("VALUE(REGEXEXTRACT(A4302, ""\d+""))"),6887.0)</f>
        <v>6887</v>
      </c>
    </row>
    <row r="4303">
      <c r="A4303" s="9" t="s">
        <v>16764</v>
      </c>
      <c r="B4303" s="9" t="s">
        <v>16765</v>
      </c>
      <c r="G4303" s="9" t="s">
        <v>16766</v>
      </c>
      <c r="O4303" s="10">
        <f>IFERROR(__xludf.DUMMYFUNCTION("VALUE(REGEXEXTRACT(A4303, ""\d+""))"),6888.0)</f>
        <v>6888</v>
      </c>
    </row>
    <row r="4304">
      <c r="A4304" s="9" t="s">
        <v>16767</v>
      </c>
      <c r="B4304" s="9" t="s">
        <v>16768</v>
      </c>
      <c r="G4304" s="9" t="s">
        <v>16769</v>
      </c>
      <c r="O4304" s="10">
        <f>IFERROR(__xludf.DUMMYFUNCTION("VALUE(REGEXEXTRACT(A4304, ""\d+""))"),6889.0)</f>
        <v>6889</v>
      </c>
    </row>
    <row r="4305">
      <c r="A4305" s="9" t="s">
        <v>16770</v>
      </c>
      <c r="B4305" s="9" t="s">
        <v>16771</v>
      </c>
      <c r="G4305" s="9" t="s">
        <v>16772</v>
      </c>
      <c r="O4305" s="10">
        <f>IFERROR(__xludf.DUMMYFUNCTION("VALUE(REGEXEXTRACT(A4305, ""\d+""))"),6890.0)</f>
        <v>6890</v>
      </c>
    </row>
    <row r="4306">
      <c r="A4306" s="9" t="s">
        <v>16773</v>
      </c>
      <c r="B4306" s="9" t="s">
        <v>16774</v>
      </c>
      <c r="G4306" s="9" t="s">
        <v>16775</v>
      </c>
      <c r="O4306" s="10">
        <f>IFERROR(__xludf.DUMMYFUNCTION("VALUE(REGEXEXTRACT(A4306, ""\d+""))"),6891.0)</f>
        <v>6891</v>
      </c>
    </row>
    <row r="4307">
      <c r="A4307" s="9" t="s">
        <v>16776</v>
      </c>
      <c r="B4307" s="9" t="s">
        <v>16777</v>
      </c>
      <c r="G4307" s="9" t="s">
        <v>16778</v>
      </c>
      <c r="O4307" s="10">
        <f>IFERROR(__xludf.DUMMYFUNCTION("VALUE(REGEXEXTRACT(A4307, ""\d+""))"),6892.0)</f>
        <v>6892</v>
      </c>
    </row>
    <row r="4308">
      <c r="A4308" s="9" t="s">
        <v>16779</v>
      </c>
      <c r="B4308" s="9" t="s">
        <v>16780</v>
      </c>
      <c r="G4308" s="9" t="s">
        <v>16781</v>
      </c>
      <c r="O4308" s="10">
        <f>IFERROR(__xludf.DUMMYFUNCTION("VALUE(REGEXEXTRACT(A4308, ""\d+""))"),6893.0)</f>
        <v>6893</v>
      </c>
    </row>
    <row r="4309">
      <c r="A4309" s="9" t="s">
        <v>16782</v>
      </c>
      <c r="B4309" s="9" t="s">
        <v>16783</v>
      </c>
      <c r="G4309" s="9" t="s">
        <v>16784</v>
      </c>
      <c r="O4309" s="10">
        <f>IFERROR(__xludf.DUMMYFUNCTION("VALUE(REGEXEXTRACT(A4309, ""\d+""))"),6894.0)</f>
        <v>6894</v>
      </c>
    </row>
    <row r="4310">
      <c r="A4310" s="9" t="s">
        <v>16785</v>
      </c>
      <c r="B4310" s="9" t="s">
        <v>13703</v>
      </c>
      <c r="G4310" s="9" t="s">
        <v>13704</v>
      </c>
      <c r="O4310" s="10">
        <f>IFERROR(__xludf.DUMMYFUNCTION("VALUE(REGEXEXTRACT(A4310, ""\d+""))"),6895.0)</f>
        <v>6895</v>
      </c>
    </row>
    <row r="4311">
      <c r="A4311" s="9" t="s">
        <v>16786</v>
      </c>
      <c r="B4311" s="9" t="s">
        <v>13706</v>
      </c>
      <c r="G4311" s="9" t="s">
        <v>13707</v>
      </c>
      <c r="O4311" s="10">
        <f>IFERROR(__xludf.DUMMYFUNCTION("VALUE(REGEXEXTRACT(A4311, ""\d+""))"),6896.0)</f>
        <v>6896</v>
      </c>
    </row>
    <row r="4312">
      <c r="A4312" s="9" t="s">
        <v>16787</v>
      </c>
      <c r="B4312" s="9" t="s">
        <v>13709</v>
      </c>
      <c r="G4312" s="9" t="s">
        <v>13710</v>
      </c>
      <c r="O4312" s="10">
        <f>IFERROR(__xludf.DUMMYFUNCTION("VALUE(REGEXEXTRACT(A4312, ""\d+""))"),6897.0)</f>
        <v>6897</v>
      </c>
    </row>
    <row r="4313">
      <c r="A4313" s="9" t="s">
        <v>16788</v>
      </c>
      <c r="B4313" s="9" t="s">
        <v>16789</v>
      </c>
      <c r="G4313" s="9" t="s">
        <v>16790</v>
      </c>
      <c r="O4313" s="10">
        <f>IFERROR(__xludf.DUMMYFUNCTION("VALUE(REGEXEXTRACT(A4313, ""\d+""))"),6898.0)</f>
        <v>6898</v>
      </c>
    </row>
    <row r="4314">
      <c r="A4314" s="9" t="s">
        <v>16791</v>
      </c>
      <c r="B4314" s="9" t="s">
        <v>13693</v>
      </c>
      <c r="G4314" s="9" t="s">
        <v>13694</v>
      </c>
      <c r="O4314" s="10">
        <f>IFERROR(__xludf.DUMMYFUNCTION("VALUE(REGEXEXTRACT(A4314, ""\d+""))"),6899.0)</f>
        <v>6899</v>
      </c>
    </row>
    <row r="4315">
      <c r="A4315" s="9" t="s">
        <v>16792</v>
      </c>
      <c r="B4315" s="9" t="s">
        <v>13684</v>
      </c>
      <c r="G4315" s="9" t="s">
        <v>13685</v>
      </c>
      <c r="O4315" s="10">
        <f>IFERROR(__xludf.DUMMYFUNCTION("VALUE(REGEXEXTRACT(A4315, ""\d+""))"),6900.0)</f>
        <v>6900</v>
      </c>
    </row>
    <row r="4316">
      <c r="A4316" s="9" t="s">
        <v>16793</v>
      </c>
      <c r="B4316" s="9" t="s">
        <v>13678</v>
      </c>
      <c r="G4316" s="9" t="s">
        <v>13679</v>
      </c>
      <c r="O4316" s="10">
        <f>IFERROR(__xludf.DUMMYFUNCTION("VALUE(REGEXEXTRACT(A4316, ""\d+""))"),6901.0)</f>
        <v>6901</v>
      </c>
    </row>
    <row r="4317">
      <c r="A4317" s="9" t="s">
        <v>16794</v>
      </c>
      <c r="B4317" s="9" t="s">
        <v>16795</v>
      </c>
      <c r="G4317" s="9" t="s">
        <v>16796</v>
      </c>
      <c r="O4317" s="10">
        <f>IFERROR(__xludf.DUMMYFUNCTION("VALUE(REGEXEXTRACT(A4317, ""\d+""))"),6902.0)</f>
        <v>6902</v>
      </c>
    </row>
    <row r="4318">
      <c r="A4318" s="9" t="s">
        <v>16797</v>
      </c>
      <c r="B4318" s="9" t="s">
        <v>13721</v>
      </c>
      <c r="G4318" s="9" t="s">
        <v>13722</v>
      </c>
      <c r="O4318" s="10">
        <f>IFERROR(__xludf.DUMMYFUNCTION("VALUE(REGEXEXTRACT(A4318, ""\d+""))"),6903.0)</f>
        <v>6903</v>
      </c>
    </row>
    <row r="4319">
      <c r="A4319" s="9" t="s">
        <v>16798</v>
      </c>
      <c r="B4319" s="9" t="s">
        <v>16799</v>
      </c>
      <c r="G4319" s="9" t="s">
        <v>16800</v>
      </c>
      <c r="O4319" s="10">
        <f>IFERROR(__xludf.DUMMYFUNCTION("VALUE(REGEXEXTRACT(A4319, ""\d+""))"),6904.0)</f>
        <v>6904</v>
      </c>
    </row>
    <row r="4320">
      <c r="A4320" s="9" t="s">
        <v>16801</v>
      </c>
      <c r="B4320" s="9" t="s">
        <v>13450</v>
      </c>
      <c r="G4320" s="9" t="s">
        <v>13451</v>
      </c>
      <c r="O4320" s="10">
        <f>IFERROR(__xludf.DUMMYFUNCTION("VALUE(REGEXEXTRACT(A4320, ""\d+""))"),6905.0)</f>
        <v>6905</v>
      </c>
    </row>
    <row r="4321">
      <c r="A4321" s="9" t="s">
        <v>16802</v>
      </c>
      <c r="B4321" s="9" t="s">
        <v>13444</v>
      </c>
      <c r="G4321" s="9" t="s">
        <v>13445</v>
      </c>
      <c r="O4321" s="10">
        <f>IFERROR(__xludf.DUMMYFUNCTION("VALUE(REGEXEXTRACT(A4321, ""\d+""))"),6906.0)</f>
        <v>6906</v>
      </c>
    </row>
    <row r="4322">
      <c r="A4322" s="9" t="s">
        <v>16803</v>
      </c>
      <c r="B4322" s="9" t="s">
        <v>13438</v>
      </c>
      <c r="G4322" s="9" t="s">
        <v>13439</v>
      </c>
      <c r="O4322" s="10">
        <f>IFERROR(__xludf.DUMMYFUNCTION("VALUE(REGEXEXTRACT(A4322, ""\d+""))"),6907.0)</f>
        <v>6907</v>
      </c>
    </row>
    <row r="4323">
      <c r="A4323" s="9" t="s">
        <v>16804</v>
      </c>
      <c r="B4323" s="9" t="s">
        <v>13435</v>
      </c>
      <c r="G4323" s="9" t="s">
        <v>13436</v>
      </c>
      <c r="O4323" s="10">
        <f>IFERROR(__xludf.DUMMYFUNCTION("VALUE(REGEXEXTRACT(A4323, ""\d+""))"),6908.0)</f>
        <v>6908</v>
      </c>
    </row>
    <row r="4324">
      <c r="A4324" s="9" t="s">
        <v>16805</v>
      </c>
      <c r="B4324" s="9" t="s">
        <v>16806</v>
      </c>
      <c r="G4324" s="9" t="s">
        <v>13433</v>
      </c>
      <c r="O4324" s="10">
        <f>IFERROR(__xludf.DUMMYFUNCTION("VALUE(REGEXEXTRACT(A4324, ""\d+""))"),6909.0)</f>
        <v>6909</v>
      </c>
    </row>
    <row r="4325">
      <c r="A4325" s="9" t="s">
        <v>16807</v>
      </c>
      <c r="B4325" s="9" t="s">
        <v>13305</v>
      </c>
      <c r="G4325" s="9" t="s">
        <v>13306</v>
      </c>
      <c r="O4325" s="10">
        <f>IFERROR(__xludf.DUMMYFUNCTION("VALUE(REGEXEXTRACT(A4325, ""\d+""))"),6910.0)</f>
        <v>6910</v>
      </c>
    </row>
    <row r="4326">
      <c r="A4326" s="9" t="s">
        <v>16808</v>
      </c>
      <c r="B4326" s="9" t="s">
        <v>16809</v>
      </c>
      <c r="G4326" s="9" t="s">
        <v>16810</v>
      </c>
      <c r="O4326" s="10">
        <f>IFERROR(__xludf.DUMMYFUNCTION("VALUE(REGEXEXTRACT(A4326, ""\d+""))"),6911.0)</f>
        <v>6911</v>
      </c>
    </row>
    <row r="4327">
      <c r="A4327" s="9" t="s">
        <v>16811</v>
      </c>
      <c r="B4327" s="9" t="s">
        <v>16812</v>
      </c>
      <c r="G4327" s="9" t="s">
        <v>16813</v>
      </c>
      <c r="O4327" s="10">
        <f>IFERROR(__xludf.DUMMYFUNCTION("VALUE(REGEXEXTRACT(A4327, ""\d+""))"),6913.0)</f>
        <v>6913</v>
      </c>
    </row>
    <row r="4328">
      <c r="A4328" s="9" t="s">
        <v>16814</v>
      </c>
      <c r="B4328" s="9" t="s">
        <v>13299</v>
      </c>
      <c r="G4328" s="9" t="s">
        <v>13300</v>
      </c>
      <c r="O4328" s="10">
        <f>IFERROR(__xludf.DUMMYFUNCTION("VALUE(REGEXEXTRACT(A4328, ""\d+""))"),6915.0)</f>
        <v>6915</v>
      </c>
    </row>
    <row r="4329">
      <c r="A4329" s="9" t="s">
        <v>16815</v>
      </c>
      <c r="B4329" s="9" t="s">
        <v>13323</v>
      </c>
      <c r="G4329" s="9" t="s">
        <v>13324</v>
      </c>
      <c r="O4329" s="10">
        <f>IFERROR(__xludf.DUMMYFUNCTION("VALUE(REGEXEXTRACT(A4329, ""\d+""))"),6916.0)</f>
        <v>6916</v>
      </c>
    </row>
    <row r="4330">
      <c r="A4330" s="9" t="s">
        <v>16816</v>
      </c>
      <c r="B4330" s="9" t="s">
        <v>16817</v>
      </c>
      <c r="G4330" s="9" t="s">
        <v>16818</v>
      </c>
      <c r="O4330" s="10">
        <f>IFERROR(__xludf.DUMMYFUNCTION("VALUE(REGEXEXTRACT(A4330, ""\d+""))"),6919.0)</f>
        <v>6919</v>
      </c>
    </row>
    <row r="4331">
      <c r="A4331" s="9" t="s">
        <v>16819</v>
      </c>
      <c r="B4331" s="9" t="s">
        <v>16820</v>
      </c>
      <c r="G4331" s="9" t="s">
        <v>16821</v>
      </c>
      <c r="O4331" s="10">
        <f>IFERROR(__xludf.DUMMYFUNCTION("VALUE(REGEXEXTRACT(A4331, ""\d+""))"),6921.0)</f>
        <v>6921</v>
      </c>
    </row>
    <row r="4332">
      <c r="A4332" s="9" t="s">
        <v>16822</v>
      </c>
      <c r="B4332" s="9" t="s">
        <v>16823</v>
      </c>
      <c r="G4332" s="9" t="s">
        <v>16824</v>
      </c>
      <c r="O4332" s="10">
        <f>IFERROR(__xludf.DUMMYFUNCTION("VALUE(REGEXEXTRACT(A4332, ""\d+""))"),6922.0)</f>
        <v>6922</v>
      </c>
    </row>
    <row r="4333">
      <c r="A4333" s="9" t="s">
        <v>16825</v>
      </c>
      <c r="B4333" s="9" t="s">
        <v>13663</v>
      </c>
      <c r="G4333" s="9" t="s">
        <v>13664</v>
      </c>
      <c r="O4333" s="10">
        <f>IFERROR(__xludf.DUMMYFUNCTION("VALUE(REGEXEXTRACT(A4333, ""\d+""))"),6923.0)</f>
        <v>6923</v>
      </c>
    </row>
    <row r="4334">
      <c r="A4334" s="9" t="s">
        <v>16826</v>
      </c>
      <c r="B4334" s="9" t="s">
        <v>16827</v>
      </c>
      <c r="G4334" s="9" t="s">
        <v>16828</v>
      </c>
      <c r="O4334" s="10">
        <f>IFERROR(__xludf.DUMMYFUNCTION("VALUE(REGEXEXTRACT(A4334, ""\d+""))"),6924.0)</f>
        <v>6924</v>
      </c>
    </row>
    <row r="4335">
      <c r="A4335" s="9" t="s">
        <v>16829</v>
      </c>
      <c r="B4335" s="9" t="s">
        <v>16830</v>
      </c>
      <c r="G4335" s="9" t="s">
        <v>16831</v>
      </c>
      <c r="O4335" s="10">
        <f>IFERROR(__xludf.DUMMYFUNCTION("VALUE(REGEXEXTRACT(A4335, ""\d+""))"),6925.0)</f>
        <v>6925</v>
      </c>
    </row>
    <row r="4336">
      <c r="A4336" s="9" t="s">
        <v>16832</v>
      </c>
      <c r="B4336" s="9" t="s">
        <v>16833</v>
      </c>
      <c r="G4336" s="9" t="s">
        <v>16834</v>
      </c>
      <c r="O4336" s="10">
        <f>IFERROR(__xludf.DUMMYFUNCTION("VALUE(REGEXEXTRACT(A4336, ""\d+""))"),6926.0)</f>
        <v>6926</v>
      </c>
    </row>
    <row r="4337">
      <c r="A4337" s="9" t="s">
        <v>16835</v>
      </c>
      <c r="B4337" s="9" t="s">
        <v>16836</v>
      </c>
      <c r="G4337" s="9" t="s">
        <v>16837</v>
      </c>
      <c r="O4337" s="10">
        <f>IFERROR(__xludf.DUMMYFUNCTION("VALUE(REGEXEXTRACT(A4337, ""\d+""))"),6927.0)</f>
        <v>6927</v>
      </c>
    </row>
    <row r="4338">
      <c r="A4338" s="9" t="s">
        <v>16838</v>
      </c>
      <c r="B4338" s="9" t="s">
        <v>16839</v>
      </c>
      <c r="G4338" s="9" t="s">
        <v>16840</v>
      </c>
      <c r="O4338" s="10">
        <f>IFERROR(__xludf.DUMMYFUNCTION("VALUE(REGEXEXTRACT(A4338, ""\d+""))"),6928.0)</f>
        <v>6928</v>
      </c>
    </row>
    <row r="4339">
      <c r="A4339" s="9" t="s">
        <v>16841</v>
      </c>
      <c r="B4339" s="9" t="s">
        <v>16842</v>
      </c>
      <c r="G4339" s="9" t="s">
        <v>16843</v>
      </c>
      <c r="O4339" s="10">
        <f>IFERROR(__xludf.DUMMYFUNCTION("VALUE(REGEXEXTRACT(A4339, ""\d+""))"),6929.0)</f>
        <v>6929</v>
      </c>
    </row>
    <row r="4340">
      <c r="A4340" s="9" t="s">
        <v>16844</v>
      </c>
      <c r="B4340" s="9" t="s">
        <v>16845</v>
      </c>
      <c r="G4340" s="9" t="s">
        <v>16846</v>
      </c>
      <c r="O4340" s="10">
        <f>IFERROR(__xludf.DUMMYFUNCTION("VALUE(REGEXEXTRACT(A4340, ""\d+""))"),6930.0)</f>
        <v>6930</v>
      </c>
    </row>
    <row r="4341">
      <c r="A4341" s="9" t="s">
        <v>16847</v>
      </c>
      <c r="B4341" s="9" t="s">
        <v>16848</v>
      </c>
      <c r="G4341" s="9" t="s">
        <v>16849</v>
      </c>
      <c r="O4341" s="10">
        <f>IFERROR(__xludf.DUMMYFUNCTION("VALUE(REGEXEXTRACT(A4341, ""\d+""))"),6931.0)</f>
        <v>6931</v>
      </c>
    </row>
    <row r="4342">
      <c r="A4342" s="9" t="s">
        <v>16850</v>
      </c>
      <c r="B4342" s="9" t="s">
        <v>16851</v>
      </c>
      <c r="G4342" s="9" t="s">
        <v>16852</v>
      </c>
      <c r="O4342" s="10">
        <f>IFERROR(__xludf.DUMMYFUNCTION("VALUE(REGEXEXTRACT(A4342, ""\d+""))"),6932.0)</f>
        <v>6932</v>
      </c>
    </row>
    <row r="4343">
      <c r="A4343" s="9" t="s">
        <v>16853</v>
      </c>
      <c r="B4343" s="9" t="s">
        <v>16854</v>
      </c>
      <c r="G4343" s="9" t="s">
        <v>16855</v>
      </c>
      <c r="O4343" s="10">
        <f>IFERROR(__xludf.DUMMYFUNCTION("VALUE(REGEXEXTRACT(A4343, ""\d+""))"),6933.0)</f>
        <v>6933</v>
      </c>
    </row>
    <row r="4344">
      <c r="A4344" s="9" t="s">
        <v>16856</v>
      </c>
      <c r="B4344" s="9" t="s">
        <v>16857</v>
      </c>
      <c r="G4344" s="9" t="s">
        <v>16858</v>
      </c>
      <c r="O4344" s="10">
        <f>IFERROR(__xludf.DUMMYFUNCTION("VALUE(REGEXEXTRACT(A4344, ""\d+""))"),6934.0)</f>
        <v>6934</v>
      </c>
    </row>
    <row r="4345">
      <c r="A4345" s="9" t="s">
        <v>16859</v>
      </c>
      <c r="B4345" s="9" t="s">
        <v>16860</v>
      </c>
      <c r="G4345" s="9" t="s">
        <v>16861</v>
      </c>
      <c r="O4345" s="10">
        <f>IFERROR(__xludf.DUMMYFUNCTION("VALUE(REGEXEXTRACT(A4345, ""\d+""))"),6935.0)</f>
        <v>6935</v>
      </c>
    </row>
    <row r="4346">
      <c r="A4346" s="9" t="s">
        <v>16862</v>
      </c>
      <c r="B4346" s="9" t="s">
        <v>16863</v>
      </c>
      <c r="G4346" s="9" t="s">
        <v>16864</v>
      </c>
      <c r="O4346" s="10">
        <f>IFERROR(__xludf.DUMMYFUNCTION("VALUE(REGEXEXTRACT(A4346, ""\d+""))"),6936.0)</f>
        <v>6936</v>
      </c>
    </row>
    <row r="4347">
      <c r="A4347" s="9" t="s">
        <v>16865</v>
      </c>
      <c r="B4347" s="9" t="s">
        <v>16866</v>
      </c>
      <c r="G4347" s="9" t="s">
        <v>16867</v>
      </c>
      <c r="O4347" s="10">
        <f>IFERROR(__xludf.DUMMYFUNCTION("VALUE(REGEXEXTRACT(A4347, ""\d+""))"),6937.0)</f>
        <v>6937</v>
      </c>
    </row>
    <row r="4348">
      <c r="A4348" s="9" t="s">
        <v>16868</v>
      </c>
      <c r="B4348" s="9" t="s">
        <v>16869</v>
      </c>
      <c r="G4348" s="9" t="s">
        <v>16870</v>
      </c>
      <c r="O4348" s="10">
        <f>IFERROR(__xludf.DUMMYFUNCTION("VALUE(REGEXEXTRACT(A4348, ""\d+""))"),6938.0)</f>
        <v>6938</v>
      </c>
    </row>
    <row r="4349">
      <c r="A4349" s="9" t="s">
        <v>16871</v>
      </c>
      <c r="B4349" s="9" t="s">
        <v>16872</v>
      </c>
      <c r="G4349" s="9" t="s">
        <v>16873</v>
      </c>
      <c r="O4349" s="10">
        <f>IFERROR(__xludf.DUMMYFUNCTION("VALUE(REGEXEXTRACT(A4349, ""\d+""))"),6939.0)</f>
        <v>6939</v>
      </c>
    </row>
    <row r="4350">
      <c r="A4350" s="9" t="s">
        <v>16874</v>
      </c>
      <c r="B4350" s="9" t="s">
        <v>16875</v>
      </c>
      <c r="G4350" s="9" t="s">
        <v>16876</v>
      </c>
      <c r="O4350" s="10">
        <f>IFERROR(__xludf.DUMMYFUNCTION("VALUE(REGEXEXTRACT(A4350, ""\d+""))"),6940.0)</f>
        <v>6940</v>
      </c>
    </row>
    <row r="4351">
      <c r="A4351" s="9" t="s">
        <v>16877</v>
      </c>
      <c r="B4351" s="9" t="s">
        <v>16878</v>
      </c>
      <c r="G4351" s="9" t="s">
        <v>16879</v>
      </c>
      <c r="O4351" s="10">
        <f>IFERROR(__xludf.DUMMYFUNCTION("VALUE(REGEXEXTRACT(A4351, ""\d+""))"),6941.0)</f>
        <v>6941</v>
      </c>
    </row>
    <row r="4352">
      <c r="A4352" s="9" t="s">
        <v>16880</v>
      </c>
      <c r="B4352" s="9" t="s">
        <v>16881</v>
      </c>
      <c r="G4352" s="9" t="s">
        <v>16882</v>
      </c>
      <c r="O4352" s="10">
        <f>IFERROR(__xludf.DUMMYFUNCTION("VALUE(REGEXEXTRACT(A4352, ""\d+""))"),6942.0)</f>
        <v>6942</v>
      </c>
    </row>
    <row r="4353">
      <c r="A4353" s="9" t="s">
        <v>16883</v>
      </c>
      <c r="B4353" s="9" t="s">
        <v>16884</v>
      </c>
      <c r="G4353" s="9" t="s">
        <v>16885</v>
      </c>
      <c r="O4353" s="10">
        <f>IFERROR(__xludf.DUMMYFUNCTION("VALUE(REGEXEXTRACT(A4353, ""\d+""))"),6943.0)</f>
        <v>6943</v>
      </c>
    </row>
    <row r="4354">
      <c r="A4354" s="9" t="s">
        <v>16886</v>
      </c>
      <c r="B4354" s="9" t="s">
        <v>16887</v>
      </c>
      <c r="G4354" s="9" t="s">
        <v>16888</v>
      </c>
      <c r="O4354" s="10">
        <f>IFERROR(__xludf.DUMMYFUNCTION("VALUE(REGEXEXTRACT(A4354, ""\d+""))"),6944.0)</f>
        <v>6944</v>
      </c>
    </row>
    <row r="4355">
      <c r="A4355" s="9" t="s">
        <v>16889</v>
      </c>
      <c r="B4355" s="9" t="s">
        <v>16890</v>
      </c>
      <c r="G4355" s="9" t="s">
        <v>16891</v>
      </c>
      <c r="O4355" s="10">
        <f>IFERROR(__xludf.DUMMYFUNCTION("VALUE(REGEXEXTRACT(A4355, ""\d+""))"),6945.0)</f>
        <v>6945</v>
      </c>
    </row>
    <row r="4356">
      <c r="A4356" s="9" t="s">
        <v>16892</v>
      </c>
      <c r="B4356" s="9" t="s">
        <v>16893</v>
      </c>
      <c r="G4356" s="9" t="s">
        <v>16894</v>
      </c>
      <c r="O4356" s="10">
        <f>IFERROR(__xludf.DUMMYFUNCTION("VALUE(REGEXEXTRACT(A4356, ""\d+""))"),6946.0)</f>
        <v>6946</v>
      </c>
    </row>
    <row r="4357">
      <c r="A4357" s="9" t="s">
        <v>16895</v>
      </c>
      <c r="B4357" s="9" t="s">
        <v>16896</v>
      </c>
      <c r="G4357" s="9" t="s">
        <v>16897</v>
      </c>
      <c r="O4357" s="10">
        <f>IFERROR(__xludf.DUMMYFUNCTION("VALUE(REGEXEXTRACT(A4357, ""\d+""))"),6947.0)</f>
        <v>6947</v>
      </c>
    </row>
    <row r="4358">
      <c r="A4358" s="9" t="s">
        <v>16898</v>
      </c>
      <c r="B4358" s="9" t="s">
        <v>16899</v>
      </c>
      <c r="G4358" s="9" t="s">
        <v>16900</v>
      </c>
      <c r="O4358" s="10">
        <f>IFERROR(__xludf.DUMMYFUNCTION("VALUE(REGEXEXTRACT(A4358, ""\d+""))"),6948.0)</f>
        <v>6948</v>
      </c>
    </row>
    <row r="4359">
      <c r="A4359" s="9" t="s">
        <v>16901</v>
      </c>
      <c r="B4359" s="9" t="s">
        <v>16902</v>
      </c>
      <c r="G4359" s="9" t="s">
        <v>16903</v>
      </c>
      <c r="O4359" s="10">
        <f>IFERROR(__xludf.DUMMYFUNCTION("VALUE(REGEXEXTRACT(A4359, ""\d+""))"),6949.0)</f>
        <v>6949</v>
      </c>
    </row>
    <row r="4360">
      <c r="A4360" s="9" t="s">
        <v>16904</v>
      </c>
      <c r="B4360" s="9" t="s">
        <v>16905</v>
      </c>
      <c r="G4360" s="9" t="s">
        <v>16906</v>
      </c>
      <c r="O4360" s="10">
        <f>IFERROR(__xludf.DUMMYFUNCTION("VALUE(REGEXEXTRACT(A4360, ""\d+""))"),6950.0)</f>
        <v>6950</v>
      </c>
    </row>
    <row r="4361">
      <c r="A4361" s="9" t="s">
        <v>16907</v>
      </c>
      <c r="B4361" s="9" t="s">
        <v>16908</v>
      </c>
      <c r="G4361" s="9" t="s">
        <v>16909</v>
      </c>
      <c r="O4361" s="10">
        <f>IFERROR(__xludf.DUMMYFUNCTION("VALUE(REGEXEXTRACT(A4361, ""\d+""))"),6951.0)</f>
        <v>6951</v>
      </c>
    </row>
    <row r="4362">
      <c r="A4362" s="9" t="s">
        <v>16910</v>
      </c>
      <c r="B4362" s="9" t="s">
        <v>16911</v>
      </c>
      <c r="G4362" s="9" t="s">
        <v>16912</v>
      </c>
      <c r="O4362" s="10">
        <f>IFERROR(__xludf.DUMMYFUNCTION("VALUE(REGEXEXTRACT(A4362, ""\d+""))"),6952.0)</f>
        <v>6952</v>
      </c>
    </row>
    <row r="4363">
      <c r="A4363" s="9" t="s">
        <v>16913</v>
      </c>
      <c r="B4363" s="9" t="s">
        <v>16914</v>
      </c>
      <c r="G4363" s="9" t="s">
        <v>16915</v>
      </c>
      <c r="O4363" s="10">
        <f>IFERROR(__xludf.DUMMYFUNCTION("VALUE(REGEXEXTRACT(A4363, ""\d+""))"),6953.0)</f>
        <v>6953</v>
      </c>
    </row>
    <row r="4364">
      <c r="A4364" s="9" t="s">
        <v>16916</v>
      </c>
      <c r="B4364" s="9" t="s">
        <v>16917</v>
      </c>
      <c r="G4364" s="9" t="s">
        <v>16918</v>
      </c>
      <c r="O4364" s="10">
        <f>IFERROR(__xludf.DUMMYFUNCTION("VALUE(REGEXEXTRACT(A4364, ""\d+""))"),6954.0)</f>
        <v>6954</v>
      </c>
    </row>
    <row r="4365">
      <c r="A4365" s="9" t="s">
        <v>16919</v>
      </c>
      <c r="B4365" s="9" t="s">
        <v>16920</v>
      </c>
      <c r="G4365" s="9" t="s">
        <v>16921</v>
      </c>
      <c r="O4365" s="10">
        <f>IFERROR(__xludf.DUMMYFUNCTION("VALUE(REGEXEXTRACT(A4365, ""\d+""))"),6956.0)</f>
        <v>6956</v>
      </c>
    </row>
    <row r="4366">
      <c r="A4366" s="9" t="s">
        <v>16922</v>
      </c>
      <c r="B4366" s="9" t="s">
        <v>16923</v>
      </c>
      <c r="G4366" s="9" t="s">
        <v>16924</v>
      </c>
      <c r="O4366" s="10">
        <f>IFERROR(__xludf.DUMMYFUNCTION("VALUE(REGEXEXTRACT(A4366, ""\d+""))"),6957.0)</f>
        <v>6957</v>
      </c>
    </row>
    <row r="4367">
      <c r="A4367" s="9" t="s">
        <v>16925</v>
      </c>
      <c r="B4367" s="9" t="s">
        <v>13898</v>
      </c>
      <c r="G4367" s="9" t="s">
        <v>4309</v>
      </c>
      <c r="O4367" s="10">
        <f>IFERROR(__xludf.DUMMYFUNCTION("VALUE(REGEXEXTRACT(A4367, ""\d+""))"),6960.0)</f>
        <v>6960</v>
      </c>
    </row>
    <row r="4368">
      <c r="A4368" s="9" t="s">
        <v>16926</v>
      </c>
      <c r="B4368" s="9" t="s">
        <v>16927</v>
      </c>
      <c r="G4368" s="9" t="s">
        <v>16928</v>
      </c>
      <c r="O4368" s="10">
        <f>IFERROR(__xludf.DUMMYFUNCTION("VALUE(REGEXEXTRACT(A4368, ""\d+""))"),6961.0)</f>
        <v>6961</v>
      </c>
    </row>
    <row r="4369">
      <c r="A4369" s="9" t="s">
        <v>16929</v>
      </c>
      <c r="B4369" s="9" t="s">
        <v>16930</v>
      </c>
      <c r="G4369" s="9" t="s">
        <v>16931</v>
      </c>
      <c r="O4369" s="10">
        <f>IFERROR(__xludf.DUMMYFUNCTION("VALUE(REGEXEXTRACT(A4369, ""\d+""))"),6962.0)</f>
        <v>6962</v>
      </c>
    </row>
    <row r="4370">
      <c r="A4370" s="9" t="s">
        <v>16932</v>
      </c>
      <c r="B4370" s="9" t="s">
        <v>16930</v>
      </c>
      <c r="G4370" s="9" t="s">
        <v>16931</v>
      </c>
      <c r="O4370" s="10">
        <f>IFERROR(__xludf.DUMMYFUNCTION("VALUE(REGEXEXTRACT(A4370, ""\d+""))"),6963.0)</f>
        <v>6963</v>
      </c>
    </row>
    <row r="4371">
      <c r="A4371" s="9" t="s">
        <v>16933</v>
      </c>
      <c r="B4371" s="9" t="s">
        <v>16930</v>
      </c>
      <c r="G4371" s="9" t="s">
        <v>16931</v>
      </c>
      <c r="O4371" s="10">
        <f>IFERROR(__xludf.DUMMYFUNCTION("VALUE(REGEXEXTRACT(A4371, ""\d+""))"),6964.0)</f>
        <v>6964</v>
      </c>
    </row>
    <row r="4372">
      <c r="A4372" s="9" t="s">
        <v>16934</v>
      </c>
      <c r="B4372" s="9" t="s">
        <v>16935</v>
      </c>
      <c r="G4372" s="9" t="s">
        <v>16936</v>
      </c>
      <c r="O4372" s="10">
        <f>IFERROR(__xludf.DUMMYFUNCTION("VALUE(REGEXEXTRACT(A4372, ""\d+""))"),6965.0)</f>
        <v>6965</v>
      </c>
    </row>
    <row r="4373">
      <c r="A4373" s="9" t="s">
        <v>16937</v>
      </c>
      <c r="B4373" s="9" t="s">
        <v>16935</v>
      </c>
      <c r="G4373" s="9" t="s">
        <v>16936</v>
      </c>
      <c r="O4373" s="10">
        <f>IFERROR(__xludf.DUMMYFUNCTION("VALUE(REGEXEXTRACT(A4373, ""\d+""))"),6966.0)</f>
        <v>6966</v>
      </c>
    </row>
    <row r="4374">
      <c r="A4374" s="9" t="s">
        <v>16938</v>
      </c>
      <c r="B4374" s="9" t="s">
        <v>16935</v>
      </c>
      <c r="G4374" s="9" t="s">
        <v>16936</v>
      </c>
      <c r="O4374" s="10">
        <f>IFERROR(__xludf.DUMMYFUNCTION("VALUE(REGEXEXTRACT(A4374, ""\d+""))"),6967.0)</f>
        <v>6967</v>
      </c>
    </row>
    <row r="4375">
      <c r="A4375" s="9" t="s">
        <v>16939</v>
      </c>
      <c r="B4375" s="9" t="s">
        <v>16940</v>
      </c>
      <c r="G4375" s="9" t="s">
        <v>16941</v>
      </c>
      <c r="O4375" s="10">
        <f>IFERROR(__xludf.DUMMYFUNCTION("VALUE(REGEXEXTRACT(A4375, ""\d+""))"),6968.0)</f>
        <v>6968</v>
      </c>
    </row>
    <row r="4376">
      <c r="A4376" s="9" t="s">
        <v>16942</v>
      </c>
      <c r="B4376" s="9" t="s">
        <v>16943</v>
      </c>
      <c r="G4376" s="9" t="s">
        <v>16944</v>
      </c>
      <c r="O4376" s="10">
        <f>IFERROR(__xludf.DUMMYFUNCTION("VALUE(REGEXEXTRACT(A4376, ""\d+""))"),6969.0)</f>
        <v>6969</v>
      </c>
    </row>
    <row r="4377">
      <c r="A4377" s="9" t="s">
        <v>16945</v>
      </c>
      <c r="B4377" s="9" t="s">
        <v>16946</v>
      </c>
      <c r="G4377" s="9" t="s">
        <v>16947</v>
      </c>
      <c r="O4377" s="10">
        <f>IFERROR(__xludf.DUMMYFUNCTION("VALUE(REGEXEXTRACT(A4377, ""\d+""))"),6970.0)</f>
        <v>6970</v>
      </c>
    </row>
    <row r="4378">
      <c r="A4378" s="9" t="s">
        <v>16948</v>
      </c>
      <c r="B4378" s="9" t="s">
        <v>16949</v>
      </c>
      <c r="G4378" s="9" t="s">
        <v>16950</v>
      </c>
      <c r="O4378" s="10">
        <f>IFERROR(__xludf.DUMMYFUNCTION("VALUE(REGEXEXTRACT(A4378, ""\d+""))"),6971.0)</f>
        <v>6971</v>
      </c>
    </row>
    <row r="4379">
      <c r="A4379" s="9" t="s">
        <v>16951</v>
      </c>
      <c r="B4379" s="9" t="s">
        <v>16952</v>
      </c>
      <c r="G4379" s="9" t="s">
        <v>16953</v>
      </c>
      <c r="O4379" s="10">
        <f>IFERROR(__xludf.DUMMYFUNCTION("VALUE(REGEXEXTRACT(A4379, ""\d+""))"),6972.0)</f>
        <v>6972</v>
      </c>
    </row>
    <row r="4380">
      <c r="A4380" s="9" t="s">
        <v>16954</v>
      </c>
      <c r="B4380" s="9" t="s">
        <v>16955</v>
      </c>
      <c r="G4380" s="9" t="s">
        <v>16956</v>
      </c>
      <c r="O4380" s="10">
        <f>IFERROR(__xludf.DUMMYFUNCTION("VALUE(REGEXEXTRACT(A4380, ""\d+""))"),6973.0)</f>
        <v>6973</v>
      </c>
    </row>
    <row r="4381">
      <c r="A4381" s="9" t="s">
        <v>16957</v>
      </c>
      <c r="B4381" s="9" t="s">
        <v>16958</v>
      </c>
      <c r="G4381" s="9" t="s">
        <v>16958</v>
      </c>
      <c r="O4381" s="10">
        <f>IFERROR(__xludf.DUMMYFUNCTION("VALUE(REGEXEXTRACT(A4381, ""\d+""))"),6974.0)</f>
        <v>6974</v>
      </c>
    </row>
    <row r="4382">
      <c r="A4382" s="9" t="s">
        <v>16959</v>
      </c>
      <c r="B4382" s="9" t="s">
        <v>16960</v>
      </c>
      <c r="G4382" s="9" t="s">
        <v>16961</v>
      </c>
      <c r="O4382" s="10">
        <f>IFERROR(__xludf.DUMMYFUNCTION("VALUE(REGEXEXTRACT(A4382, ""\d+""))"),6975.0)</f>
        <v>6975</v>
      </c>
    </row>
    <row r="4383">
      <c r="A4383" s="9" t="s">
        <v>16962</v>
      </c>
      <c r="B4383" s="9" t="s">
        <v>16963</v>
      </c>
      <c r="G4383" s="9" t="s">
        <v>16964</v>
      </c>
      <c r="O4383" s="10">
        <f>IFERROR(__xludf.DUMMYFUNCTION("VALUE(REGEXEXTRACT(A4383, ""\d+""))"),6976.0)</f>
        <v>6976</v>
      </c>
    </row>
    <row r="4384">
      <c r="A4384" s="9" t="s">
        <v>16965</v>
      </c>
      <c r="B4384" s="9" t="s">
        <v>16966</v>
      </c>
      <c r="G4384" s="9" t="s">
        <v>16967</v>
      </c>
      <c r="O4384" s="10">
        <f>IFERROR(__xludf.DUMMYFUNCTION("VALUE(REGEXEXTRACT(A4384, ""\d+""))"),6977.0)</f>
        <v>6977</v>
      </c>
    </row>
    <row r="4385">
      <c r="A4385" s="9" t="s">
        <v>16968</v>
      </c>
      <c r="B4385" s="9" t="s">
        <v>16969</v>
      </c>
      <c r="G4385" s="9" t="s">
        <v>16970</v>
      </c>
      <c r="O4385" s="10">
        <f>IFERROR(__xludf.DUMMYFUNCTION("VALUE(REGEXEXTRACT(A4385, ""\d+""))"),6978.0)</f>
        <v>6978</v>
      </c>
    </row>
    <row r="4386">
      <c r="A4386" s="9" t="s">
        <v>16971</v>
      </c>
      <c r="B4386" s="9" t="s">
        <v>16969</v>
      </c>
      <c r="G4386" s="9" t="s">
        <v>16970</v>
      </c>
      <c r="O4386" s="10">
        <f>IFERROR(__xludf.DUMMYFUNCTION("VALUE(REGEXEXTRACT(A4386, ""\d+""))"),6979.0)</f>
        <v>6979</v>
      </c>
    </row>
    <row r="4387">
      <c r="A4387" s="9" t="s">
        <v>16972</v>
      </c>
      <c r="B4387" s="9" t="s">
        <v>16969</v>
      </c>
      <c r="G4387" s="9" t="s">
        <v>16970</v>
      </c>
      <c r="O4387" s="10">
        <f>IFERROR(__xludf.DUMMYFUNCTION("VALUE(REGEXEXTRACT(A4387, ""\d+""))"),6980.0)</f>
        <v>6980</v>
      </c>
    </row>
    <row r="4388">
      <c r="A4388" s="9" t="s">
        <v>16973</v>
      </c>
      <c r="B4388" s="9" t="s">
        <v>16974</v>
      </c>
      <c r="G4388" s="9" t="s">
        <v>16975</v>
      </c>
      <c r="O4388" s="10">
        <f>IFERROR(__xludf.DUMMYFUNCTION("VALUE(REGEXEXTRACT(A4388, ""\d+""))"),6981.0)</f>
        <v>6981</v>
      </c>
    </row>
    <row r="4389">
      <c r="A4389" s="9" t="s">
        <v>16976</v>
      </c>
      <c r="B4389" s="9" t="s">
        <v>16977</v>
      </c>
      <c r="G4389" s="9" t="s">
        <v>16978</v>
      </c>
      <c r="O4389" s="10">
        <f>IFERROR(__xludf.DUMMYFUNCTION("VALUE(REGEXEXTRACT(A4389, ""\d+""))"),6982.0)</f>
        <v>6982</v>
      </c>
    </row>
    <row r="4390">
      <c r="A4390" s="9" t="s">
        <v>16979</v>
      </c>
      <c r="B4390" s="9" t="s">
        <v>16980</v>
      </c>
      <c r="G4390" s="9" t="s">
        <v>16981</v>
      </c>
      <c r="O4390" s="10">
        <f>IFERROR(__xludf.DUMMYFUNCTION("VALUE(REGEXEXTRACT(A4390, ""\d+""))"),6983.0)</f>
        <v>6983</v>
      </c>
    </row>
    <row r="4391">
      <c r="A4391" s="9" t="s">
        <v>16982</v>
      </c>
      <c r="B4391" s="9" t="s">
        <v>16983</v>
      </c>
      <c r="G4391" s="9" t="s">
        <v>16984</v>
      </c>
      <c r="O4391" s="10">
        <f>IFERROR(__xludf.DUMMYFUNCTION("VALUE(REGEXEXTRACT(A4391, ""\d+""))"),6984.0)</f>
        <v>6984</v>
      </c>
    </row>
    <row r="4392">
      <c r="A4392" s="9" t="s">
        <v>16985</v>
      </c>
      <c r="B4392" s="9" t="s">
        <v>16986</v>
      </c>
      <c r="G4392" s="9" t="s">
        <v>16987</v>
      </c>
      <c r="O4392" s="10">
        <f>IFERROR(__xludf.DUMMYFUNCTION("VALUE(REGEXEXTRACT(A4392, ""\d+""))"),6985.0)</f>
        <v>6985</v>
      </c>
    </row>
    <row r="4393">
      <c r="A4393" s="9" t="s">
        <v>16988</v>
      </c>
      <c r="B4393" s="9" t="s">
        <v>16989</v>
      </c>
      <c r="G4393" s="9" t="s">
        <v>16990</v>
      </c>
      <c r="O4393" s="10">
        <f>IFERROR(__xludf.DUMMYFUNCTION("VALUE(REGEXEXTRACT(A4393, ""\d+""))"),6986.0)</f>
        <v>6986</v>
      </c>
    </row>
    <row r="4394">
      <c r="A4394" s="9" t="s">
        <v>16991</v>
      </c>
      <c r="B4394" s="9" t="s">
        <v>16992</v>
      </c>
      <c r="G4394" s="9" t="s">
        <v>16993</v>
      </c>
      <c r="O4394" s="10">
        <f>IFERROR(__xludf.DUMMYFUNCTION("VALUE(REGEXEXTRACT(A4394, ""\d+""))"),6987.0)</f>
        <v>6987</v>
      </c>
    </row>
    <row r="4395">
      <c r="A4395" s="9" t="s">
        <v>16994</v>
      </c>
      <c r="B4395" s="9" t="s">
        <v>16995</v>
      </c>
      <c r="G4395" s="9" t="s">
        <v>16996</v>
      </c>
      <c r="O4395" s="10">
        <f>IFERROR(__xludf.DUMMYFUNCTION("VALUE(REGEXEXTRACT(A4395, ""\d+""))"),6988.0)</f>
        <v>6988</v>
      </c>
    </row>
    <row r="4396">
      <c r="A4396" s="9" t="s">
        <v>16997</v>
      </c>
      <c r="B4396" s="9" t="s">
        <v>16998</v>
      </c>
      <c r="G4396" s="9" t="s">
        <v>16999</v>
      </c>
      <c r="O4396" s="10">
        <f>IFERROR(__xludf.DUMMYFUNCTION("VALUE(REGEXEXTRACT(A4396, ""\d+""))"),6989.0)</f>
        <v>6989</v>
      </c>
    </row>
    <row r="4397">
      <c r="A4397" s="9" t="s">
        <v>17000</v>
      </c>
      <c r="B4397" s="9" t="s">
        <v>17001</v>
      </c>
      <c r="G4397" s="9" t="s">
        <v>17002</v>
      </c>
      <c r="O4397" s="10">
        <f>IFERROR(__xludf.DUMMYFUNCTION("VALUE(REGEXEXTRACT(A4397, ""\d+""))"),6990.0)</f>
        <v>6990</v>
      </c>
    </row>
    <row r="4398">
      <c r="A4398" s="9" t="s">
        <v>17003</v>
      </c>
      <c r="B4398" s="9" t="s">
        <v>17004</v>
      </c>
      <c r="G4398" s="9" t="s">
        <v>17005</v>
      </c>
      <c r="O4398" s="10">
        <f>IFERROR(__xludf.DUMMYFUNCTION("VALUE(REGEXEXTRACT(A4398, ""\d+""))"),6991.0)</f>
        <v>6991</v>
      </c>
    </row>
    <row r="4399">
      <c r="A4399" s="9" t="s">
        <v>17006</v>
      </c>
      <c r="B4399" s="9" t="s">
        <v>17007</v>
      </c>
      <c r="G4399" s="9" t="s">
        <v>17008</v>
      </c>
      <c r="O4399" s="10">
        <f>IFERROR(__xludf.DUMMYFUNCTION("VALUE(REGEXEXTRACT(A4399, ""\d+""))"),6992.0)</f>
        <v>6992</v>
      </c>
    </row>
    <row r="4400">
      <c r="A4400" s="9" t="s">
        <v>17009</v>
      </c>
      <c r="B4400" s="9" t="s">
        <v>17010</v>
      </c>
      <c r="G4400" s="9" t="s">
        <v>17011</v>
      </c>
      <c r="O4400" s="10">
        <f>IFERROR(__xludf.DUMMYFUNCTION("VALUE(REGEXEXTRACT(A4400, ""\d+""))"),6993.0)</f>
        <v>6993</v>
      </c>
    </row>
    <row r="4401">
      <c r="A4401" s="9" t="s">
        <v>17012</v>
      </c>
      <c r="B4401" s="9" t="s">
        <v>17013</v>
      </c>
      <c r="G4401" s="9" t="s">
        <v>17014</v>
      </c>
      <c r="O4401" s="10">
        <f>IFERROR(__xludf.DUMMYFUNCTION("VALUE(REGEXEXTRACT(A4401, ""\d+""))"),6994.0)</f>
        <v>6994</v>
      </c>
    </row>
    <row r="4402">
      <c r="A4402" s="9" t="s">
        <v>17015</v>
      </c>
      <c r="B4402" s="9" t="s">
        <v>17016</v>
      </c>
      <c r="G4402" s="9" t="s">
        <v>17017</v>
      </c>
      <c r="O4402" s="10">
        <f>IFERROR(__xludf.DUMMYFUNCTION("VALUE(REGEXEXTRACT(A4402, ""\d+""))"),6995.0)</f>
        <v>6995</v>
      </c>
    </row>
    <row r="4403">
      <c r="A4403" s="9" t="s">
        <v>17018</v>
      </c>
      <c r="B4403" s="9" t="s">
        <v>17019</v>
      </c>
      <c r="G4403" s="9" t="s">
        <v>17020</v>
      </c>
      <c r="O4403" s="10">
        <f>IFERROR(__xludf.DUMMYFUNCTION("VALUE(REGEXEXTRACT(A4403, ""\d+""))"),6996.0)</f>
        <v>6996</v>
      </c>
    </row>
    <row r="4404">
      <c r="A4404" s="9" t="s">
        <v>17021</v>
      </c>
      <c r="B4404" s="9" t="s">
        <v>17022</v>
      </c>
      <c r="G4404" s="9" t="s">
        <v>17023</v>
      </c>
      <c r="O4404" s="10">
        <f>IFERROR(__xludf.DUMMYFUNCTION("VALUE(REGEXEXTRACT(A4404, ""\d+""))"),6997.0)</f>
        <v>6997</v>
      </c>
    </row>
    <row r="4405">
      <c r="A4405" s="9" t="s">
        <v>17024</v>
      </c>
      <c r="B4405" s="9" t="s">
        <v>17025</v>
      </c>
      <c r="G4405" s="9" t="s">
        <v>17026</v>
      </c>
      <c r="O4405" s="10">
        <f>IFERROR(__xludf.DUMMYFUNCTION("VALUE(REGEXEXTRACT(A4405, ""\d+""))"),6998.0)</f>
        <v>6998</v>
      </c>
    </row>
    <row r="4406">
      <c r="A4406" s="9" t="s">
        <v>17027</v>
      </c>
      <c r="B4406" s="9" t="s">
        <v>14072</v>
      </c>
      <c r="G4406" s="9" t="s">
        <v>14073</v>
      </c>
      <c r="O4406" s="10">
        <f>IFERROR(__xludf.DUMMYFUNCTION("VALUE(REGEXEXTRACT(A4406, ""\d+""))"),6999.0)</f>
        <v>6999</v>
      </c>
    </row>
    <row r="4407">
      <c r="A4407" s="9" t="s">
        <v>17028</v>
      </c>
      <c r="B4407" s="9" t="s">
        <v>17029</v>
      </c>
      <c r="G4407" s="9" t="s">
        <v>17030</v>
      </c>
      <c r="O4407" s="10">
        <f>IFERROR(__xludf.DUMMYFUNCTION("VALUE(REGEXEXTRACT(A4407, ""\d+""))"),7000.0)</f>
        <v>7000</v>
      </c>
    </row>
    <row r="4408">
      <c r="A4408" s="9" t="s">
        <v>17031</v>
      </c>
      <c r="B4408" s="9" t="s">
        <v>14084</v>
      </c>
      <c r="G4408" s="9" t="s">
        <v>14085</v>
      </c>
      <c r="O4408" s="10">
        <f>IFERROR(__xludf.DUMMYFUNCTION("VALUE(REGEXEXTRACT(A4408, ""\d+""))"),7001.0)</f>
        <v>7001</v>
      </c>
    </row>
    <row r="4409">
      <c r="A4409" s="9" t="s">
        <v>17032</v>
      </c>
      <c r="B4409" s="9" t="s">
        <v>14075</v>
      </c>
      <c r="G4409" s="9" t="s">
        <v>14076</v>
      </c>
      <c r="O4409" s="10">
        <f>IFERROR(__xludf.DUMMYFUNCTION("VALUE(REGEXEXTRACT(A4409, ""\d+""))"),7002.0)</f>
        <v>7002</v>
      </c>
    </row>
    <row r="4410">
      <c r="A4410" s="9" t="s">
        <v>17033</v>
      </c>
      <c r="B4410" s="9" t="s">
        <v>14093</v>
      </c>
      <c r="G4410" s="9" t="s">
        <v>14094</v>
      </c>
      <c r="O4410" s="10">
        <f>IFERROR(__xludf.DUMMYFUNCTION("VALUE(REGEXEXTRACT(A4410, ""\d+""))"),7003.0)</f>
        <v>7003</v>
      </c>
    </row>
    <row r="4411">
      <c r="A4411" s="9" t="s">
        <v>17034</v>
      </c>
      <c r="B4411" s="9" t="s">
        <v>17035</v>
      </c>
      <c r="G4411" s="9" t="s">
        <v>17036</v>
      </c>
      <c r="O4411" s="10">
        <f>IFERROR(__xludf.DUMMYFUNCTION("VALUE(REGEXEXTRACT(A4411, ""\d+""))"),7004.0)</f>
        <v>7004</v>
      </c>
    </row>
    <row r="4412">
      <c r="A4412" s="9" t="s">
        <v>17037</v>
      </c>
      <c r="B4412" s="9" t="s">
        <v>17038</v>
      </c>
      <c r="G4412" s="9" t="s">
        <v>17039</v>
      </c>
      <c r="O4412" s="10">
        <f>IFERROR(__xludf.DUMMYFUNCTION("VALUE(REGEXEXTRACT(A4412, ""\d+""))"),7005.0)</f>
        <v>7005</v>
      </c>
    </row>
    <row r="4413">
      <c r="A4413" s="9" t="s">
        <v>17040</v>
      </c>
      <c r="B4413" s="9" t="s">
        <v>13808</v>
      </c>
      <c r="G4413" s="9" t="s">
        <v>13809</v>
      </c>
      <c r="O4413" s="10">
        <f>IFERROR(__xludf.DUMMYFUNCTION("VALUE(REGEXEXTRACT(A4413, ""\d+""))"),7006.0)</f>
        <v>7006</v>
      </c>
    </row>
    <row r="4414">
      <c r="A4414" s="9" t="s">
        <v>17041</v>
      </c>
      <c r="B4414" s="9" t="s">
        <v>17042</v>
      </c>
      <c r="G4414" s="9" t="s">
        <v>17043</v>
      </c>
      <c r="O4414" s="10">
        <f>IFERROR(__xludf.DUMMYFUNCTION("VALUE(REGEXEXTRACT(A4414, ""\d+""))"),7007.0)</f>
        <v>7007</v>
      </c>
    </row>
    <row r="4415">
      <c r="A4415" s="9" t="s">
        <v>17044</v>
      </c>
      <c r="B4415" s="9" t="s">
        <v>17045</v>
      </c>
      <c r="G4415" s="9" t="s">
        <v>17046</v>
      </c>
      <c r="O4415" s="10">
        <f>IFERROR(__xludf.DUMMYFUNCTION("VALUE(REGEXEXTRACT(A4415, ""\d+""))"),7008.0)</f>
        <v>7008</v>
      </c>
    </row>
    <row r="4416">
      <c r="A4416" s="9" t="s">
        <v>17047</v>
      </c>
      <c r="B4416" s="9" t="s">
        <v>17048</v>
      </c>
      <c r="G4416" s="9" t="s">
        <v>17049</v>
      </c>
      <c r="O4416" s="10">
        <f>IFERROR(__xludf.DUMMYFUNCTION("VALUE(REGEXEXTRACT(A4416, ""\d+""))"),7010.0)</f>
        <v>7010</v>
      </c>
    </row>
    <row r="4417">
      <c r="A4417" s="9" t="s">
        <v>17050</v>
      </c>
      <c r="B4417" s="9" t="s">
        <v>17051</v>
      </c>
      <c r="G4417" s="9" t="s">
        <v>17052</v>
      </c>
      <c r="O4417" s="10">
        <f>IFERROR(__xludf.DUMMYFUNCTION("VALUE(REGEXEXTRACT(A4417, ""\d+""))"),7011.0)</f>
        <v>7011</v>
      </c>
    </row>
    <row r="4418">
      <c r="A4418" s="9" t="s">
        <v>17053</v>
      </c>
      <c r="B4418" s="9" t="s">
        <v>17054</v>
      </c>
      <c r="G4418" s="9" t="s">
        <v>17055</v>
      </c>
      <c r="O4418" s="10">
        <f>IFERROR(__xludf.DUMMYFUNCTION("VALUE(REGEXEXTRACT(A4418, ""\d+""))"),7013.0)</f>
        <v>7013</v>
      </c>
    </row>
    <row r="4419">
      <c r="A4419" s="9" t="s">
        <v>17056</v>
      </c>
      <c r="B4419" s="9" t="s">
        <v>17057</v>
      </c>
      <c r="G4419" s="9" t="s">
        <v>17058</v>
      </c>
      <c r="O4419" s="10">
        <f>IFERROR(__xludf.DUMMYFUNCTION("VALUE(REGEXEXTRACT(A4419, ""\d+""))"),7014.0)</f>
        <v>7014</v>
      </c>
    </row>
    <row r="4420">
      <c r="A4420" s="9" t="s">
        <v>17059</v>
      </c>
      <c r="B4420" s="9" t="s">
        <v>17060</v>
      </c>
      <c r="G4420" s="9" t="s">
        <v>17061</v>
      </c>
      <c r="O4420" s="10">
        <f>IFERROR(__xludf.DUMMYFUNCTION("VALUE(REGEXEXTRACT(A4420, ""\d+""))"),7015.0)</f>
        <v>7015</v>
      </c>
    </row>
    <row r="4421">
      <c r="A4421" s="9" t="s">
        <v>17062</v>
      </c>
      <c r="B4421" s="9" t="s">
        <v>17063</v>
      </c>
      <c r="G4421" s="9" t="s">
        <v>17064</v>
      </c>
      <c r="O4421" s="10">
        <f>IFERROR(__xludf.DUMMYFUNCTION("VALUE(REGEXEXTRACT(A4421, ""\d+""))"),7016.0)</f>
        <v>7016</v>
      </c>
    </row>
    <row r="4422">
      <c r="A4422" s="9" t="s">
        <v>17065</v>
      </c>
      <c r="B4422" s="9" t="s">
        <v>17066</v>
      </c>
      <c r="G4422" s="9" t="s">
        <v>17067</v>
      </c>
      <c r="O4422" s="10">
        <f>IFERROR(__xludf.DUMMYFUNCTION("VALUE(REGEXEXTRACT(A4422, ""\d+""))"),7017.0)</f>
        <v>7017</v>
      </c>
    </row>
    <row r="4423">
      <c r="A4423" s="9" t="s">
        <v>17068</v>
      </c>
      <c r="B4423" s="9" t="s">
        <v>17066</v>
      </c>
      <c r="G4423" s="9" t="s">
        <v>17067</v>
      </c>
      <c r="O4423" s="10">
        <f>IFERROR(__xludf.DUMMYFUNCTION("VALUE(REGEXEXTRACT(A4423, ""\d+""))"),7018.0)</f>
        <v>7018</v>
      </c>
    </row>
    <row r="4424">
      <c r="A4424" s="9" t="s">
        <v>17069</v>
      </c>
      <c r="B4424" s="9" t="s">
        <v>17070</v>
      </c>
      <c r="G4424" s="9" t="s">
        <v>17071</v>
      </c>
      <c r="O4424" s="10">
        <f>IFERROR(__xludf.DUMMYFUNCTION("VALUE(REGEXEXTRACT(A4424, ""\d+""))"),7019.0)</f>
        <v>7019</v>
      </c>
    </row>
    <row r="4425">
      <c r="A4425" s="9" t="s">
        <v>17072</v>
      </c>
      <c r="B4425" s="9" t="s">
        <v>17073</v>
      </c>
      <c r="G4425" s="9" t="s">
        <v>17074</v>
      </c>
      <c r="O4425" s="10">
        <f>IFERROR(__xludf.DUMMYFUNCTION("VALUE(REGEXEXTRACT(A4425, ""\d+""))"),7020.0)</f>
        <v>7020</v>
      </c>
    </row>
    <row r="4426">
      <c r="A4426" s="9" t="s">
        <v>17075</v>
      </c>
      <c r="B4426" s="9" t="s">
        <v>17076</v>
      </c>
      <c r="G4426" s="9" t="s">
        <v>17077</v>
      </c>
      <c r="O4426" s="10">
        <f>IFERROR(__xludf.DUMMYFUNCTION("VALUE(REGEXEXTRACT(A4426, ""\d+""))"),7021.0)</f>
        <v>7021</v>
      </c>
    </row>
    <row r="4427">
      <c r="A4427" s="9" t="s">
        <v>17078</v>
      </c>
      <c r="B4427" s="9" t="s">
        <v>17079</v>
      </c>
      <c r="G4427" s="9" t="s">
        <v>17080</v>
      </c>
      <c r="O4427" s="10">
        <f>IFERROR(__xludf.DUMMYFUNCTION("VALUE(REGEXEXTRACT(A4427, ""\d+""))"),7022.0)</f>
        <v>7022</v>
      </c>
    </row>
    <row r="4428">
      <c r="A4428" s="9" t="s">
        <v>17081</v>
      </c>
      <c r="B4428" s="9" t="s">
        <v>17082</v>
      </c>
      <c r="G4428" s="9" t="s">
        <v>17083</v>
      </c>
      <c r="O4428" s="10">
        <f>IFERROR(__xludf.DUMMYFUNCTION("VALUE(REGEXEXTRACT(A4428, ""\d+""))"),7023.0)</f>
        <v>7023</v>
      </c>
    </row>
    <row r="4429">
      <c r="A4429" s="9" t="s">
        <v>17084</v>
      </c>
      <c r="B4429" s="9" t="s">
        <v>17085</v>
      </c>
      <c r="G4429" s="9" t="s">
        <v>17086</v>
      </c>
      <c r="O4429" s="10">
        <f>IFERROR(__xludf.DUMMYFUNCTION("VALUE(REGEXEXTRACT(A4429, ""\d+""))"),7024.0)</f>
        <v>7024</v>
      </c>
    </row>
    <row r="4430">
      <c r="A4430" s="9" t="s">
        <v>17087</v>
      </c>
      <c r="B4430" s="9" t="s">
        <v>17088</v>
      </c>
      <c r="G4430" s="9" t="s">
        <v>17089</v>
      </c>
      <c r="O4430" s="10">
        <f>IFERROR(__xludf.DUMMYFUNCTION("VALUE(REGEXEXTRACT(A4430, ""\d+""))"),7025.0)</f>
        <v>7025</v>
      </c>
    </row>
    <row r="4431">
      <c r="A4431" s="9" t="s">
        <v>17090</v>
      </c>
      <c r="B4431" s="9" t="s">
        <v>17091</v>
      </c>
      <c r="G4431" s="9" t="s">
        <v>17092</v>
      </c>
      <c r="O4431" s="10">
        <f>IFERROR(__xludf.DUMMYFUNCTION("VALUE(REGEXEXTRACT(A4431, ""\d+""))"),7026.0)</f>
        <v>7026</v>
      </c>
    </row>
    <row r="4432">
      <c r="A4432" s="9" t="s">
        <v>17093</v>
      </c>
      <c r="B4432" s="9" t="s">
        <v>17094</v>
      </c>
      <c r="G4432" s="9" t="s">
        <v>17095</v>
      </c>
      <c r="O4432" s="10">
        <f>IFERROR(__xludf.DUMMYFUNCTION("VALUE(REGEXEXTRACT(A4432, ""\d+""))"),7027.0)</f>
        <v>7027</v>
      </c>
    </row>
    <row r="4433">
      <c r="A4433" s="9" t="s">
        <v>17096</v>
      </c>
      <c r="B4433" s="9" t="s">
        <v>17097</v>
      </c>
      <c r="G4433" s="9" t="s">
        <v>17098</v>
      </c>
      <c r="O4433" s="10">
        <f>IFERROR(__xludf.DUMMYFUNCTION("VALUE(REGEXEXTRACT(A4433, ""\d+""))"),7028.0)</f>
        <v>7028</v>
      </c>
    </row>
    <row r="4434">
      <c r="A4434" s="9" t="s">
        <v>17099</v>
      </c>
      <c r="B4434" s="9" t="s">
        <v>17100</v>
      </c>
      <c r="G4434" s="9" t="s">
        <v>17101</v>
      </c>
      <c r="O4434" s="10">
        <f>IFERROR(__xludf.DUMMYFUNCTION("VALUE(REGEXEXTRACT(A4434, ""\d+""))"),7029.0)</f>
        <v>7029</v>
      </c>
    </row>
    <row r="4435">
      <c r="A4435" s="9" t="s">
        <v>17102</v>
      </c>
      <c r="B4435" s="9" t="s">
        <v>17103</v>
      </c>
      <c r="G4435" s="9" t="s">
        <v>17104</v>
      </c>
      <c r="O4435" s="10">
        <f>IFERROR(__xludf.DUMMYFUNCTION("VALUE(REGEXEXTRACT(A4435, ""\d+""))"),7033.0)</f>
        <v>7033</v>
      </c>
    </row>
    <row r="4436">
      <c r="A4436" s="9" t="s">
        <v>17105</v>
      </c>
      <c r="B4436" s="9" t="s">
        <v>17106</v>
      </c>
      <c r="G4436" s="9" t="s">
        <v>17107</v>
      </c>
      <c r="O4436" s="10">
        <f>IFERROR(__xludf.DUMMYFUNCTION("VALUE(REGEXEXTRACT(A4436, ""\d+""))"),7034.0)</f>
        <v>7034</v>
      </c>
    </row>
    <row r="4437">
      <c r="A4437" s="9" t="s">
        <v>17108</v>
      </c>
      <c r="B4437" s="9" t="s">
        <v>17109</v>
      </c>
      <c r="G4437" s="9" t="s">
        <v>17110</v>
      </c>
      <c r="O4437" s="10">
        <f>IFERROR(__xludf.DUMMYFUNCTION("VALUE(REGEXEXTRACT(A4437, ""\d+""))"),7035.0)</f>
        <v>7035</v>
      </c>
    </row>
    <row r="4438">
      <c r="A4438" s="9" t="s">
        <v>17111</v>
      </c>
      <c r="B4438" s="9" t="s">
        <v>17112</v>
      </c>
      <c r="G4438" s="9" t="s">
        <v>17113</v>
      </c>
      <c r="O4438" s="10">
        <f>IFERROR(__xludf.DUMMYFUNCTION("VALUE(REGEXEXTRACT(A4438, ""\d+""))"),7036.0)</f>
        <v>7036</v>
      </c>
    </row>
    <row r="4439">
      <c r="A4439" s="9" t="s">
        <v>17114</v>
      </c>
      <c r="B4439" s="9" t="s">
        <v>17115</v>
      </c>
      <c r="G4439" s="9" t="s">
        <v>17116</v>
      </c>
      <c r="O4439" s="10">
        <f>IFERROR(__xludf.DUMMYFUNCTION("VALUE(REGEXEXTRACT(A4439, ""\d+""))"),7037.0)</f>
        <v>7037</v>
      </c>
    </row>
    <row r="4440">
      <c r="A4440" s="9" t="s">
        <v>17117</v>
      </c>
      <c r="B4440" s="9" t="s">
        <v>17118</v>
      </c>
      <c r="G4440" s="9" t="s">
        <v>17119</v>
      </c>
      <c r="O4440" s="10">
        <f>IFERROR(__xludf.DUMMYFUNCTION("VALUE(REGEXEXTRACT(A4440, ""\d+""))"),7038.0)</f>
        <v>7038</v>
      </c>
    </row>
    <row r="4441">
      <c r="A4441" s="9" t="s">
        <v>17120</v>
      </c>
      <c r="B4441" s="9" t="s">
        <v>17121</v>
      </c>
      <c r="G4441" s="9" t="s">
        <v>17122</v>
      </c>
      <c r="O4441" s="10">
        <f>IFERROR(__xludf.DUMMYFUNCTION("VALUE(REGEXEXTRACT(A4441, ""\d+""))"),7039.0)</f>
        <v>7039</v>
      </c>
    </row>
    <row r="4442">
      <c r="A4442" s="9" t="s">
        <v>17123</v>
      </c>
      <c r="B4442" s="9" t="s">
        <v>17124</v>
      </c>
      <c r="G4442" s="9" t="s">
        <v>17125</v>
      </c>
      <c r="O4442" s="10">
        <f>IFERROR(__xludf.DUMMYFUNCTION("VALUE(REGEXEXTRACT(A4442, ""\d+""))"),7040.0)</f>
        <v>7040</v>
      </c>
    </row>
    <row r="4443">
      <c r="A4443" s="9" t="s">
        <v>17126</v>
      </c>
      <c r="B4443" s="9" t="s">
        <v>17127</v>
      </c>
      <c r="G4443" s="9" t="s">
        <v>17128</v>
      </c>
      <c r="O4443" s="10">
        <f>IFERROR(__xludf.DUMMYFUNCTION("VALUE(REGEXEXTRACT(A4443, ""\d+""))"),7041.0)</f>
        <v>7041</v>
      </c>
    </row>
    <row r="4444">
      <c r="A4444" s="9" t="s">
        <v>17129</v>
      </c>
      <c r="B4444" s="9" t="s">
        <v>17130</v>
      </c>
      <c r="G4444" s="9" t="s">
        <v>17131</v>
      </c>
      <c r="O4444" s="10">
        <f>IFERROR(__xludf.DUMMYFUNCTION("VALUE(REGEXEXTRACT(A4444, ""\d+""))"),7042.0)</f>
        <v>7042</v>
      </c>
    </row>
    <row r="4445">
      <c r="A4445" s="9" t="s">
        <v>17132</v>
      </c>
      <c r="B4445" s="9" t="s">
        <v>17133</v>
      </c>
      <c r="G4445" s="9" t="s">
        <v>17134</v>
      </c>
      <c r="O4445" s="10">
        <f>IFERROR(__xludf.DUMMYFUNCTION("VALUE(REGEXEXTRACT(A4445, ""\d+""))"),7043.0)</f>
        <v>7043</v>
      </c>
    </row>
    <row r="4446">
      <c r="A4446" s="9" t="s">
        <v>17135</v>
      </c>
      <c r="B4446" s="9" t="s">
        <v>17136</v>
      </c>
      <c r="G4446" s="9" t="s">
        <v>17137</v>
      </c>
      <c r="O4446" s="10">
        <f>IFERROR(__xludf.DUMMYFUNCTION("VALUE(REGEXEXTRACT(A4446, ""\d+""))"),7044.0)</f>
        <v>7044</v>
      </c>
    </row>
    <row r="4447">
      <c r="A4447" s="9" t="s">
        <v>17138</v>
      </c>
      <c r="B4447" s="9" t="s">
        <v>17139</v>
      </c>
      <c r="G4447" s="9" t="s">
        <v>17140</v>
      </c>
      <c r="O4447" s="10">
        <f>IFERROR(__xludf.DUMMYFUNCTION("VALUE(REGEXEXTRACT(A4447, ""\d+""))"),7045.0)</f>
        <v>7045</v>
      </c>
    </row>
    <row r="4448">
      <c r="A4448" s="9" t="s">
        <v>17141</v>
      </c>
      <c r="B4448" s="9" t="s">
        <v>17142</v>
      </c>
      <c r="G4448" s="9" t="s">
        <v>17143</v>
      </c>
      <c r="O4448" s="10">
        <f>IFERROR(__xludf.DUMMYFUNCTION("VALUE(REGEXEXTRACT(A4448, ""\d+""))"),7046.0)</f>
        <v>7046</v>
      </c>
    </row>
    <row r="4449">
      <c r="A4449" s="9" t="s">
        <v>17144</v>
      </c>
      <c r="B4449" s="9" t="s">
        <v>17145</v>
      </c>
      <c r="G4449" s="9" t="s">
        <v>17146</v>
      </c>
      <c r="O4449" s="10">
        <f>IFERROR(__xludf.DUMMYFUNCTION("VALUE(REGEXEXTRACT(A4449, ""\d+""))"),7047.0)</f>
        <v>7047</v>
      </c>
    </row>
    <row r="4450">
      <c r="A4450" s="9" t="s">
        <v>17147</v>
      </c>
      <c r="B4450" s="9" t="s">
        <v>17148</v>
      </c>
      <c r="G4450" s="9" t="s">
        <v>17149</v>
      </c>
      <c r="O4450" s="10">
        <f>IFERROR(__xludf.DUMMYFUNCTION("VALUE(REGEXEXTRACT(A4450, ""\d+""))"),7048.0)</f>
        <v>7048</v>
      </c>
    </row>
    <row r="4451">
      <c r="A4451" s="9" t="s">
        <v>17150</v>
      </c>
      <c r="B4451" s="9" t="s">
        <v>17151</v>
      </c>
      <c r="G4451" s="9" t="s">
        <v>17152</v>
      </c>
      <c r="O4451" s="10">
        <f>IFERROR(__xludf.DUMMYFUNCTION("VALUE(REGEXEXTRACT(A4451, ""\d+""))"),7049.0)</f>
        <v>7049</v>
      </c>
    </row>
    <row r="4452">
      <c r="A4452" s="9" t="s">
        <v>17153</v>
      </c>
      <c r="B4452" s="9" t="s">
        <v>17154</v>
      </c>
      <c r="G4452" s="9" t="s">
        <v>17155</v>
      </c>
      <c r="O4452" s="10">
        <f>IFERROR(__xludf.DUMMYFUNCTION("VALUE(REGEXEXTRACT(A4452, ""\d+""))"),7050.0)</f>
        <v>7050</v>
      </c>
    </row>
    <row r="4453">
      <c r="A4453" s="9" t="s">
        <v>17156</v>
      </c>
      <c r="B4453" s="9" t="s">
        <v>17157</v>
      </c>
      <c r="G4453" s="9" t="s">
        <v>17158</v>
      </c>
      <c r="O4453" s="10">
        <f>IFERROR(__xludf.DUMMYFUNCTION("VALUE(REGEXEXTRACT(A4453, ""\d+""))"),7051.0)</f>
        <v>7051</v>
      </c>
    </row>
    <row r="4454">
      <c r="A4454" s="9" t="s">
        <v>17159</v>
      </c>
      <c r="B4454" s="9" t="s">
        <v>17160</v>
      </c>
      <c r="G4454" s="9" t="s">
        <v>17161</v>
      </c>
      <c r="O4454" s="10">
        <f>IFERROR(__xludf.DUMMYFUNCTION("VALUE(REGEXEXTRACT(A4454, ""\d+""))"),7052.0)</f>
        <v>7052</v>
      </c>
    </row>
    <row r="4455">
      <c r="A4455" s="9" t="s">
        <v>17162</v>
      </c>
      <c r="B4455" s="9" t="s">
        <v>17163</v>
      </c>
      <c r="G4455" s="9" t="s">
        <v>17164</v>
      </c>
      <c r="O4455" s="10">
        <f>IFERROR(__xludf.DUMMYFUNCTION("VALUE(REGEXEXTRACT(A4455, ""\d+""))"),7053.0)</f>
        <v>7053</v>
      </c>
    </row>
    <row r="4456">
      <c r="A4456" s="9" t="s">
        <v>17165</v>
      </c>
      <c r="B4456" s="9" t="s">
        <v>17166</v>
      </c>
      <c r="G4456" s="9" t="s">
        <v>17167</v>
      </c>
      <c r="O4456" s="10">
        <f>IFERROR(__xludf.DUMMYFUNCTION("VALUE(REGEXEXTRACT(A4456, ""\d+""))"),7054.0)</f>
        <v>7054</v>
      </c>
    </row>
    <row r="4457">
      <c r="A4457" s="9" t="s">
        <v>17168</v>
      </c>
      <c r="B4457" s="9" t="s">
        <v>17169</v>
      </c>
      <c r="G4457" s="9" t="s">
        <v>17170</v>
      </c>
      <c r="O4457" s="10">
        <f>IFERROR(__xludf.DUMMYFUNCTION("VALUE(REGEXEXTRACT(A4457, ""\d+""))"),7055.0)</f>
        <v>7055</v>
      </c>
    </row>
    <row r="4458">
      <c r="A4458" s="9" t="s">
        <v>17171</v>
      </c>
      <c r="B4458" s="9" t="s">
        <v>17172</v>
      </c>
      <c r="G4458" s="9" t="s">
        <v>17173</v>
      </c>
      <c r="O4458" s="10">
        <f>IFERROR(__xludf.DUMMYFUNCTION("VALUE(REGEXEXTRACT(A4458, ""\d+""))"),7057.0)</f>
        <v>7057</v>
      </c>
    </row>
    <row r="4459">
      <c r="A4459" s="9" t="s">
        <v>17174</v>
      </c>
      <c r="B4459" s="9" t="s">
        <v>17175</v>
      </c>
      <c r="G4459" s="9" t="s">
        <v>17176</v>
      </c>
      <c r="O4459" s="10">
        <f>IFERROR(__xludf.DUMMYFUNCTION("VALUE(REGEXEXTRACT(A4459, ""\d+""))"),7058.0)</f>
        <v>7058</v>
      </c>
    </row>
    <row r="4460">
      <c r="A4460" s="9" t="s">
        <v>17177</v>
      </c>
      <c r="B4460" s="9" t="s">
        <v>17178</v>
      </c>
      <c r="G4460" s="9" t="s">
        <v>17179</v>
      </c>
      <c r="O4460" s="10">
        <f>IFERROR(__xludf.DUMMYFUNCTION("VALUE(REGEXEXTRACT(A4460, ""\d+""))"),7060.0)</f>
        <v>7060</v>
      </c>
    </row>
    <row r="4461">
      <c r="A4461" s="9" t="s">
        <v>17180</v>
      </c>
      <c r="B4461" s="9" t="s">
        <v>17181</v>
      </c>
      <c r="G4461" s="9" t="s">
        <v>17182</v>
      </c>
      <c r="O4461" s="10">
        <f>IFERROR(__xludf.DUMMYFUNCTION("VALUE(REGEXEXTRACT(A4461, ""\d+""))"),7061.0)</f>
        <v>7061</v>
      </c>
    </row>
    <row r="4462">
      <c r="A4462" s="9" t="s">
        <v>17183</v>
      </c>
      <c r="B4462" s="9" t="s">
        <v>17184</v>
      </c>
      <c r="G4462" s="9" t="s">
        <v>17185</v>
      </c>
      <c r="O4462" s="10">
        <f>IFERROR(__xludf.DUMMYFUNCTION("VALUE(REGEXEXTRACT(A4462, ""\d+""))"),7062.0)</f>
        <v>7062</v>
      </c>
    </row>
    <row r="4463">
      <c r="A4463" s="9" t="s">
        <v>17186</v>
      </c>
      <c r="B4463" s="9" t="s">
        <v>17187</v>
      </c>
      <c r="G4463" s="9" t="s">
        <v>17188</v>
      </c>
      <c r="O4463" s="10">
        <f>IFERROR(__xludf.DUMMYFUNCTION("VALUE(REGEXEXTRACT(A4463, ""\d+""))"),7069.0)</f>
        <v>7069</v>
      </c>
    </row>
    <row r="4464">
      <c r="A4464" s="9" t="s">
        <v>17189</v>
      </c>
      <c r="B4464" s="9" t="s">
        <v>17190</v>
      </c>
      <c r="G4464" s="9" t="s">
        <v>17191</v>
      </c>
      <c r="O4464" s="10">
        <f>IFERROR(__xludf.DUMMYFUNCTION("VALUE(REGEXEXTRACT(A4464, ""\d+""))"),7070.0)</f>
        <v>7070</v>
      </c>
    </row>
    <row r="4465">
      <c r="A4465" s="9" t="s">
        <v>17192</v>
      </c>
      <c r="B4465" s="9" t="s">
        <v>17193</v>
      </c>
      <c r="G4465" s="9" t="s">
        <v>17194</v>
      </c>
      <c r="O4465" s="10">
        <f>IFERROR(__xludf.DUMMYFUNCTION("VALUE(REGEXEXTRACT(A4465, ""\d+""))"),7071.0)</f>
        <v>7071</v>
      </c>
    </row>
    <row r="4466">
      <c r="A4466" s="9" t="s">
        <v>17195</v>
      </c>
      <c r="B4466" s="9" t="s">
        <v>17196</v>
      </c>
      <c r="G4466" s="9" t="s">
        <v>17197</v>
      </c>
      <c r="O4466" s="10">
        <f>IFERROR(__xludf.DUMMYFUNCTION("VALUE(REGEXEXTRACT(A4466, ""\d+""))"),7072.0)</f>
        <v>7072</v>
      </c>
    </row>
    <row r="4467">
      <c r="A4467" s="9" t="s">
        <v>17198</v>
      </c>
      <c r="B4467" s="9" t="s">
        <v>17199</v>
      </c>
      <c r="G4467" s="9" t="s">
        <v>17200</v>
      </c>
      <c r="O4467" s="10">
        <f>IFERROR(__xludf.DUMMYFUNCTION("VALUE(REGEXEXTRACT(A4467, ""\d+""))"),7073.0)</f>
        <v>7073</v>
      </c>
    </row>
    <row r="4468">
      <c r="A4468" s="9" t="s">
        <v>17201</v>
      </c>
      <c r="B4468" s="9" t="s">
        <v>17202</v>
      </c>
      <c r="G4468" s="9" t="s">
        <v>17203</v>
      </c>
      <c r="O4468" s="10">
        <f>IFERROR(__xludf.DUMMYFUNCTION("VALUE(REGEXEXTRACT(A4468, ""\d+""))"),7074.0)</f>
        <v>7074</v>
      </c>
    </row>
    <row r="4469">
      <c r="A4469" s="9" t="s">
        <v>17204</v>
      </c>
      <c r="B4469" s="9" t="s">
        <v>17070</v>
      </c>
      <c r="G4469" s="9" t="s">
        <v>17071</v>
      </c>
      <c r="O4469" s="10">
        <f>IFERROR(__xludf.DUMMYFUNCTION("VALUE(REGEXEXTRACT(A4469, ""\d+""))"),7075.0)</f>
        <v>7075</v>
      </c>
    </row>
    <row r="4470">
      <c r="A4470" s="9" t="s">
        <v>17205</v>
      </c>
      <c r="B4470" s="9" t="s">
        <v>17070</v>
      </c>
      <c r="G4470" s="9" t="s">
        <v>17071</v>
      </c>
      <c r="O4470" s="10">
        <f>IFERROR(__xludf.DUMMYFUNCTION("VALUE(REGEXEXTRACT(A4470, ""\d+""))"),7076.0)</f>
        <v>7076</v>
      </c>
    </row>
    <row r="4471">
      <c r="A4471" s="9" t="s">
        <v>17206</v>
      </c>
      <c r="B4471" s="9" t="s">
        <v>17076</v>
      </c>
      <c r="G4471" s="9" t="s">
        <v>17077</v>
      </c>
      <c r="O4471" s="10">
        <f>IFERROR(__xludf.DUMMYFUNCTION("VALUE(REGEXEXTRACT(A4471, ""\d+""))"),7077.0)</f>
        <v>7077</v>
      </c>
    </row>
    <row r="4472">
      <c r="A4472" s="9" t="s">
        <v>17207</v>
      </c>
      <c r="B4472" s="9" t="s">
        <v>17076</v>
      </c>
      <c r="G4472" s="9" t="s">
        <v>17077</v>
      </c>
      <c r="O4472" s="10">
        <f>IFERROR(__xludf.DUMMYFUNCTION("VALUE(REGEXEXTRACT(A4472, ""\d+""))"),7078.0)</f>
        <v>7078</v>
      </c>
    </row>
    <row r="4473">
      <c r="A4473" s="9" t="s">
        <v>17208</v>
      </c>
      <c r="B4473" s="9" t="s">
        <v>17209</v>
      </c>
      <c r="G4473" s="9" t="s">
        <v>17210</v>
      </c>
      <c r="O4473" s="10">
        <f>IFERROR(__xludf.DUMMYFUNCTION("VALUE(REGEXEXTRACT(A4473, ""\d+""))"),7079.0)</f>
        <v>7079</v>
      </c>
    </row>
    <row r="4474">
      <c r="A4474" s="9" t="s">
        <v>17211</v>
      </c>
      <c r="B4474" s="9" t="s">
        <v>17212</v>
      </c>
      <c r="G4474" s="9" t="s">
        <v>17213</v>
      </c>
      <c r="O4474" s="10">
        <f>IFERROR(__xludf.DUMMYFUNCTION("VALUE(REGEXEXTRACT(A4474, ""\d+""))"),7080.0)</f>
        <v>7080</v>
      </c>
    </row>
    <row r="4475">
      <c r="A4475" s="9" t="s">
        <v>17214</v>
      </c>
      <c r="B4475" s="9" t="s">
        <v>17215</v>
      </c>
      <c r="G4475" s="9" t="s">
        <v>17216</v>
      </c>
      <c r="O4475" s="10">
        <f>IFERROR(__xludf.DUMMYFUNCTION("VALUE(REGEXEXTRACT(A4475, ""\d+""))"),7081.0)</f>
        <v>7081</v>
      </c>
    </row>
    <row r="4476">
      <c r="A4476" s="9" t="s">
        <v>17217</v>
      </c>
      <c r="B4476" s="9" t="s">
        <v>17218</v>
      </c>
      <c r="G4476" s="9" t="s">
        <v>17219</v>
      </c>
      <c r="O4476" s="10">
        <f>IFERROR(__xludf.DUMMYFUNCTION("VALUE(REGEXEXTRACT(A4476, ""\d+""))"),7082.0)</f>
        <v>7082</v>
      </c>
    </row>
    <row r="4477">
      <c r="A4477" s="9" t="s">
        <v>17220</v>
      </c>
      <c r="B4477" s="9" t="s">
        <v>17221</v>
      </c>
      <c r="G4477" s="9" t="s">
        <v>17222</v>
      </c>
      <c r="O4477" s="10">
        <f>IFERROR(__xludf.DUMMYFUNCTION("VALUE(REGEXEXTRACT(A4477, ""\d+""))"),7083.0)</f>
        <v>7083</v>
      </c>
    </row>
    <row r="4478">
      <c r="A4478" s="9" t="s">
        <v>17223</v>
      </c>
      <c r="B4478" s="9" t="s">
        <v>17224</v>
      </c>
      <c r="G4478" s="9" t="s">
        <v>17225</v>
      </c>
      <c r="O4478" s="10">
        <f>IFERROR(__xludf.DUMMYFUNCTION("VALUE(REGEXEXTRACT(A4478, ""\d+""))"),7085.0)</f>
        <v>7085</v>
      </c>
    </row>
    <row r="4479">
      <c r="A4479" s="9" t="s">
        <v>17226</v>
      </c>
      <c r="B4479" s="9" t="s">
        <v>17227</v>
      </c>
      <c r="G4479" s="9" t="s">
        <v>17228</v>
      </c>
      <c r="O4479" s="10">
        <f>IFERROR(__xludf.DUMMYFUNCTION("VALUE(REGEXEXTRACT(A4479, ""\d+""))"),7086.0)</f>
        <v>7086</v>
      </c>
    </row>
    <row r="4480">
      <c r="A4480" s="9" t="s">
        <v>17229</v>
      </c>
      <c r="B4480" s="9" t="s">
        <v>17230</v>
      </c>
      <c r="G4480" s="9" t="s">
        <v>17231</v>
      </c>
      <c r="O4480" s="10">
        <f>IFERROR(__xludf.DUMMYFUNCTION("VALUE(REGEXEXTRACT(A4480, ""\d+""))"),7087.0)</f>
        <v>7087</v>
      </c>
    </row>
    <row r="4481">
      <c r="A4481" s="9" t="s">
        <v>17232</v>
      </c>
      <c r="B4481" s="9" t="s">
        <v>17233</v>
      </c>
      <c r="G4481" s="9" t="s">
        <v>17234</v>
      </c>
      <c r="O4481" s="10">
        <f>IFERROR(__xludf.DUMMYFUNCTION("VALUE(REGEXEXTRACT(A4481, ""\d+""))"),7088.0)</f>
        <v>7088</v>
      </c>
    </row>
    <row r="4482">
      <c r="A4482" s="9" t="s">
        <v>17235</v>
      </c>
      <c r="B4482" s="9" t="s">
        <v>17236</v>
      </c>
      <c r="G4482" s="9" t="s">
        <v>17237</v>
      </c>
      <c r="O4482" s="10">
        <f>IFERROR(__xludf.DUMMYFUNCTION("VALUE(REGEXEXTRACT(A4482, ""\d+""))"),7089.0)</f>
        <v>7089</v>
      </c>
    </row>
    <row r="4483">
      <c r="A4483" s="9" t="s">
        <v>17238</v>
      </c>
      <c r="B4483" s="9" t="s">
        <v>17239</v>
      </c>
      <c r="G4483" s="9" t="s">
        <v>17240</v>
      </c>
      <c r="O4483" s="10">
        <f>IFERROR(__xludf.DUMMYFUNCTION("VALUE(REGEXEXTRACT(A4483, ""\d+""))"),7090.0)</f>
        <v>7090</v>
      </c>
    </row>
    <row r="4484">
      <c r="A4484" s="9" t="s">
        <v>17241</v>
      </c>
      <c r="B4484" s="9" t="s">
        <v>17242</v>
      </c>
      <c r="G4484" s="9" t="s">
        <v>17243</v>
      </c>
      <c r="O4484" s="10">
        <f>IFERROR(__xludf.DUMMYFUNCTION("VALUE(REGEXEXTRACT(A4484, ""\d+""))"),7091.0)</f>
        <v>7091</v>
      </c>
    </row>
    <row r="4485">
      <c r="A4485" s="9" t="s">
        <v>17244</v>
      </c>
      <c r="B4485" s="9" t="s">
        <v>17245</v>
      </c>
      <c r="G4485" s="9" t="s">
        <v>17246</v>
      </c>
      <c r="O4485" s="10">
        <f>IFERROR(__xludf.DUMMYFUNCTION("VALUE(REGEXEXTRACT(A4485, ""\d+""))"),7092.0)</f>
        <v>7092</v>
      </c>
    </row>
    <row r="4486">
      <c r="A4486" s="9" t="s">
        <v>17247</v>
      </c>
      <c r="B4486" s="9" t="s">
        <v>17248</v>
      </c>
      <c r="G4486" s="9" t="s">
        <v>17249</v>
      </c>
      <c r="O4486" s="10">
        <f>IFERROR(__xludf.DUMMYFUNCTION("VALUE(REGEXEXTRACT(A4486, ""\d+""))"),7098.0)</f>
        <v>7098</v>
      </c>
    </row>
    <row r="4487">
      <c r="A4487" s="9" t="s">
        <v>17250</v>
      </c>
      <c r="B4487" s="9" t="s">
        <v>17251</v>
      </c>
      <c r="G4487" s="9" t="s">
        <v>17252</v>
      </c>
      <c r="O4487" s="10">
        <f>IFERROR(__xludf.DUMMYFUNCTION("VALUE(REGEXEXTRACT(A4487, ""\d+""))"),7100.0)</f>
        <v>7100</v>
      </c>
    </row>
    <row r="4488">
      <c r="A4488" s="9" t="s">
        <v>17253</v>
      </c>
      <c r="B4488" s="9" t="s">
        <v>17254</v>
      </c>
      <c r="G4488" s="9" t="s">
        <v>17255</v>
      </c>
      <c r="O4488" s="10">
        <f>IFERROR(__xludf.DUMMYFUNCTION("VALUE(REGEXEXTRACT(A4488, ""\d+""))"),7101.0)</f>
        <v>7101</v>
      </c>
    </row>
    <row r="4489">
      <c r="A4489" s="9" t="s">
        <v>17256</v>
      </c>
      <c r="B4489" s="9" t="s">
        <v>17257</v>
      </c>
      <c r="G4489" s="9" t="s">
        <v>17258</v>
      </c>
      <c r="O4489" s="10">
        <f>IFERROR(__xludf.DUMMYFUNCTION("VALUE(REGEXEXTRACT(A4489, ""\d+""))"),7102.0)</f>
        <v>7102</v>
      </c>
    </row>
    <row r="4490">
      <c r="A4490" s="9" t="s">
        <v>17259</v>
      </c>
      <c r="B4490" s="9" t="s">
        <v>17260</v>
      </c>
      <c r="G4490" s="9" t="s">
        <v>17261</v>
      </c>
      <c r="O4490" s="10">
        <f>IFERROR(__xludf.DUMMYFUNCTION("VALUE(REGEXEXTRACT(A4490, ""\d+""))"),7103.0)</f>
        <v>7103</v>
      </c>
    </row>
    <row r="4491">
      <c r="A4491" s="9" t="s">
        <v>17262</v>
      </c>
      <c r="B4491" s="9" t="s">
        <v>17263</v>
      </c>
      <c r="O4491" s="10">
        <f>IFERROR(__xludf.DUMMYFUNCTION("VALUE(REGEXEXTRACT(A4491, ""\d+""))"),7104.0)</f>
        <v>7104</v>
      </c>
    </row>
    <row r="4492">
      <c r="A4492" s="9" t="s">
        <v>17264</v>
      </c>
      <c r="B4492" s="9" t="s">
        <v>17265</v>
      </c>
      <c r="O4492" s="10">
        <f>IFERROR(__xludf.DUMMYFUNCTION("VALUE(REGEXEXTRACT(A4492, ""\d+""))"),7108.0)</f>
        <v>7108</v>
      </c>
    </row>
    <row r="4493">
      <c r="A4493" s="9" t="s">
        <v>17266</v>
      </c>
      <c r="B4493" s="9" t="s">
        <v>17267</v>
      </c>
      <c r="G4493" s="9" t="s">
        <v>17268</v>
      </c>
      <c r="O4493" s="10">
        <f>IFERROR(__xludf.DUMMYFUNCTION("VALUE(REGEXEXTRACT(A4493, ""\d+""))"),7109.0)</f>
        <v>7109</v>
      </c>
    </row>
    <row r="4494">
      <c r="A4494" s="9" t="s">
        <v>17269</v>
      </c>
      <c r="B4494" s="9" t="s">
        <v>17270</v>
      </c>
      <c r="O4494" s="10">
        <f>IFERROR(__xludf.DUMMYFUNCTION("VALUE(REGEXEXTRACT(A4494, ""\d+""))"),7110.0)</f>
        <v>7110</v>
      </c>
    </row>
    <row r="4495">
      <c r="A4495" s="9" t="s">
        <v>17271</v>
      </c>
      <c r="B4495" s="9" t="s">
        <v>17272</v>
      </c>
      <c r="O4495" s="10">
        <f>IFERROR(__xludf.DUMMYFUNCTION("VALUE(REGEXEXTRACT(A4495, ""\d+""))"),7112.0)</f>
        <v>7112</v>
      </c>
    </row>
    <row r="4496">
      <c r="A4496" s="9" t="s">
        <v>17273</v>
      </c>
      <c r="B4496" s="9" t="s">
        <v>17274</v>
      </c>
      <c r="O4496" s="10">
        <f>IFERROR(__xludf.DUMMYFUNCTION("VALUE(REGEXEXTRACT(A4496, ""\d+""))"),7113.0)</f>
        <v>7113</v>
      </c>
    </row>
    <row r="4497">
      <c r="A4497" s="9" t="s">
        <v>17275</v>
      </c>
      <c r="B4497" s="9" t="s">
        <v>17276</v>
      </c>
      <c r="O4497" s="10">
        <f>IFERROR(__xludf.DUMMYFUNCTION("VALUE(REGEXEXTRACT(A4497, ""\d+""))"),7114.0)</f>
        <v>7114</v>
      </c>
    </row>
    <row r="4498">
      <c r="A4498" s="9" t="s">
        <v>17277</v>
      </c>
      <c r="B4498" s="9" t="s">
        <v>17278</v>
      </c>
      <c r="O4498" s="10">
        <f>IFERROR(__xludf.DUMMYFUNCTION("VALUE(REGEXEXTRACT(A4498, ""\d+""))"),7115.0)</f>
        <v>7115</v>
      </c>
    </row>
    <row r="4499">
      <c r="A4499" s="9" t="s">
        <v>17279</v>
      </c>
      <c r="B4499" s="9" t="s">
        <v>17280</v>
      </c>
      <c r="O4499" s="10">
        <f>IFERROR(__xludf.DUMMYFUNCTION("VALUE(REGEXEXTRACT(A4499, ""\d+""))"),7116.0)</f>
        <v>7116</v>
      </c>
    </row>
    <row r="4500">
      <c r="A4500" s="9" t="s">
        <v>17281</v>
      </c>
      <c r="B4500" s="9" t="s">
        <v>17282</v>
      </c>
      <c r="G4500" s="9" t="s">
        <v>17283</v>
      </c>
      <c r="O4500" s="10">
        <f>IFERROR(__xludf.DUMMYFUNCTION("VALUE(REGEXEXTRACT(A4500, ""\d+""))"),7117.0)</f>
        <v>7117</v>
      </c>
    </row>
    <row r="4501">
      <c r="A4501" s="9" t="s">
        <v>17284</v>
      </c>
      <c r="B4501" s="9" t="s">
        <v>17285</v>
      </c>
      <c r="O4501" s="10">
        <f>IFERROR(__xludf.DUMMYFUNCTION("VALUE(REGEXEXTRACT(A4501, ""\d+""))"),7118.0)</f>
        <v>7118</v>
      </c>
    </row>
    <row r="4502">
      <c r="A4502" s="9" t="s">
        <v>17286</v>
      </c>
      <c r="B4502" s="9" t="s">
        <v>17287</v>
      </c>
      <c r="O4502" s="10">
        <f>IFERROR(__xludf.DUMMYFUNCTION("VALUE(REGEXEXTRACT(A4502, ""\d+""))"),7119.0)</f>
        <v>7119</v>
      </c>
    </row>
    <row r="4503">
      <c r="A4503" s="9" t="s">
        <v>17288</v>
      </c>
      <c r="B4503" s="9" t="s">
        <v>17289</v>
      </c>
      <c r="G4503" s="9" t="s">
        <v>17290</v>
      </c>
      <c r="O4503" s="10">
        <f>IFERROR(__xludf.DUMMYFUNCTION("VALUE(REGEXEXTRACT(A4503, ""\d+""))"),7120.0)</f>
        <v>7120</v>
      </c>
    </row>
    <row r="4504">
      <c r="A4504" s="9" t="s">
        <v>17291</v>
      </c>
      <c r="B4504" s="9" t="s">
        <v>17292</v>
      </c>
      <c r="G4504" s="9" t="s">
        <v>17293</v>
      </c>
      <c r="O4504" s="10">
        <f>IFERROR(__xludf.DUMMYFUNCTION("VALUE(REGEXEXTRACT(A4504, ""\d+""))"),7121.0)</f>
        <v>7121</v>
      </c>
    </row>
    <row r="4505">
      <c r="A4505" s="9" t="s">
        <v>17294</v>
      </c>
      <c r="B4505" s="9" t="s">
        <v>17295</v>
      </c>
      <c r="G4505" s="9" t="s">
        <v>17293</v>
      </c>
      <c r="O4505" s="10">
        <f>IFERROR(__xludf.DUMMYFUNCTION("VALUE(REGEXEXTRACT(A4505, ""\d+""))"),7122.0)</f>
        <v>7122</v>
      </c>
    </row>
    <row r="4506">
      <c r="A4506" s="9" t="s">
        <v>17296</v>
      </c>
      <c r="B4506" s="9" t="s">
        <v>17297</v>
      </c>
      <c r="G4506" s="9" t="s">
        <v>17293</v>
      </c>
      <c r="O4506" s="10">
        <f>IFERROR(__xludf.DUMMYFUNCTION("VALUE(REGEXEXTRACT(A4506, ""\d+""))"),7123.0)</f>
        <v>7123</v>
      </c>
    </row>
    <row r="4507">
      <c r="A4507" s="9" t="s">
        <v>17298</v>
      </c>
      <c r="B4507" s="9" t="s">
        <v>17299</v>
      </c>
      <c r="G4507" s="9" t="s">
        <v>17300</v>
      </c>
      <c r="O4507" s="10">
        <f>IFERROR(__xludf.DUMMYFUNCTION("VALUE(REGEXEXTRACT(A4507, ""\d+""))"),7124.0)</f>
        <v>7124</v>
      </c>
    </row>
    <row r="4508">
      <c r="A4508" s="9" t="s">
        <v>17301</v>
      </c>
      <c r="B4508" s="9" t="s">
        <v>17302</v>
      </c>
      <c r="G4508" s="9" t="s">
        <v>17303</v>
      </c>
      <c r="O4508" s="10">
        <f>IFERROR(__xludf.DUMMYFUNCTION("VALUE(REGEXEXTRACT(A4508, ""\d+""))"),7136.0)</f>
        <v>7136</v>
      </c>
    </row>
    <row r="4509">
      <c r="A4509" s="9" t="s">
        <v>17304</v>
      </c>
      <c r="B4509" s="9" t="s">
        <v>17305</v>
      </c>
      <c r="G4509" s="9" t="s">
        <v>17306</v>
      </c>
      <c r="O4509" s="10">
        <f>IFERROR(__xludf.DUMMYFUNCTION("VALUE(REGEXEXTRACT(A4509, ""\d+""))"),7137.0)</f>
        <v>7137</v>
      </c>
    </row>
    <row r="4510">
      <c r="A4510" s="9" t="s">
        <v>17307</v>
      </c>
      <c r="B4510" s="9" t="s">
        <v>17308</v>
      </c>
      <c r="G4510" s="9" t="s">
        <v>17309</v>
      </c>
      <c r="O4510" s="10">
        <f>IFERROR(__xludf.DUMMYFUNCTION("VALUE(REGEXEXTRACT(A4510, ""\d+""))"),7138.0)</f>
        <v>7138</v>
      </c>
    </row>
    <row r="4511">
      <c r="A4511" s="9" t="s">
        <v>17310</v>
      </c>
      <c r="B4511" s="9" t="s">
        <v>17311</v>
      </c>
      <c r="G4511" s="9" t="s">
        <v>17312</v>
      </c>
      <c r="O4511" s="10">
        <f>IFERROR(__xludf.DUMMYFUNCTION("VALUE(REGEXEXTRACT(A4511, ""\d+""))"),7139.0)</f>
        <v>7139</v>
      </c>
    </row>
    <row r="4512">
      <c r="A4512" s="9" t="s">
        <v>17313</v>
      </c>
      <c r="B4512" s="9" t="s">
        <v>17314</v>
      </c>
      <c r="G4512" s="9" t="s">
        <v>17315</v>
      </c>
      <c r="O4512" s="10">
        <f>IFERROR(__xludf.DUMMYFUNCTION("VALUE(REGEXEXTRACT(A4512, ""\d+""))"),7140.0)</f>
        <v>7140</v>
      </c>
    </row>
    <row r="4513">
      <c r="A4513" s="9" t="s">
        <v>17316</v>
      </c>
      <c r="B4513" s="9" t="s">
        <v>17317</v>
      </c>
      <c r="G4513" s="9" t="s">
        <v>17318</v>
      </c>
      <c r="O4513" s="10">
        <f>IFERROR(__xludf.DUMMYFUNCTION("VALUE(REGEXEXTRACT(A4513, ""\d+""))"),7141.0)</f>
        <v>7141</v>
      </c>
    </row>
    <row r="4514">
      <c r="A4514" s="9" t="s">
        <v>17319</v>
      </c>
      <c r="B4514" s="9" t="s">
        <v>17320</v>
      </c>
      <c r="G4514" s="9" t="s">
        <v>17321</v>
      </c>
      <c r="O4514" s="10">
        <f>IFERROR(__xludf.DUMMYFUNCTION("VALUE(REGEXEXTRACT(A4514, ""\d+""))"),7142.0)</f>
        <v>7142</v>
      </c>
    </row>
    <row r="4515">
      <c r="A4515" s="9" t="s">
        <v>17322</v>
      </c>
      <c r="B4515" s="9" t="s">
        <v>17323</v>
      </c>
      <c r="G4515" s="9" t="s">
        <v>17324</v>
      </c>
      <c r="O4515" s="10">
        <f>IFERROR(__xludf.DUMMYFUNCTION("VALUE(REGEXEXTRACT(A4515, ""\d+""))"),7143.0)</f>
        <v>7143</v>
      </c>
    </row>
    <row r="4516">
      <c r="A4516" s="9" t="s">
        <v>17325</v>
      </c>
      <c r="B4516" s="9" t="s">
        <v>17326</v>
      </c>
      <c r="O4516" s="10">
        <f>IFERROR(__xludf.DUMMYFUNCTION("VALUE(REGEXEXTRACT(A4516, ""\d+""))"),7144.0)</f>
        <v>7144</v>
      </c>
    </row>
    <row r="4517">
      <c r="A4517" s="9" t="s">
        <v>17327</v>
      </c>
      <c r="B4517" s="9" t="s">
        <v>17328</v>
      </c>
      <c r="G4517" s="9" t="s">
        <v>17329</v>
      </c>
      <c r="O4517" s="10">
        <f>IFERROR(__xludf.DUMMYFUNCTION("VALUE(REGEXEXTRACT(A4517, ""\d+""))"),7145.0)</f>
        <v>7145</v>
      </c>
    </row>
    <row r="4518">
      <c r="A4518" s="9" t="s">
        <v>17330</v>
      </c>
      <c r="B4518" s="9" t="s">
        <v>17331</v>
      </c>
      <c r="O4518" s="10">
        <f>IFERROR(__xludf.DUMMYFUNCTION("VALUE(REGEXEXTRACT(A4518, ""\d+""))"),7146.0)</f>
        <v>7146</v>
      </c>
    </row>
    <row r="4519">
      <c r="A4519" s="9" t="s">
        <v>17332</v>
      </c>
      <c r="B4519" s="9" t="s">
        <v>17333</v>
      </c>
      <c r="O4519" s="10">
        <f>IFERROR(__xludf.DUMMYFUNCTION("VALUE(REGEXEXTRACT(A4519, ""\d+""))"),7147.0)</f>
        <v>7147</v>
      </c>
    </row>
    <row r="4520">
      <c r="A4520" s="9" t="s">
        <v>17334</v>
      </c>
      <c r="B4520" s="9" t="s">
        <v>17335</v>
      </c>
      <c r="O4520" s="10">
        <f>IFERROR(__xludf.DUMMYFUNCTION("VALUE(REGEXEXTRACT(A4520, ""\d+""))"),7148.0)</f>
        <v>7148</v>
      </c>
    </row>
    <row r="4521">
      <c r="A4521" s="9" t="s">
        <v>17336</v>
      </c>
      <c r="B4521" s="9" t="s">
        <v>17337</v>
      </c>
      <c r="O4521" s="10">
        <f>IFERROR(__xludf.DUMMYFUNCTION("VALUE(REGEXEXTRACT(A4521, ""\d+""))"),7149.0)</f>
        <v>7149</v>
      </c>
    </row>
    <row r="4522">
      <c r="A4522" s="9" t="s">
        <v>17338</v>
      </c>
      <c r="B4522" s="9" t="s">
        <v>17339</v>
      </c>
      <c r="O4522" s="10">
        <f>IFERROR(__xludf.DUMMYFUNCTION("VALUE(REGEXEXTRACT(A4522, ""\d+""))"),7150.0)</f>
        <v>7150</v>
      </c>
    </row>
    <row r="4523">
      <c r="A4523" s="9" t="s">
        <v>17340</v>
      </c>
      <c r="B4523" s="9" t="s">
        <v>17341</v>
      </c>
      <c r="O4523" s="10">
        <f>IFERROR(__xludf.DUMMYFUNCTION("VALUE(REGEXEXTRACT(A4523, ""\d+""))"),7151.0)</f>
        <v>7151</v>
      </c>
    </row>
    <row r="4524">
      <c r="A4524" s="9" t="s">
        <v>17342</v>
      </c>
      <c r="B4524" s="9" t="s">
        <v>17343</v>
      </c>
      <c r="G4524" s="9" t="s">
        <v>17344</v>
      </c>
      <c r="O4524" s="10">
        <f>IFERROR(__xludf.DUMMYFUNCTION("VALUE(REGEXEXTRACT(A4524, ""\d+""))"),7153.0)</f>
        <v>7153</v>
      </c>
    </row>
    <row r="4525">
      <c r="A4525" s="9" t="s">
        <v>17345</v>
      </c>
      <c r="B4525" s="9" t="s">
        <v>17346</v>
      </c>
      <c r="G4525" s="9" t="s">
        <v>17347</v>
      </c>
      <c r="O4525" s="10">
        <f>IFERROR(__xludf.DUMMYFUNCTION("VALUE(REGEXEXTRACT(A4525, ""\d+""))"),7154.0)</f>
        <v>7154</v>
      </c>
    </row>
    <row r="4526">
      <c r="A4526" s="9" t="s">
        <v>17348</v>
      </c>
      <c r="B4526" s="9" t="s">
        <v>17349</v>
      </c>
      <c r="G4526" s="9" t="s">
        <v>17350</v>
      </c>
      <c r="O4526" s="10">
        <f>IFERROR(__xludf.DUMMYFUNCTION("VALUE(REGEXEXTRACT(A4526, ""\d+""))"),7155.0)</f>
        <v>7155</v>
      </c>
    </row>
    <row r="4527">
      <c r="A4527" s="9" t="s">
        <v>17351</v>
      </c>
      <c r="B4527" s="9" t="s">
        <v>17352</v>
      </c>
      <c r="G4527" s="9" t="s">
        <v>17353</v>
      </c>
      <c r="O4527" s="10">
        <f>IFERROR(__xludf.DUMMYFUNCTION("VALUE(REGEXEXTRACT(A4527, ""\d+""))"),7156.0)</f>
        <v>7156</v>
      </c>
    </row>
    <row r="4528">
      <c r="A4528" s="9" t="s">
        <v>17354</v>
      </c>
      <c r="B4528" s="9" t="s">
        <v>17346</v>
      </c>
      <c r="G4528" s="9" t="s">
        <v>17347</v>
      </c>
      <c r="O4528" s="10">
        <f>IFERROR(__xludf.DUMMYFUNCTION("VALUE(REGEXEXTRACT(A4528, ""\d+""))"),7158.0)</f>
        <v>7158</v>
      </c>
    </row>
    <row r="4529">
      <c r="A4529" s="9" t="s">
        <v>17355</v>
      </c>
      <c r="B4529" s="9" t="s">
        <v>17356</v>
      </c>
      <c r="G4529" s="9" t="s">
        <v>17356</v>
      </c>
      <c r="O4529" s="10">
        <f>IFERROR(__xludf.DUMMYFUNCTION("VALUE(REGEXEXTRACT(A4529, ""\d+""))"),7159.0)</f>
        <v>7159</v>
      </c>
    </row>
    <row r="4530">
      <c r="A4530" s="9" t="s">
        <v>17357</v>
      </c>
      <c r="B4530" s="9" t="s">
        <v>17358</v>
      </c>
      <c r="G4530" s="9" t="s">
        <v>17359</v>
      </c>
      <c r="O4530" s="10">
        <f>IFERROR(__xludf.DUMMYFUNCTION("VALUE(REGEXEXTRACT(A4530, ""\d+""))"),7160.0)</f>
        <v>7160</v>
      </c>
    </row>
    <row r="4531">
      <c r="A4531" s="9" t="s">
        <v>17360</v>
      </c>
      <c r="B4531" s="9" t="s">
        <v>17361</v>
      </c>
      <c r="G4531" s="9" t="s">
        <v>17359</v>
      </c>
      <c r="O4531" s="10">
        <f>IFERROR(__xludf.DUMMYFUNCTION("VALUE(REGEXEXTRACT(A4531, ""\d+""))"),7161.0)</f>
        <v>7161</v>
      </c>
    </row>
    <row r="4532">
      <c r="A4532" s="9" t="s">
        <v>17362</v>
      </c>
      <c r="B4532" s="9" t="s">
        <v>17363</v>
      </c>
      <c r="G4532" s="9" t="s">
        <v>17364</v>
      </c>
      <c r="O4532" s="10">
        <f>IFERROR(__xludf.DUMMYFUNCTION("VALUE(REGEXEXTRACT(A4532, ""\d+""))"),7162.0)</f>
        <v>7162</v>
      </c>
    </row>
    <row r="4533">
      <c r="A4533" s="9" t="s">
        <v>17365</v>
      </c>
      <c r="B4533" s="9" t="s">
        <v>17366</v>
      </c>
      <c r="G4533" s="9" t="s">
        <v>17367</v>
      </c>
      <c r="O4533" s="10">
        <f>IFERROR(__xludf.DUMMYFUNCTION("VALUE(REGEXEXTRACT(A4533, ""\d+""))"),7163.0)</f>
        <v>7163</v>
      </c>
    </row>
    <row r="4534">
      <c r="A4534" s="9" t="s">
        <v>17368</v>
      </c>
      <c r="B4534" s="9" t="s">
        <v>17369</v>
      </c>
      <c r="G4534" s="9" t="s">
        <v>17370</v>
      </c>
      <c r="O4534" s="10">
        <f>IFERROR(__xludf.DUMMYFUNCTION("VALUE(REGEXEXTRACT(A4534, ""\d+""))"),7164.0)</f>
        <v>7164</v>
      </c>
    </row>
    <row r="4535">
      <c r="A4535" s="9" t="s">
        <v>17371</v>
      </c>
      <c r="B4535" s="9" t="s">
        <v>17372</v>
      </c>
      <c r="G4535" s="9" t="s">
        <v>17373</v>
      </c>
      <c r="O4535" s="10">
        <f>IFERROR(__xludf.DUMMYFUNCTION("VALUE(REGEXEXTRACT(A4535, ""\d+""))"),7166.0)</f>
        <v>7166</v>
      </c>
    </row>
    <row r="4536">
      <c r="A4536" s="9" t="s">
        <v>17374</v>
      </c>
      <c r="B4536" s="9" t="s">
        <v>17375</v>
      </c>
      <c r="G4536" s="9" t="s">
        <v>17376</v>
      </c>
      <c r="O4536" s="10">
        <f>IFERROR(__xludf.DUMMYFUNCTION("VALUE(REGEXEXTRACT(A4536, ""\d+""))"),7167.0)</f>
        <v>7167</v>
      </c>
    </row>
    <row r="4537">
      <c r="A4537" s="9" t="s">
        <v>17377</v>
      </c>
      <c r="B4537" s="9" t="s">
        <v>17378</v>
      </c>
      <c r="G4537" s="9" t="s">
        <v>17379</v>
      </c>
      <c r="O4537" s="10">
        <f>IFERROR(__xludf.DUMMYFUNCTION("VALUE(REGEXEXTRACT(A4537, ""\d+""))"),7168.0)</f>
        <v>7168</v>
      </c>
    </row>
    <row r="4538">
      <c r="A4538" s="9" t="s">
        <v>17380</v>
      </c>
      <c r="B4538" s="9" t="s">
        <v>17381</v>
      </c>
      <c r="G4538" s="9" t="s">
        <v>17382</v>
      </c>
      <c r="O4538" s="10">
        <f>IFERROR(__xludf.DUMMYFUNCTION("VALUE(REGEXEXTRACT(A4538, ""\d+""))"),7169.0)</f>
        <v>7169</v>
      </c>
    </row>
    <row r="4539">
      <c r="A4539" s="9" t="s">
        <v>17383</v>
      </c>
      <c r="B4539" s="9" t="s">
        <v>17384</v>
      </c>
      <c r="G4539" s="9" t="s">
        <v>17385</v>
      </c>
      <c r="O4539" s="10">
        <f>IFERROR(__xludf.DUMMYFUNCTION("VALUE(REGEXEXTRACT(A4539, ""\d+""))"),7170.0)</f>
        <v>7170</v>
      </c>
    </row>
    <row r="4540">
      <c r="A4540" s="9" t="s">
        <v>17386</v>
      </c>
      <c r="B4540" s="9" t="s">
        <v>17387</v>
      </c>
      <c r="G4540" s="9" t="s">
        <v>17388</v>
      </c>
      <c r="O4540" s="10">
        <f>IFERROR(__xludf.DUMMYFUNCTION("VALUE(REGEXEXTRACT(A4540, ""\d+""))"),7174.0)</f>
        <v>7174</v>
      </c>
    </row>
    <row r="4541">
      <c r="A4541" s="9" t="s">
        <v>17389</v>
      </c>
      <c r="B4541" s="9" t="s">
        <v>17390</v>
      </c>
      <c r="G4541" s="9" t="s">
        <v>17391</v>
      </c>
      <c r="O4541" s="10">
        <f>IFERROR(__xludf.DUMMYFUNCTION("VALUE(REGEXEXTRACT(A4541, ""\d+""))"),7177.0)</f>
        <v>7177</v>
      </c>
    </row>
    <row r="4542">
      <c r="A4542" s="9" t="s">
        <v>17392</v>
      </c>
      <c r="B4542" s="9" t="s">
        <v>17393</v>
      </c>
      <c r="G4542" s="9" t="s">
        <v>17394</v>
      </c>
      <c r="O4542" s="10">
        <f>IFERROR(__xludf.DUMMYFUNCTION("VALUE(REGEXEXTRACT(A4542, ""\d+""))"),7178.0)</f>
        <v>7178</v>
      </c>
    </row>
    <row r="4543">
      <c r="A4543" s="9" t="s">
        <v>17395</v>
      </c>
      <c r="B4543" s="9" t="s">
        <v>17396</v>
      </c>
      <c r="G4543" s="9" t="s">
        <v>17397</v>
      </c>
      <c r="O4543" s="10">
        <f>IFERROR(__xludf.DUMMYFUNCTION("VALUE(REGEXEXTRACT(A4543, ""\d+""))"),7179.0)</f>
        <v>7179</v>
      </c>
    </row>
    <row r="4544">
      <c r="A4544" s="9" t="s">
        <v>17398</v>
      </c>
      <c r="B4544" s="9" t="s">
        <v>17399</v>
      </c>
      <c r="G4544" s="9" t="s">
        <v>17400</v>
      </c>
      <c r="O4544" s="10">
        <f>IFERROR(__xludf.DUMMYFUNCTION("VALUE(REGEXEXTRACT(A4544, ""\d+""))"),7180.0)</f>
        <v>7180</v>
      </c>
    </row>
    <row r="4545">
      <c r="A4545" s="9" t="s">
        <v>17401</v>
      </c>
      <c r="B4545" s="9" t="s">
        <v>17402</v>
      </c>
      <c r="G4545" s="9" t="s">
        <v>17403</v>
      </c>
      <c r="O4545" s="10">
        <f>IFERROR(__xludf.DUMMYFUNCTION("VALUE(REGEXEXTRACT(A4545, ""\d+""))"),7181.0)</f>
        <v>7181</v>
      </c>
    </row>
    <row r="4546">
      <c r="A4546" s="9" t="s">
        <v>17404</v>
      </c>
      <c r="B4546" s="9" t="s">
        <v>17405</v>
      </c>
      <c r="G4546" s="9" t="s">
        <v>17406</v>
      </c>
      <c r="O4546" s="10">
        <f>IFERROR(__xludf.DUMMYFUNCTION("VALUE(REGEXEXTRACT(A4546, ""\d+""))"),7182.0)</f>
        <v>7182</v>
      </c>
    </row>
    <row r="4547">
      <c r="A4547" s="9" t="s">
        <v>17407</v>
      </c>
      <c r="B4547" s="9" t="s">
        <v>17408</v>
      </c>
      <c r="G4547" s="9" t="s">
        <v>17409</v>
      </c>
      <c r="O4547" s="10">
        <f>IFERROR(__xludf.DUMMYFUNCTION("VALUE(REGEXEXTRACT(A4547, ""\d+""))"),7183.0)</f>
        <v>7183</v>
      </c>
    </row>
    <row r="4548">
      <c r="A4548" s="9" t="s">
        <v>17410</v>
      </c>
      <c r="B4548" s="9" t="s">
        <v>17411</v>
      </c>
      <c r="G4548" s="9" t="s">
        <v>17412</v>
      </c>
      <c r="O4548" s="10">
        <f>IFERROR(__xludf.DUMMYFUNCTION("VALUE(REGEXEXTRACT(A4548, ""\d+""))"),7185.0)</f>
        <v>7185</v>
      </c>
    </row>
    <row r="4549">
      <c r="A4549" s="9" t="s">
        <v>17413</v>
      </c>
      <c r="B4549" s="9" t="s">
        <v>17414</v>
      </c>
      <c r="G4549" s="9" t="s">
        <v>17415</v>
      </c>
      <c r="O4549" s="10">
        <f>IFERROR(__xludf.DUMMYFUNCTION("VALUE(REGEXEXTRACT(A4549, ""\d+""))"),7186.0)</f>
        <v>7186</v>
      </c>
    </row>
    <row r="4550">
      <c r="A4550" s="9" t="s">
        <v>17416</v>
      </c>
      <c r="B4550" s="9" t="s">
        <v>17417</v>
      </c>
      <c r="G4550" s="9" t="s">
        <v>17418</v>
      </c>
      <c r="O4550" s="10">
        <f>IFERROR(__xludf.DUMMYFUNCTION("VALUE(REGEXEXTRACT(A4550, ""\d+""))"),7187.0)</f>
        <v>7187</v>
      </c>
    </row>
    <row r="4551">
      <c r="A4551" s="9" t="s">
        <v>17419</v>
      </c>
      <c r="B4551" s="9" t="s">
        <v>17420</v>
      </c>
      <c r="G4551" s="9" t="s">
        <v>17421</v>
      </c>
      <c r="O4551" s="10">
        <f>IFERROR(__xludf.DUMMYFUNCTION("VALUE(REGEXEXTRACT(A4551, ""\d+""))"),7188.0)</f>
        <v>7188</v>
      </c>
    </row>
    <row r="4552">
      <c r="A4552" s="9" t="s">
        <v>17422</v>
      </c>
      <c r="B4552" s="9" t="s">
        <v>17423</v>
      </c>
      <c r="G4552" s="9" t="s">
        <v>17424</v>
      </c>
      <c r="O4552" s="10">
        <f>IFERROR(__xludf.DUMMYFUNCTION("VALUE(REGEXEXTRACT(A4552, ""\d+""))"),7189.0)</f>
        <v>7189</v>
      </c>
    </row>
    <row r="4553">
      <c r="A4553" s="9" t="s">
        <v>17425</v>
      </c>
      <c r="B4553" s="9" t="s">
        <v>17426</v>
      </c>
      <c r="G4553" s="9" t="s">
        <v>17427</v>
      </c>
      <c r="O4553" s="10">
        <f>IFERROR(__xludf.DUMMYFUNCTION("VALUE(REGEXEXTRACT(A4553, ""\d+""))"),7190.0)</f>
        <v>7190</v>
      </c>
    </row>
    <row r="4554">
      <c r="A4554" s="9" t="s">
        <v>17428</v>
      </c>
      <c r="B4554" s="9" t="s">
        <v>17429</v>
      </c>
      <c r="G4554" s="9" t="s">
        <v>17430</v>
      </c>
      <c r="O4554" s="10">
        <f>IFERROR(__xludf.DUMMYFUNCTION("VALUE(REGEXEXTRACT(A4554, ""\d+""))"),7191.0)</f>
        <v>7191</v>
      </c>
    </row>
    <row r="4555">
      <c r="A4555" s="9" t="s">
        <v>17431</v>
      </c>
      <c r="B4555" s="9" t="s">
        <v>17432</v>
      </c>
      <c r="G4555" s="9" t="s">
        <v>17433</v>
      </c>
      <c r="O4555" s="10">
        <f>IFERROR(__xludf.DUMMYFUNCTION("VALUE(REGEXEXTRACT(A4555, ""\d+""))"),7192.0)</f>
        <v>7192</v>
      </c>
    </row>
    <row r="4556">
      <c r="A4556" s="9" t="s">
        <v>17434</v>
      </c>
      <c r="B4556" s="9" t="s">
        <v>17435</v>
      </c>
      <c r="G4556" s="9" t="s">
        <v>17436</v>
      </c>
      <c r="O4556" s="10">
        <f>IFERROR(__xludf.DUMMYFUNCTION("VALUE(REGEXEXTRACT(A4556, ""\d+""))"),7193.0)</f>
        <v>7193</v>
      </c>
    </row>
    <row r="4557">
      <c r="A4557" s="9" t="s">
        <v>17437</v>
      </c>
      <c r="B4557" s="9" t="s">
        <v>17438</v>
      </c>
      <c r="G4557" s="9" t="s">
        <v>17439</v>
      </c>
      <c r="O4557" s="10">
        <f>IFERROR(__xludf.DUMMYFUNCTION("VALUE(REGEXEXTRACT(A4557, ""\d+""))"),7194.0)</f>
        <v>7194</v>
      </c>
    </row>
    <row r="4558">
      <c r="A4558" s="9" t="s">
        <v>17440</v>
      </c>
      <c r="B4558" s="9" t="s">
        <v>17441</v>
      </c>
      <c r="G4558" s="9" t="s">
        <v>17442</v>
      </c>
      <c r="O4558" s="10">
        <f>IFERROR(__xludf.DUMMYFUNCTION("VALUE(REGEXEXTRACT(A4558, ""\d+""))"),7195.0)</f>
        <v>7195</v>
      </c>
    </row>
    <row r="4559">
      <c r="A4559" s="9" t="s">
        <v>17443</v>
      </c>
      <c r="B4559" s="9" t="s">
        <v>17444</v>
      </c>
      <c r="G4559" s="9" t="s">
        <v>17445</v>
      </c>
      <c r="O4559" s="10">
        <f>IFERROR(__xludf.DUMMYFUNCTION("VALUE(REGEXEXTRACT(A4559, ""\d+""))"),7196.0)</f>
        <v>7196</v>
      </c>
    </row>
    <row r="4560">
      <c r="A4560" s="9" t="s">
        <v>17446</v>
      </c>
      <c r="B4560" s="9" t="s">
        <v>17447</v>
      </c>
      <c r="G4560" s="9" t="s">
        <v>17448</v>
      </c>
      <c r="O4560" s="10">
        <f>IFERROR(__xludf.DUMMYFUNCTION("VALUE(REGEXEXTRACT(A4560, ""\d+""))"),7197.0)</f>
        <v>7197</v>
      </c>
    </row>
    <row r="4561">
      <c r="A4561" s="9" t="s">
        <v>17449</v>
      </c>
      <c r="B4561" s="9" t="s">
        <v>17450</v>
      </c>
      <c r="G4561" s="9" t="s">
        <v>17451</v>
      </c>
      <c r="O4561" s="10">
        <f>IFERROR(__xludf.DUMMYFUNCTION("VALUE(REGEXEXTRACT(A4561, ""\d+""))"),7198.0)</f>
        <v>7198</v>
      </c>
    </row>
    <row r="4562">
      <c r="A4562" s="9" t="s">
        <v>17452</v>
      </c>
      <c r="B4562" s="9" t="s">
        <v>17453</v>
      </c>
      <c r="G4562" s="9" t="s">
        <v>17454</v>
      </c>
      <c r="O4562" s="10">
        <f>IFERROR(__xludf.DUMMYFUNCTION("VALUE(REGEXEXTRACT(A4562, ""\d+""))"),7199.0)</f>
        <v>7199</v>
      </c>
    </row>
    <row r="4563">
      <c r="A4563" s="9" t="s">
        <v>17455</v>
      </c>
      <c r="B4563" s="9" t="s">
        <v>17456</v>
      </c>
      <c r="G4563" s="9" t="s">
        <v>17457</v>
      </c>
      <c r="O4563" s="10">
        <f>IFERROR(__xludf.DUMMYFUNCTION("VALUE(REGEXEXTRACT(A4563, ""\d+""))"),7200.0)</f>
        <v>7200</v>
      </c>
    </row>
    <row r="4564">
      <c r="A4564" s="9" t="s">
        <v>17458</v>
      </c>
      <c r="B4564" s="9" t="s">
        <v>17459</v>
      </c>
      <c r="G4564" s="9" t="s">
        <v>17460</v>
      </c>
      <c r="O4564" s="10">
        <f>IFERROR(__xludf.DUMMYFUNCTION("VALUE(REGEXEXTRACT(A4564, ""\d+""))"),7201.0)</f>
        <v>7201</v>
      </c>
    </row>
    <row r="4565">
      <c r="A4565" s="9" t="s">
        <v>17461</v>
      </c>
      <c r="B4565" s="9" t="s">
        <v>17462</v>
      </c>
      <c r="G4565" s="9" t="s">
        <v>17463</v>
      </c>
      <c r="O4565" s="10">
        <f>IFERROR(__xludf.DUMMYFUNCTION("VALUE(REGEXEXTRACT(A4565, ""\d+""))"),7202.0)</f>
        <v>7202</v>
      </c>
    </row>
    <row r="4566">
      <c r="A4566" s="9" t="s">
        <v>17464</v>
      </c>
      <c r="B4566" s="9" t="s">
        <v>17465</v>
      </c>
      <c r="G4566" s="9" t="s">
        <v>17466</v>
      </c>
      <c r="O4566" s="10">
        <f>IFERROR(__xludf.DUMMYFUNCTION("VALUE(REGEXEXTRACT(A4566, ""\d+""))"),7206.0)</f>
        <v>7206</v>
      </c>
    </row>
    <row r="4567">
      <c r="A4567" s="9" t="s">
        <v>17467</v>
      </c>
      <c r="B4567" s="9" t="s">
        <v>17468</v>
      </c>
      <c r="G4567" s="9" t="s">
        <v>17469</v>
      </c>
      <c r="O4567" s="10">
        <f>IFERROR(__xludf.DUMMYFUNCTION("VALUE(REGEXEXTRACT(A4567, ""\d+""))"),7207.0)</f>
        <v>7207</v>
      </c>
    </row>
    <row r="4568">
      <c r="A4568" s="9" t="s">
        <v>17470</v>
      </c>
      <c r="B4568" s="9" t="s">
        <v>17471</v>
      </c>
      <c r="G4568" s="9" t="s">
        <v>17472</v>
      </c>
      <c r="O4568" s="10">
        <f>IFERROR(__xludf.DUMMYFUNCTION("VALUE(REGEXEXTRACT(A4568, ""\d+""))"),7208.0)</f>
        <v>7208</v>
      </c>
    </row>
    <row r="4569">
      <c r="A4569" s="9" t="s">
        <v>17473</v>
      </c>
      <c r="B4569" s="9" t="s">
        <v>17474</v>
      </c>
      <c r="G4569" s="9" t="s">
        <v>17475</v>
      </c>
      <c r="O4569" s="10">
        <f>IFERROR(__xludf.DUMMYFUNCTION("VALUE(REGEXEXTRACT(A4569, ""\d+""))"),7209.0)</f>
        <v>7209</v>
      </c>
    </row>
    <row r="4570">
      <c r="A4570" s="9" t="s">
        <v>17476</v>
      </c>
      <c r="B4570" s="9" t="s">
        <v>17477</v>
      </c>
      <c r="G4570" s="9" t="s">
        <v>17478</v>
      </c>
      <c r="O4570" s="10">
        <f>IFERROR(__xludf.DUMMYFUNCTION("VALUE(REGEXEXTRACT(A4570, ""\d+""))"),7210.0)</f>
        <v>7210</v>
      </c>
    </row>
    <row r="4571">
      <c r="A4571" s="9" t="s">
        <v>17479</v>
      </c>
      <c r="B4571" s="9" t="s">
        <v>17480</v>
      </c>
      <c r="G4571" s="9" t="s">
        <v>17481</v>
      </c>
      <c r="O4571" s="10">
        <f>IFERROR(__xludf.DUMMYFUNCTION("VALUE(REGEXEXTRACT(A4571, ""\d+""))"),7211.0)</f>
        <v>7211</v>
      </c>
    </row>
    <row r="4572">
      <c r="A4572" s="9" t="s">
        <v>17482</v>
      </c>
      <c r="B4572" s="9" t="s">
        <v>17483</v>
      </c>
      <c r="G4572" s="9" t="s">
        <v>17484</v>
      </c>
      <c r="O4572" s="10">
        <f>IFERROR(__xludf.DUMMYFUNCTION("VALUE(REGEXEXTRACT(A4572, ""\d+""))"),7212.0)</f>
        <v>7212</v>
      </c>
    </row>
    <row r="4573">
      <c r="A4573" s="9" t="s">
        <v>17485</v>
      </c>
      <c r="B4573" s="9" t="s">
        <v>17486</v>
      </c>
      <c r="G4573" s="9" t="s">
        <v>17487</v>
      </c>
      <c r="O4573" s="10">
        <f>IFERROR(__xludf.DUMMYFUNCTION("VALUE(REGEXEXTRACT(A4573, ""\d+""))"),7213.0)</f>
        <v>7213</v>
      </c>
    </row>
    <row r="4574">
      <c r="A4574" s="9" t="s">
        <v>17488</v>
      </c>
      <c r="B4574" s="9" t="s">
        <v>17489</v>
      </c>
      <c r="G4574" s="9" t="s">
        <v>17490</v>
      </c>
      <c r="O4574" s="10">
        <f>IFERROR(__xludf.DUMMYFUNCTION("VALUE(REGEXEXTRACT(A4574, ""\d+""))"),7214.0)</f>
        <v>7214</v>
      </c>
    </row>
    <row r="4575">
      <c r="A4575" s="9" t="s">
        <v>17491</v>
      </c>
      <c r="B4575" s="9" t="s">
        <v>17492</v>
      </c>
      <c r="G4575" s="9" t="s">
        <v>17493</v>
      </c>
      <c r="O4575" s="10">
        <f>IFERROR(__xludf.DUMMYFUNCTION("VALUE(REGEXEXTRACT(A4575, ""\d+""))"),7215.0)</f>
        <v>7215</v>
      </c>
    </row>
    <row r="4576">
      <c r="A4576" s="9" t="s">
        <v>17494</v>
      </c>
      <c r="B4576" s="9" t="s">
        <v>17495</v>
      </c>
      <c r="G4576" s="9" t="s">
        <v>17496</v>
      </c>
      <c r="O4576" s="10">
        <f>IFERROR(__xludf.DUMMYFUNCTION("VALUE(REGEXEXTRACT(A4576, ""\d+""))"),7219.0)</f>
        <v>7219</v>
      </c>
    </row>
    <row r="4577">
      <c r="A4577" s="9" t="s">
        <v>17497</v>
      </c>
      <c r="B4577" s="9" t="s">
        <v>17498</v>
      </c>
      <c r="G4577" s="9" t="s">
        <v>17499</v>
      </c>
      <c r="O4577" s="10">
        <f>IFERROR(__xludf.DUMMYFUNCTION("VALUE(REGEXEXTRACT(A4577, ""\d+""))"),7221.0)</f>
        <v>7221</v>
      </c>
    </row>
    <row r="4578">
      <c r="A4578" s="9" t="s">
        <v>17500</v>
      </c>
      <c r="B4578" s="9" t="s">
        <v>17501</v>
      </c>
      <c r="G4578" s="9" t="s">
        <v>17502</v>
      </c>
      <c r="O4578" s="10">
        <f>IFERROR(__xludf.DUMMYFUNCTION("VALUE(REGEXEXTRACT(A4578, ""\d+""))"),7222.0)</f>
        <v>7222</v>
      </c>
    </row>
    <row r="4579">
      <c r="A4579" s="9" t="s">
        <v>17503</v>
      </c>
      <c r="B4579" s="9" t="s">
        <v>17504</v>
      </c>
      <c r="G4579" s="9" t="s">
        <v>17505</v>
      </c>
      <c r="O4579" s="10">
        <f>IFERROR(__xludf.DUMMYFUNCTION("VALUE(REGEXEXTRACT(A4579, ""\d+""))"),7223.0)</f>
        <v>7223</v>
      </c>
    </row>
    <row r="4580">
      <c r="A4580" s="9" t="s">
        <v>17506</v>
      </c>
      <c r="B4580" s="9" t="s">
        <v>17507</v>
      </c>
      <c r="G4580" s="9" t="s">
        <v>17508</v>
      </c>
      <c r="O4580" s="10">
        <f>IFERROR(__xludf.DUMMYFUNCTION("VALUE(REGEXEXTRACT(A4580, ""\d+""))"),7224.0)</f>
        <v>7224</v>
      </c>
    </row>
    <row r="4581">
      <c r="A4581" s="9" t="s">
        <v>17509</v>
      </c>
      <c r="B4581" s="9" t="s">
        <v>17510</v>
      </c>
      <c r="G4581" s="9" t="s">
        <v>17511</v>
      </c>
      <c r="O4581" s="10">
        <f>IFERROR(__xludf.DUMMYFUNCTION("VALUE(REGEXEXTRACT(A4581, ""\d+""))"),7225.0)</f>
        <v>7225</v>
      </c>
    </row>
    <row r="4582">
      <c r="A4582" s="9" t="s">
        <v>17512</v>
      </c>
      <c r="B4582" s="9" t="s">
        <v>17513</v>
      </c>
      <c r="G4582" s="9" t="s">
        <v>17514</v>
      </c>
      <c r="O4582" s="10">
        <f>IFERROR(__xludf.DUMMYFUNCTION("VALUE(REGEXEXTRACT(A4582, ""\d+""))"),7226.0)</f>
        <v>7226</v>
      </c>
    </row>
    <row r="4583">
      <c r="A4583" s="9" t="s">
        <v>17515</v>
      </c>
      <c r="B4583" s="9" t="s">
        <v>17516</v>
      </c>
      <c r="G4583" s="9" t="s">
        <v>17517</v>
      </c>
      <c r="O4583" s="10">
        <f>IFERROR(__xludf.DUMMYFUNCTION("VALUE(REGEXEXTRACT(A4583, ""\d+""))"),7227.0)</f>
        <v>7227</v>
      </c>
    </row>
    <row r="4584">
      <c r="A4584" s="9" t="s">
        <v>17518</v>
      </c>
      <c r="B4584" s="9" t="s">
        <v>17519</v>
      </c>
      <c r="G4584" s="9" t="s">
        <v>17520</v>
      </c>
      <c r="O4584" s="10">
        <f>IFERROR(__xludf.DUMMYFUNCTION("VALUE(REGEXEXTRACT(A4584, ""\d+""))"),7232.0)</f>
        <v>7232</v>
      </c>
    </row>
    <row r="4585">
      <c r="A4585" s="9" t="s">
        <v>17521</v>
      </c>
      <c r="B4585" s="9" t="s">
        <v>17522</v>
      </c>
      <c r="G4585" s="9" t="s">
        <v>17523</v>
      </c>
      <c r="O4585" s="10">
        <f>IFERROR(__xludf.DUMMYFUNCTION("VALUE(REGEXEXTRACT(A4585, ""\d+""))"),7233.0)</f>
        <v>7233</v>
      </c>
    </row>
    <row r="4586">
      <c r="A4586" s="9" t="s">
        <v>17524</v>
      </c>
      <c r="B4586" s="9" t="s">
        <v>17525</v>
      </c>
      <c r="G4586" s="9" t="s">
        <v>17526</v>
      </c>
      <c r="O4586" s="10">
        <f>IFERROR(__xludf.DUMMYFUNCTION("VALUE(REGEXEXTRACT(A4586, ""\d+""))"),7234.0)</f>
        <v>7234</v>
      </c>
    </row>
    <row r="4587">
      <c r="A4587" s="9" t="s">
        <v>17527</v>
      </c>
      <c r="B4587" s="9" t="s">
        <v>17528</v>
      </c>
      <c r="G4587" s="9" t="s">
        <v>17529</v>
      </c>
      <c r="O4587" s="10">
        <f>IFERROR(__xludf.DUMMYFUNCTION("VALUE(REGEXEXTRACT(A4587, ""\d+""))"),7235.0)</f>
        <v>7235</v>
      </c>
    </row>
    <row r="4588">
      <c r="A4588" s="9" t="s">
        <v>17530</v>
      </c>
      <c r="B4588" s="9" t="s">
        <v>17531</v>
      </c>
      <c r="G4588" s="9" t="s">
        <v>17532</v>
      </c>
      <c r="O4588" s="10">
        <f>IFERROR(__xludf.DUMMYFUNCTION("VALUE(REGEXEXTRACT(A4588, ""\d+""))"),7236.0)</f>
        <v>7236</v>
      </c>
    </row>
    <row r="4589">
      <c r="A4589" s="9" t="s">
        <v>17533</v>
      </c>
      <c r="B4589" s="9" t="s">
        <v>17534</v>
      </c>
      <c r="G4589" s="9" t="s">
        <v>17535</v>
      </c>
      <c r="O4589" s="10">
        <f>IFERROR(__xludf.DUMMYFUNCTION("VALUE(REGEXEXTRACT(A4589, ""\d+""))"),7237.0)</f>
        <v>7237</v>
      </c>
    </row>
    <row r="4590">
      <c r="A4590" s="9" t="s">
        <v>17536</v>
      </c>
      <c r="B4590" s="9" t="s">
        <v>17537</v>
      </c>
      <c r="G4590" s="9" t="s">
        <v>17538</v>
      </c>
      <c r="O4590" s="10">
        <f>IFERROR(__xludf.DUMMYFUNCTION("VALUE(REGEXEXTRACT(A4590, ""\d+""))"),7238.0)</f>
        <v>7238</v>
      </c>
    </row>
    <row r="4591">
      <c r="A4591" s="9" t="s">
        <v>17539</v>
      </c>
      <c r="B4591" s="9" t="s">
        <v>17540</v>
      </c>
      <c r="G4591" s="9" t="s">
        <v>17541</v>
      </c>
      <c r="O4591" s="10">
        <f>IFERROR(__xludf.DUMMYFUNCTION("VALUE(REGEXEXTRACT(A4591, ""\d+""))"),7239.0)</f>
        <v>7239</v>
      </c>
    </row>
    <row r="4592">
      <c r="A4592" s="9" t="s">
        <v>17542</v>
      </c>
      <c r="B4592" s="9" t="s">
        <v>17543</v>
      </c>
      <c r="G4592" s="9" t="s">
        <v>17544</v>
      </c>
      <c r="O4592" s="10">
        <f>IFERROR(__xludf.DUMMYFUNCTION("VALUE(REGEXEXTRACT(A4592, ""\d+""))"),7240.0)</f>
        <v>7240</v>
      </c>
    </row>
    <row r="4593">
      <c r="A4593" s="9" t="s">
        <v>17545</v>
      </c>
      <c r="B4593" s="9" t="s">
        <v>17546</v>
      </c>
      <c r="G4593" s="9" t="s">
        <v>17547</v>
      </c>
      <c r="O4593" s="10">
        <f>IFERROR(__xludf.DUMMYFUNCTION("VALUE(REGEXEXTRACT(A4593, ""\d+""))"),7241.0)</f>
        <v>7241</v>
      </c>
    </row>
    <row r="4594">
      <c r="A4594" s="9" t="s">
        <v>17548</v>
      </c>
      <c r="B4594" s="9" t="s">
        <v>17549</v>
      </c>
      <c r="G4594" s="9" t="s">
        <v>17550</v>
      </c>
      <c r="O4594" s="10">
        <f>IFERROR(__xludf.DUMMYFUNCTION("VALUE(REGEXEXTRACT(A4594, ""\d+""))"),7242.0)</f>
        <v>7242</v>
      </c>
    </row>
    <row r="4595">
      <c r="A4595" s="9" t="s">
        <v>17551</v>
      </c>
      <c r="B4595" s="9" t="s">
        <v>17552</v>
      </c>
      <c r="G4595" s="9" t="s">
        <v>17553</v>
      </c>
      <c r="O4595" s="10">
        <f>IFERROR(__xludf.DUMMYFUNCTION("VALUE(REGEXEXTRACT(A4595, ""\d+""))"),7243.0)</f>
        <v>7243</v>
      </c>
    </row>
    <row r="4596">
      <c r="A4596" s="9" t="s">
        <v>17554</v>
      </c>
      <c r="B4596" s="9" t="s">
        <v>17555</v>
      </c>
      <c r="G4596" s="9" t="s">
        <v>17556</v>
      </c>
      <c r="O4596" s="10">
        <f>IFERROR(__xludf.DUMMYFUNCTION("VALUE(REGEXEXTRACT(A4596, ""\d+""))"),7244.0)</f>
        <v>7244</v>
      </c>
    </row>
    <row r="4597">
      <c r="A4597" s="9" t="s">
        <v>17557</v>
      </c>
      <c r="B4597" s="9" t="s">
        <v>17558</v>
      </c>
      <c r="G4597" s="9" t="s">
        <v>17559</v>
      </c>
      <c r="O4597" s="10">
        <f>IFERROR(__xludf.DUMMYFUNCTION("VALUE(REGEXEXTRACT(A4597, ""\d+""))"),7245.0)</f>
        <v>7245</v>
      </c>
    </row>
    <row r="4598">
      <c r="A4598" s="9" t="s">
        <v>17560</v>
      </c>
      <c r="B4598" s="9" t="s">
        <v>17561</v>
      </c>
      <c r="G4598" s="9" t="s">
        <v>17562</v>
      </c>
      <c r="O4598" s="10">
        <f>IFERROR(__xludf.DUMMYFUNCTION("VALUE(REGEXEXTRACT(A4598, ""\d+""))"),7246.0)</f>
        <v>7246</v>
      </c>
    </row>
    <row r="4599">
      <c r="A4599" s="9" t="s">
        <v>17563</v>
      </c>
      <c r="B4599" s="9" t="s">
        <v>17564</v>
      </c>
      <c r="G4599" s="9" t="s">
        <v>17565</v>
      </c>
      <c r="O4599" s="10">
        <f>IFERROR(__xludf.DUMMYFUNCTION("VALUE(REGEXEXTRACT(A4599, ""\d+""))"),7247.0)</f>
        <v>7247</v>
      </c>
    </row>
    <row r="4600">
      <c r="A4600" s="9" t="s">
        <v>17566</v>
      </c>
      <c r="B4600" s="9" t="s">
        <v>17567</v>
      </c>
      <c r="G4600" s="9" t="s">
        <v>17568</v>
      </c>
      <c r="O4600" s="10">
        <f>IFERROR(__xludf.DUMMYFUNCTION("VALUE(REGEXEXTRACT(A4600, ""\d+""))"),7248.0)</f>
        <v>7248</v>
      </c>
    </row>
    <row r="4601">
      <c r="A4601" s="9" t="s">
        <v>17569</v>
      </c>
      <c r="B4601" s="9" t="s">
        <v>17570</v>
      </c>
      <c r="G4601" s="9" t="s">
        <v>17571</v>
      </c>
      <c r="O4601" s="10">
        <f>IFERROR(__xludf.DUMMYFUNCTION("VALUE(REGEXEXTRACT(A4601, ""\d+""))"),7249.0)</f>
        <v>7249</v>
      </c>
    </row>
    <row r="4602">
      <c r="A4602" s="9" t="s">
        <v>17572</v>
      </c>
      <c r="B4602" s="9" t="s">
        <v>17573</v>
      </c>
      <c r="G4602" s="9" t="s">
        <v>17574</v>
      </c>
      <c r="O4602" s="10">
        <f>IFERROR(__xludf.DUMMYFUNCTION("VALUE(REGEXEXTRACT(A4602, ""\d+""))"),7250.0)</f>
        <v>7250</v>
      </c>
    </row>
    <row r="4603">
      <c r="A4603" s="9" t="s">
        <v>17575</v>
      </c>
      <c r="B4603" s="9" t="s">
        <v>17576</v>
      </c>
      <c r="G4603" s="9" t="s">
        <v>17577</v>
      </c>
      <c r="O4603" s="10">
        <f>IFERROR(__xludf.DUMMYFUNCTION("VALUE(REGEXEXTRACT(A4603, ""\d+""))"),7251.0)</f>
        <v>7251</v>
      </c>
    </row>
    <row r="4604">
      <c r="A4604" s="9" t="s">
        <v>17578</v>
      </c>
      <c r="B4604" s="9" t="s">
        <v>17579</v>
      </c>
      <c r="G4604" s="9" t="s">
        <v>17580</v>
      </c>
      <c r="O4604" s="10">
        <f>IFERROR(__xludf.DUMMYFUNCTION("VALUE(REGEXEXTRACT(A4604, ""\d+""))"),7252.0)</f>
        <v>7252</v>
      </c>
    </row>
    <row r="4605">
      <c r="A4605" s="9" t="s">
        <v>17581</v>
      </c>
      <c r="B4605" s="9" t="s">
        <v>17582</v>
      </c>
      <c r="G4605" s="9" t="s">
        <v>17583</v>
      </c>
      <c r="O4605" s="10">
        <f>IFERROR(__xludf.DUMMYFUNCTION("VALUE(REGEXEXTRACT(A4605, ""\d+""))"),7253.0)</f>
        <v>7253</v>
      </c>
    </row>
    <row r="4606">
      <c r="A4606" s="9" t="s">
        <v>17584</v>
      </c>
      <c r="B4606" s="9" t="s">
        <v>17585</v>
      </c>
      <c r="G4606" s="9" t="s">
        <v>17586</v>
      </c>
      <c r="O4606" s="10">
        <f>IFERROR(__xludf.DUMMYFUNCTION("VALUE(REGEXEXTRACT(A4606, ""\d+""))"),7254.0)</f>
        <v>7254</v>
      </c>
    </row>
    <row r="4607">
      <c r="A4607" s="9" t="s">
        <v>17587</v>
      </c>
      <c r="B4607" s="9" t="s">
        <v>17588</v>
      </c>
      <c r="G4607" s="9" t="s">
        <v>17589</v>
      </c>
      <c r="O4607" s="10">
        <f>IFERROR(__xludf.DUMMYFUNCTION("VALUE(REGEXEXTRACT(A4607, ""\d+""))"),7255.0)</f>
        <v>7255</v>
      </c>
    </row>
    <row r="4608">
      <c r="A4608" s="9" t="s">
        <v>17590</v>
      </c>
      <c r="B4608" s="9" t="s">
        <v>17591</v>
      </c>
      <c r="G4608" s="9" t="s">
        <v>17592</v>
      </c>
      <c r="O4608" s="10">
        <f>IFERROR(__xludf.DUMMYFUNCTION("VALUE(REGEXEXTRACT(A4608, ""\d+""))"),7256.0)</f>
        <v>7256</v>
      </c>
    </row>
    <row r="4609">
      <c r="A4609" s="9" t="s">
        <v>17593</v>
      </c>
      <c r="B4609" s="9" t="s">
        <v>17594</v>
      </c>
      <c r="G4609" s="9" t="s">
        <v>17595</v>
      </c>
      <c r="O4609" s="10">
        <f>IFERROR(__xludf.DUMMYFUNCTION("VALUE(REGEXEXTRACT(A4609, ""\d+""))"),7257.0)</f>
        <v>7257</v>
      </c>
    </row>
    <row r="4610">
      <c r="A4610" s="9" t="s">
        <v>17596</v>
      </c>
      <c r="B4610" s="9" t="s">
        <v>17597</v>
      </c>
      <c r="G4610" s="9" t="s">
        <v>17598</v>
      </c>
      <c r="O4610" s="10">
        <f>IFERROR(__xludf.DUMMYFUNCTION("VALUE(REGEXEXTRACT(A4610, ""\d+""))"),7258.0)</f>
        <v>7258</v>
      </c>
    </row>
    <row r="4611">
      <c r="A4611" s="9" t="s">
        <v>17599</v>
      </c>
      <c r="B4611" s="9" t="s">
        <v>17600</v>
      </c>
      <c r="G4611" s="9" t="s">
        <v>17601</v>
      </c>
      <c r="O4611" s="10">
        <f>IFERROR(__xludf.DUMMYFUNCTION("VALUE(REGEXEXTRACT(A4611, ""\d+""))"),7259.0)</f>
        <v>7259</v>
      </c>
    </row>
    <row r="4612">
      <c r="A4612" s="9" t="s">
        <v>17602</v>
      </c>
      <c r="B4612" s="9" t="s">
        <v>17603</v>
      </c>
      <c r="G4612" s="9" t="s">
        <v>17604</v>
      </c>
      <c r="O4612" s="10">
        <f>IFERROR(__xludf.DUMMYFUNCTION("VALUE(REGEXEXTRACT(A4612, ""\d+""))"),7261.0)</f>
        <v>7261</v>
      </c>
    </row>
    <row r="4613">
      <c r="A4613" s="9" t="s">
        <v>17605</v>
      </c>
      <c r="B4613" s="9" t="s">
        <v>17606</v>
      </c>
      <c r="G4613" s="9" t="s">
        <v>17607</v>
      </c>
      <c r="O4613" s="10">
        <f>IFERROR(__xludf.DUMMYFUNCTION("VALUE(REGEXEXTRACT(A4613, ""\d+""))"),7266.0)</f>
        <v>7266</v>
      </c>
    </row>
    <row r="4614">
      <c r="A4614" s="9" t="s">
        <v>17608</v>
      </c>
      <c r="B4614" s="9" t="s">
        <v>17609</v>
      </c>
      <c r="G4614" s="9" t="s">
        <v>17610</v>
      </c>
      <c r="O4614" s="10">
        <f>IFERROR(__xludf.DUMMYFUNCTION("VALUE(REGEXEXTRACT(A4614, ""\d+""))"),7267.0)</f>
        <v>7267</v>
      </c>
    </row>
    <row r="4615">
      <c r="A4615" s="9" t="s">
        <v>17611</v>
      </c>
      <c r="B4615" s="9" t="s">
        <v>17612</v>
      </c>
      <c r="G4615" s="9" t="s">
        <v>17613</v>
      </c>
      <c r="O4615" s="10">
        <f>IFERROR(__xludf.DUMMYFUNCTION("VALUE(REGEXEXTRACT(A4615, ""\d+""))"),7268.0)</f>
        <v>7268</v>
      </c>
    </row>
    <row r="4616">
      <c r="A4616" s="9" t="s">
        <v>17614</v>
      </c>
      <c r="B4616" s="9" t="s">
        <v>17615</v>
      </c>
      <c r="G4616" s="9" t="s">
        <v>17616</v>
      </c>
      <c r="O4616" s="10">
        <f>IFERROR(__xludf.DUMMYFUNCTION("VALUE(REGEXEXTRACT(A4616, ""\d+""))"),7269.0)</f>
        <v>7269</v>
      </c>
    </row>
    <row r="4617">
      <c r="A4617" s="9" t="s">
        <v>17617</v>
      </c>
      <c r="B4617" s="9" t="s">
        <v>17618</v>
      </c>
      <c r="G4617" s="19"/>
      <c r="O4617" s="10">
        <f>IFERROR(__xludf.DUMMYFUNCTION("VALUE(REGEXEXTRACT(A4617, ""\d+""))"),7270.0)</f>
        <v>7270</v>
      </c>
    </row>
    <row r="4618">
      <c r="A4618" s="9" t="s">
        <v>17619</v>
      </c>
      <c r="B4618" s="9" t="s">
        <v>17620</v>
      </c>
      <c r="G4618" s="9" t="s">
        <v>17610</v>
      </c>
      <c r="O4618" s="10">
        <f>IFERROR(__xludf.DUMMYFUNCTION("VALUE(REGEXEXTRACT(A4618, ""\d+""))"),7271.0)</f>
        <v>7271</v>
      </c>
    </row>
    <row r="4619">
      <c r="A4619" s="9" t="s">
        <v>17621</v>
      </c>
      <c r="B4619" s="9" t="s">
        <v>17622</v>
      </c>
      <c r="G4619" s="9" t="s">
        <v>17623</v>
      </c>
      <c r="O4619" s="10">
        <f>IFERROR(__xludf.DUMMYFUNCTION("VALUE(REGEXEXTRACT(A4619, ""\d+""))"),7272.0)</f>
        <v>7272</v>
      </c>
    </row>
    <row r="4620">
      <c r="A4620" s="9" t="s">
        <v>17624</v>
      </c>
      <c r="B4620" s="9" t="s">
        <v>17606</v>
      </c>
      <c r="G4620" s="9" t="s">
        <v>17607</v>
      </c>
      <c r="O4620" s="10">
        <f>IFERROR(__xludf.DUMMYFUNCTION("VALUE(REGEXEXTRACT(A4620, ""\d+""))"),7273.0)</f>
        <v>7273</v>
      </c>
    </row>
    <row r="4621">
      <c r="A4621" s="9" t="s">
        <v>17625</v>
      </c>
      <c r="B4621" s="9" t="s">
        <v>17626</v>
      </c>
      <c r="G4621" s="9" t="s">
        <v>17610</v>
      </c>
      <c r="O4621" s="10">
        <f>IFERROR(__xludf.DUMMYFUNCTION("VALUE(REGEXEXTRACT(A4621, ""\d+""))"),7274.0)</f>
        <v>7274</v>
      </c>
    </row>
    <row r="4622">
      <c r="A4622" s="9" t="s">
        <v>17627</v>
      </c>
      <c r="B4622" s="9" t="s">
        <v>17628</v>
      </c>
      <c r="G4622" s="9" t="s">
        <v>17613</v>
      </c>
      <c r="O4622" s="10">
        <f>IFERROR(__xludf.DUMMYFUNCTION("VALUE(REGEXEXTRACT(A4622, ""\d+""))"),7275.0)</f>
        <v>7275</v>
      </c>
    </row>
    <row r="4623">
      <c r="A4623" s="9" t="s">
        <v>17629</v>
      </c>
      <c r="B4623" s="9" t="s">
        <v>17630</v>
      </c>
      <c r="G4623" s="9" t="s">
        <v>17631</v>
      </c>
      <c r="O4623" s="10">
        <f>IFERROR(__xludf.DUMMYFUNCTION("VALUE(REGEXEXTRACT(A4623, ""\d+""))"),7276.0)</f>
        <v>7276</v>
      </c>
    </row>
    <row r="4624">
      <c r="A4624" s="9" t="s">
        <v>17632</v>
      </c>
      <c r="B4624" s="9" t="s">
        <v>17633</v>
      </c>
      <c r="G4624" s="19"/>
      <c r="O4624" s="10">
        <f>IFERROR(__xludf.DUMMYFUNCTION("VALUE(REGEXEXTRACT(A4624, ""\d+""))"),7277.0)</f>
        <v>7277</v>
      </c>
    </row>
    <row r="4625">
      <c r="A4625" s="9" t="s">
        <v>17634</v>
      </c>
      <c r="B4625" s="9" t="s">
        <v>17620</v>
      </c>
      <c r="G4625" s="9" t="s">
        <v>17610</v>
      </c>
      <c r="O4625" s="10">
        <f>IFERROR(__xludf.DUMMYFUNCTION("VALUE(REGEXEXTRACT(A4625, ""\d+""))"),7278.0)</f>
        <v>7278</v>
      </c>
    </row>
    <row r="4626">
      <c r="A4626" s="9" t="s">
        <v>17635</v>
      </c>
      <c r="B4626" s="9" t="s">
        <v>17636</v>
      </c>
      <c r="G4626" s="9" t="s">
        <v>17637</v>
      </c>
      <c r="O4626" s="10">
        <f>IFERROR(__xludf.DUMMYFUNCTION("VALUE(REGEXEXTRACT(A4626, ""\d+""))"),7279.0)</f>
        <v>7279</v>
      </c>
    </row>
    <row r="4627">
      <c r="A4627" s="9" t="s">
        <v>17638</v>
      </c>
      <c r="B4627" s="9" t="s">
        <v>17606</v>
      </c>
      <c r="G4627" s="9" t="s">
        <v>17607</v>
      </c>
      <c r="O4627" s="10">
        <f>IFERROR(__xludf.DUMMYFUNCTION("VALUE(REGEXEXTRACT(A4627, ""\d+""))"),7280.0)</f>
        <v>7280</v>
      </c>
    </row>
    <row r="4628">
      <c r="A4628" s="9" t="s">
        <v>17639</v>
      </c>
      <c r="B4628" s="9" t="s">
        <v>17609</v>
      </c>
      <c r="G4628" s="9" t="s">
        <v>17610</v>
      </c>
      <c r="O4628" s="10">
        <f>IFERROR(__xludf.DUMMYFUNCTION("VALUE(REGEXEXTRACT(A4628, ""\d+""))"),7281.0)</f>
        <v>7281</v>
      </c>
    </row>
    <row r="4629">
      <c r="A4629" s="9" t="s">
        <v>17640</v>
      </c>
      <c r="B4629" s="9" t="s">
        <v>17641</v>
      </c>
      <c r="G4629" s="9" t="s">
        <v>17613</v>
      </c>
      <c r="O4629" s="10">
        <f>IFERROR(__xludf.DUMMYFUNCTION("VALUE(REGEXEXTRACT(A4629, ""\d+""))"),7282.0)</f>
        <v>7282</v>
      </c>
    </row>
    <row r="4630">
      <c r="A4630" s="9" t="s">
        <v>17642</v>
      </c>
      <c r="B4630" s="9" t="s">
        <v>17643</v>
      </c>
      <c r="G4630" s="9" t="s">
        <v>17644</v>
      </c>
      <c r="O4630" s="10">
        <f>IFERROR(__xludf.DUMMYFUNCTION("VALUE(REGEXEXTRACT(A4630, ""\d+""))"),7283.0)</f>
        <v>7283</v>
      </c>
    </row>
    <row r="4631">
      <c r="A4631" s="9" t="s">
        <v>17645</v>
      </c>
      <c r="B4631" s="9" t="s">
        <v>17646</v>
      </c>
      <c r="G4631" s="19"/>
      <c r="O4631" s="10">
        <f>IFERROR(__xludf.DUMMYFUNCTION("VALUE(REGEXEXTRACT(A4631, ""\d+""))"),7284.0)</f>
        <v>7284</v>
      </c>
    </row>
    <row r="4632">
      <c r="A4632" s="9" t="s">
        <v>17647</v>
      </c>
      <c r="B4632" s="9" t="s">
        <v>17620</v>
      </c>
      <c r="G4632" s="9" t="s">
        <v>17610</v>
      </c>
      <c r="O4632" s="10">
        <f>IFERROR(__xludf.DUMMYFUNCTION("VALUE(REGEXEXTRACT(A4632, ""\d+""))"),7285.0)</f>
        <v>7285</v>
      </c>
    </row>
    <row r="4633">
      <c r="A4633" s="9" t="s">
        <v>17648</v>
      </c>
      <c r="B4633" s="9" t="s">
        <v>17649</v>
      </c>
      <c r="G4633" s="9" t="s">
        <v>17650</v>
      </c>
      <c r="O4633" s="10">
        <f>IFERROR(__xludf.DUMMYFUNCTION("VALUE(REGEXEXTRACT(A4633, ""\d+""))"),7286.0)</f>
        <v>7286</v>
      </c>
    </row>
    <row r="4634">
      <c r="A4634" s="9" t="s">
        <v>17651</v>
      </c>
      <c r="B4634" s="9" t="s">
        <v>17652</v>
      </c>
      <c r="G4634" s="9" t="s">
        <v>17653</v>
      </c>
      <c r="O4634" s="10">
        <f>IFERROR(__xludf.DUMMYFUNCTION("VALUE(REGEXEXTRACT(A4634, ""\d+""))"),7287.0)</f>
        <v>7287</v>
      </c>
    </row>
    <row r="4635">
      <c r="A4635" s="9" t="s">
        <v>17654</v>
      </c>
      <c r="B4635" s="9" t="s">
        <v>17655</v>
      </c>
      <c r="G4635" s="9" t="s">
        <v>17656</v>
      </c>
      <c r="O4635" s="10">
        <f>IFERROR(__xludf.DUMMYFUNCTION("VALUE(REGEXEXTRACT(A4635, ""\d+""))"),7288.0)</f>
        <v>7288</v>
      </c>
    </row>
    <row r="4636">
      <c r="A4636" s="9" t="s">
        <v>17657</v>
      </c>
      <c r="B4636" s="9" t="s">
        <v>17658</v>
      </c>
      <c r="G4636" s="9" t="s">
        <v>17659</v>
      </c>
      <c r="O4636" s="10">
        <f>IFERROR(__xludf.DUMMYFUNCTION("VALUE(REGEXEXTRACT(A4636, ""\d+""))"),7289.0)</f>
        <v>7289</v>
      </c>
    </row>
    <row r="4637">
      <c r="A4637" s="9" t="s">
        <v>17660</v>
      </c>
      <c r="B4637" s="9" t="s">
        <v>17661</v>
      </c>
      <c r="G4637" s="9" t="s">
        <v>17662</v>
      </c>
      <c r="O4637" s="10">
        <f>IFERROR(__xludf.DUMMYFUNCTION("VALUE(REGEXEXTRACT(A4637, ""\d+""))"),7290.0)</f>
        <v>7290</v>
      </c>
    </row>
    <row r="4638">
      <c r="A4638" s="9" t="s">
        <v>17663</v>
      </c>
      <c r="B4638" s="9" t="s">
        <v>17664</v>
      </c>
      <c r="G4638" s="9" t="s">
        <v>17665</v>
      </c>
      <c r="O4638" s="10">
        <f>IFERROR(__xludf.DUMMYFUNCTION("VALUE(REGEXEXTRACT(A4638, ""\d+""))"),7292.0)</f>
        <v>7292</v>
      </c>
    </row>
    <row r="4639">
      <c r="A4639" s="9" t="s">
        <v>17666</v>
      </c>
      <c r="B4639" s="9" t="s">
        <v>17667</v>
      </c>
      <c r="G4639" s="9" t="s">
        <v>17668</v>
      </c>
      <c r="O4639" s="10">
        <f>IFERROR(__xludf.DUMMYFUNCTION("VALUE(REGEXEXTRACT(A4639, ""\d+""))"),7293.0)</f>
        <v>7293</v>
      </c>
    </row>
    <row r="4640">
      <c r="A4640" s="9" t="s">
        <v>17669</v>
      </c>
      <c r="B4640" s="9" t="s">
        <v>17670</v>
      </c>
      <c r="G4640" s="9" t="s">
        <v>17671</v>
      </c>
      <c r="O4640" s="10">
        <f>IFERROR(__xludf.DUMMYFUNCTION("VALUE(REGEXEXTRACT(A4640, ""\d+""))"),7294.0)</f>
        <v>7294</v>
      </c>
    </row>
    <row r="4641">
      <c r="A4641" s="9" t="s">
        <v>17672</v>
      </c>
      <c r="B4641" s="9" t="s">
        <v>17673</v>
      </c>
      <c r="G4641" s="9" t="s">
        <v>17674</v>
      </c>
      <c r="O4641" s="10">
        <f>IFERROR(__xludf.DUMMYFUNCTION("VALUE(REGEXEXTRACT(A4641, ""\d+""))"),7295.0)</f>
        <v>7295</v>
      </c>
    </row>
    <row r="4642">
      <c r="A4642" s="9" t="s">
        <v>17675</v>
      </c>
      <c r="B4642" s="9" t="s">
        <v>17676</v>
      </c>
      <c r="G4642" s="9" t="s">
        <v>17677</v>
      </c>
      <c r="O4642" s="10">
        <f>IFERROR(__xludf.DUMMYFUNCTION("VALUE(REGEXEXTRACT(A4642, ""\d+""))"),7296.0)</f>
        <v>7296</v>
      </c>
    </row>
    <row r="4643">
      <c r="A4643" s="9" t="s">
        <v>17678</v>
      </c>
      <c r="B4643" s="9" t="s">
        <v>17679</v>
      </c>
      <c r="G4643" s="9" t="s">
        <v>17680</v>
      </c>
      <c r="O4643" s="10">
        <f>IFERROR(__xludf.DUMMYFUNCTION("VALUE(REGEXEXTRACT(A4643, ""\d+""))"),7297.0)</f>
        <v>7297</v>
      </c>
    </row>
    <row r="4644">
      <c r="A4644" s="9" t="s">
        <v>17681</v>
      </c>
      <c r="B4644" s="9" t="s">
        <v>17682</v>
      </c>
      <c r="G4644" s="9" t="s">
        <v>17683</v>
      </c>
      <c r="O4644" s="10">
        <f>IFERROR(__xludf.DUMMYFUNCTION("VALUE(REGEXEXTRACT(A4644, ""\d+""))"),7298.0)</f>
        <v>7298</v>
      </c>
    </row>
    <row r="4645">
      <c r="A4645" s="9" t="s">
        <v>17684</v>
      </c>
      <c r="B4645" s="9" t="s">
        <v>17685</v>
      </c>
      <c r="G4645" s="9" t="s">
        <v>17686</v>
      </c>
      <c r="O4645" s="10">
        <f>IFERROR(__xludf.DUMMYFUNCTION("VALUE(REGEXEXTRACT(A4645, ""\d+""))"),7299.0)</f>
        <v>7299</v>
      </c>
    </row>
    <row r="4646">
      <c r="A4646" s="9" t="s">
        <v>17687</v>
      </c>
      <c r="B4646" s="9" t="s">
        <v>17688</v>
      </c>
      <c r="G4646" s="9" t="s">
        <v>17689</v>
      </c>
      <c r="O4646" s="10">
        <f>IFERROR(__xludf.DUMMYFUNCTION("VALUE(REGEXEXTRACT(A4646, ""\d+""))"),7300.0)</f>
        <v>7300</v>
      </c>
    </row>
    <row r="4647">
      <c r="A4647" s="9" t="s">
        <v>17690</v>
      </c>
      <c r="B4647" s="9" t="s">
        <v>17691</v>
      </c>
      <c r="G4647" s="9" t="s">
        <v>17692</v>
      </c>
      <c r="O4647" s="10">
        <f>IFERROR(__xludf.DUMMYFUNCTION("VALUE(REGEXEXTRACT(A4647, ""\d+""))"),7301.0)</f>
        <v>7301</v>
      </c>
    </row>
    <row r="4648">
      <c r="A4648" s="9" t="s">
        <v>17693</v>
      </c>
      <c r="B4648" s="9" t="s">
        <v>17694</v>
      </c>
      <c r="G4648" s="9" t="s">
        <v>17695</v>
      </c>
      <c r="O4648" s="10">
        <f>IFERROR(__xludf.DUMMYFUNCTION("VALUE(REGEXEXTRACT(A4648, ""\d+""))"),7302.0)</f>
        <v>7302</v>
      </c>
    </row>
    <row r="4649">
      <c r="A4649" s="9" t="s">
        <v>17696</v>
      </c>
      <c r="B4649" s="9" t="s">
        <v>17697</v>
      </c>
      <c r="G4649" s="9" t="s">
        <v>17698</v>
      </c>
      <c r="O4649" s="10">
        <f>IFERROR(__xludf.DUMMYFUNCTION("VALUE(REGEXEXTRACT(A4649, ""\d+""))"),7303.0)</f>
        <v>7303</v>
      </c>
    </row>
    <row r="4650">
      <c r="A4650" s="9" t="s">
        <v>17699</v>
      </c>
      <c r="B4650" s="9" t="s">
        <v>17700</v>
      </c>
      <c r="G4650" s="9" t="s">
        <v>17701</v>
      </c>
      <c r="O4650" s="10">
        <f>IFERROR(__xludf.DUMMYFUNCTION("VALUE(REGEXEXTRACT(A4650, ""\d+""))"),7304.0)</f>
        <v>7304</v>
      </c>
    </row>
    <row r="4651">
      <c r="A4651" s="9" t="s">
        <v>17702</v>
      </c>
      <c r="B4651" s="9" t="s">
        <v>17703</v>
      </c>
      <c r="G4651" s="9" t="s">
        <v>17704</v>
      </c>
      <c r="O4651" s="10">
        <f>IFERROR(__xludf.DUMMYFUNCTION("VALUE(REGEXEXTRACT(A4651, ""\d+""))"),7305.0)</f>
        <v>7305</v>
      </c>
    </row>
    <row r="4652">
      <c r="A4652" s="9" t="s">
        <v>17705</v>
      </c>
      <c r="B4652" s="9" t="s">
        <v>17706</v>
      </c>
      <c r="G4652" s="9" t="s">
        <v>17707</v>
      </c>
      <c r="O4652" s="10">
        <f>IFERROR(__xludf.DUMMYFUNCTION("VALUE(REGEXEXTRACT(A4652, ""\d+""))"),7306.0)</f>
        <v>7306</v>
      </c>
    </row>
    <row r="4653">
      <c r="A4653" s="9" t="s">
        <v>17708</v>
      </c>
      <c r="B4653" s="9" t="s">
        <v>17709</v>
      </c>
      <c r="G4653" s="9" t="s">
        <v>17710</v>
      </c>
      <c r="O4653" s="10">
        <f>IFERROR(__xludf.DUMMYFUNCTION("VALUE(REGEXEXTRACT(A4653, ""\d+""))"),7307.0)</f>
        <v>7307</v>
      </c>
    </row>
    <row r="4654">
      <c r="A4654" s="9" t="s">
        <v>17711</v>
      </c>
      <c r="B4654" s="9" t="s">
        <v>17712</v>
      </c>
      <c r="G4654" s="9" t="s">
        <v>17713</v>
      </c>
      <c r="O4654" s="10">
        <f>IFERROR(__xludf.DUMMYFUNCTION("VALUE(REGEXEXTRACT(A4654, ""\d+""))"),7308.0)</f>
        <v>7308</v>
      </c>
    </row>
    <row r="4655">
      <c r="A4655" s="9" t="s">
        <v>17714</v>
      </c>
      <c r="B4655" s="9" t="s">
        <v>17715</v>
      </c>
      <c r="G4655" s="9" t="s">
        <v>17716</v>
      </c>
      <c r="O4655" s="10">
        <f>IFERROR(__xludf.DUMMYFUNCTION("VALUE(REGEXEXTRACT(A4655, ""\d+""))"),7309.0)</f>
        <v>7309</v>
      </c>
    </row>
    <row r="4656">
      <c r="A4656" s="9" t="s">
        <v>17717</v>
      </c>
      <c r="B4656" s="9" t="s">
        <v>17718</v>
      </c>
      <c r="G4656" s="9" t="s">
        <v>17719</v>
      </c>
      <c r="O4656" s="10">
        <f>IFERROR(__xludf.DUMMYFUNCTION("VALUE(REGEXEXTRACT(A4656, ""\d+""))"),7310.0)</f>
        <v>7310</v>
      </c>
    </row>
    <row r="4657">
      <c r="A4657" s="9" t="s">
        <v>17720</v>
      </c>
      <c r="B4657" s="9" t="s">
        <v>17721</v>
      </c>
      <c r="G4657" s="9" t="s">
        <v>17722</v>
      </c>
      <c r="O4657" s="10">
        <f>IFERROR(__xludf.DUMMYFUNCTION("VALUE(REGEXEXTRACT(A4657, ""\d+""))"),7311.0)</f>
        <v>7311</v>
      </c>
    </row>
    <row r="4658">
      <c r="A4658" s="9" t="s">
        <v>17723</v>
      </c>
      <c r="B4658" s="9" t="s">
        <v>14851</v>
      </c>
      <c r="G4658" s="9" t="s">
        <v>14852</v>
      </c>
      <c r="O4658" s="10">
        <f>IFERROR(__xludf.DUMMYFUNCTION("VALUE(REGEXEXTRACT(A4658, ""\d+""))"),7312.0)</f>
        <v>7312</v>
      </c>
    </row>
    <row r="4659">
      <c r="A4659" s="9" t="s">
        <v>17724</v>
      </c>
      <c r="B4659" s="9" t="s">
        <v>17725</v>
      </c>
      <c r="G4659" s="9" t="s">
        <v>17726</v>
      </c>
      <c r="O4659" s="10">
        <f>IFERROR(__xludf.DUMMYFUNCTION("VALUE(REGEXEXTRACT(A4659, ""\d+""))"),7313.0)</f>
        <v>7313</v>
      </c>
    </row>
    <row r="4660">
      <c r="A4660" s="9" t="s">
        <v>17727</v>
      </c>
      <c r="B4660" s="9" t="s">
        <v>17728</v>
      </c>
      <c r="G4660" s="9" t="s">
        <v>17729</v>
      </c>
      <c r="O4660" s="10">
        <f>IFERROR(__xludf.DUMMYFUNCTION("VALUE(REGEXEXTRACT(A4660, ""\d+""))"),7314.0)</f>
        <v>7314</v>
      </c>
    </row>
    <row r="4661">
      <c r="A4661" s="9" t="s">
        <v>17730</v>
      </c>
      <c r="B4661" s="9" t="s">
        <v>17731</v>
      </c>
      <c r="G4661" s="9" t="s">
        <v>17732</v>
      </c>
      <c r="O4661" s="10">
        <f>IFERROR(__xludf.DUMMYFUNCTION("VALUE(REGEXEXTRACT(A4661, ""\d+""))"),7315.0)</f>
        <v>7315</v>
      </c>
    </row>
    <row r="4662">
      <c r="A4662" s="9" t="s">
        <v>17733</v>
      </c>
      <c r="B4662" s="9" t="s">
        <v>17734</v>
      </c>
      <c r="G4662" s="9" t="s">
        <v>17735</v>
      </c>
      <c r="O4662" s="10">
        <f>IFERROR(__xludf.DUMMYFUNCTION("VALUE(REGEXEXTRACT(A4662, ""\d+""))"),7316.0)</f>
        <v>7316</v>
      </c>
    </row>
    <row r="4663">
      <c r="A4663" s="9" t="s">
        <v>17736</v>
      </c>
      <c r="B4663" s="9" t="s">
        <v>17737</v>
      </c>
      <c r="G4663" s="9" t="s">
        <v>17738</v>
      </c>
      <c r="O4663" s="10">
        <f>IFERROR(__xludf.DUMMYFUNCTION("VALUE(REGEXEXTRACT(A4663, ""\d+""))"),7317.0)</f>
        <v>7317</v>
      </c>
    </row>
    <row r="4664">
      <c r="A4664" s="9" t="s">
        <v>17739</v>
      </c>
      <c r="B4664" s="9" t="s">
        <v>17740</v>
      </c>
      <c r="G4664" s="9" t="s">
        <v>17741</v>
      </c>
      <c r="O4664" s="10">
        <f>IFERROR(__xludf.DUMMYFUNCTION("VALUE(REGEXEXTRACT(A4664, ""\d+""))"),7318.0)</f>
        <v>7318</v>
      </c>
    </row>
    <row r="4665">
      <c r="A4665" s="9" t="s">
        <v>17742</v>
      </c>
      <c r="B4665" s="9" t="s">
        <v>17743</v>
      </c>
      <c r="G4665" s="9" t="s">
        <v>17744</v>
      </c>
      <c r="O4665" s="10">
        <f>IFERROR(__xludf.DUMMYFUNCTION("VALUE(REGEXEXTRACT(A4665, ""\d+""))"),7319.0)</f>
        <v>7319</v>
      </c>
    </row>
    <row r="4666">
      <c r="A4666" s="9" t="s">
        <v>17745</v>
      </c>
      <c r="B4666" s="9" t="s">
        <v>17746</v>
      </c>
      <c r="G4666" s="9" t="s">
        <v>17747</v>
      </c>
      <c r="O4666" s="10">
        <f>IFERROR(__xludf.DUMMYFUNCTION("VALUE(REGEXEXTRACT(A4666, ""\d+""))"),7320.0)</f>
        <v>7320</v>
      </c>
    </row>
    <row r="4667">
      <c r="A4667" s="9" t="s">
        <v>17748</v>
      </c>
      <c r="B4667" s="9" t="s">
        <v>17749</v>
      </c>
      <c r="G4667" s="9" t="s">
        <v>17750</v>
      </c>
      <c r="O4667" s="10">
        <f>IFERROR(__xludf.DUMMYFUNCTION("VALUE(REGEXEXTRACT(A4667, ""\d+""))"),7321.0)</f>
        <v>7321</v>
      </c>
    </row>
    <row r="4668">
      <c r="A4668" s="9" t="s">
        <v>17751</v>
      </c>
      <c r="B4668" s="9" t="s">
        <v>17752</v>
      </c>
      <c r="G4668" s="9" t="s">
        <v>17753</v>
      </c>
      <c r="O4668" s="10">
        <f>IFERROR(__xludf.DUMMYFUNCTION("VALUE(REGEXEXTRACT(A4668, ""\d+""))"),7322.0)</f>
        <v>7322</v>
      </c>
    </row>
    <row r="4669">
      <c r="A4669" s="9" t="s">
        <v>17754</v>
      </c>
      <c r="B4669" s="9" t="s">
        <v>17755</v>
      </c>
      <c r="G4669" s="9" t="s">
        <v>17756</v>
      </c>
      <c r="O4669" s="10">
        <f>IFERROR(__xludf.DUMMYFUNCTION("VALUE(REGEXEXTRACT(A4669, ""\d+""))"),7323.0)</f>
        <v>7323</v>
      </c>
    </row>
    <row r="4670">
      <c r="A4670" s="9" t="s">
        <v>17757</v>
      </c>
      <c r="B4670" s="9" t="s">
        <v>17758</v>
      </c>
      <c r="G4670" s="9" t="s">
        <v>17759</v>
      </c>
      <c r="O4670" s="10">
        <f>IFERROR(__xludf.DUMMYFUNCTION("VALUE(REGEXEXTRACT(A4670, ""\d+""))"),7324.0)</f>
        <v>7324</v>
      </c>
    </row>
    <row r="4671">
      <c r="A4671" s="9" t="s">
        <v>17760</v>
      </c>
      <c r="B4671" s="9" t="s">
        <v>17761</v>
      </c>
      <c r="G4671" s="9" t="s">
        <v>17762</v>
      </c>
      <c r="O4671" s="10">
        <f>IFERROR(__xludf.DUMMYFUNCTION("VALUE(REGEXEXTRACT(A4671, ""\d+""))"),7325.0)</f>
        <v>7325</v>
      </c>
    </row>
    <row r="4672">
      <c r="A4672" s="9" t="s">
        <v>17763</v>
      </c>
      <c r="B4672" s="9" t="s">
        <v>17764</v>
      </c>
      <c r="G4672" s="9" t="s">
        <v>17765</v>
      </c>
      <c r="O4672" s="10">
        <f>IFERROR(__xludf.DUMMYFUNCTION("VALUE(REGEXEXTRACT(A4672, ""\d+""))"),7326.0)</f>
        <v>7326</v>
      </c>
    </row>
    <row r="4673">
      <c r="A4673" s="9" t="s">
        <v>17766</v>
      </c>
      <c r="B4673" s="9" t="s">
        <v>17767</v>
      </c>
      <c r="G4673" s="9" t="s">
        <v>17768</v>
      </c>
      <c r="O4673" s="10">
        <f>IFERROR(__xludf.DUMMYFUNCTION("VALUE(REGEXEXTRACT(A4673, ""\d+""))"),7327.0)</f>
        <v>7327</v>
      </c>
    </row>
    <row r="4674">
      <c r="A4674" s="9" t="s">
        <v>17769</v>
      </c>
      <c r="B4674" s="9" t="s">
        <v>17770</v>
      </c>
      <c r="G4674" s="9" t="s">
        <v>17771</v>
      </c>
      <c r="O4674" s="10">
        <f>IFERROR(__xludf.DUMMYFUNCTION("VALUE(REGEXEXTRACT(A4674, ""\d+""))"),7328.0)</f>
        <v>7328</v>
      </c>
    </row>
    <row r="4675">
      <c r="A4675" s="9" t="s">
        <v>17772</v>
      </c>
      <c r="B4675" s="9" t="s">
        <v>17773</v>
      </c>
      <c r="G4675" s="9" t="s">
        <v>17774</v>
      </c>
      <c r="O4675" s="10">
        <f>IFERROR(__xludf.DUMMYFUNCTION("VALUE(REGEXEXTRACT(A4675, ""\d+""))"),7329.0)</f>
        <v>7329</v>
      </c>
    </row>
    <row r="4676">
      <c r="A4676" s="9" t="s">
        <v>17775</v>
      </c>
      <c r="B4676" s="9" t="s">
        <v>17776</v>
      </c>
      <c r="G4676" s="9" t="s">
        <v>17777</v>
      </c>
      <c r="O4676" s="10">
        <f>IFERROR(__xludf.DUMMYFUNCTION("VALUE(REGEXEXTRACT(A4676, ""\d+""))"),7330.0)</f>
        <v>7330</v>
      </c>
    </row>
    <row r="4677">
      <c r="A4677" s="9" t="s">
        <v>17778</v>
      </c>
      <c r="B4677" s="9" t="s">
        <v>17779</v>
      </c>
      <c r="G4677" s="9" t="s">
        <v>17780</v>
      </c>
      <c r="O4677" s="10">
        <f>IFERROR(__xludf.DUMMYFUNCTION("VALUE(REGEXEXTRACT(A4677, ""\d+""))"),7331.0)</f>
        <v>7331</v>
      </c>
    </row>
    <row r="4678">
      <c r="A4678" s="9" t="s">
        <v>17781</v>
      </c>
      <c r="B4678" s="9" t="s">
        <v>17782</v>
      </c>
      <c r="G4678" s="9" t="s">
        <v>17783</v>
      </c>
      <c r="O4678" s="10">
        <f>IFERROR(__xludf.DUMMYFUNCTION("VALUE(REGEXEXTRACT(A4678, ""\d+""))"),7332.0)</f>
        <v>7332</v>
      </c>
    </row>
    <row r="4679">
      <c r="A4679" s="9" t="s">
        <v>17784</v>
      </c>
      <c r="B4679" s="9" t="s">
        <v>17785</v>
      </c>
      <c r="G4679" s="9" t="s">
        <v>17786</v>
      </c>
      <c r="O4679" s="10">
        <f>IFERROR(__xludf.DUMMYFUNCTION("VALUE(REGEXEXTRACT(A4679, ""\d+""))"),7333.0)</f>
        <v>7333</v>
      </c>
    </row>
    <row r="4680">
      <c r="A4680" s="9" t="s">
        <v>17787</v>
      </c>
      <c r="B4680" s="9" t="s">
        <v>17788</v>
      </c>
      <c r="G4680" s="9" t="s">
        <v>17789</v>
      </c>
      <c r="O4680" s="10">
        <f>IFERROR(__xludf.DUMMYFUNCTION("VALUE(REGEXEXTRACT(A4680, ""\d+""))"),7334.0)</f>
        <v>7334</v>
      </c>
    </row>
    <row r="4681">
      <c r="A4681" s="9" t="s">
        <v>17790</v>
      </c>
      <c r="B4681" s="9" t="s">
        <v>17791</v>
      </c>
      <c r="G4681" s="9" t="s">
        <v>17792</v>
      </c>
      <c r="O4681" s="10">
        <f>IFERROR(__xludf.DUMMYFUNCTION("VALUE(REGEXEXTRACT(A4681, ""\d+""))"),7335.0)</f>
        <v>7335</v>
      </c>
    </row>
    <row r="4682">
      <c r="A4682" s="9" t="s">
        <v>17793</v>
      </c>
      <c r="B4682" s="9" t="s">
        <v>14854</v>
      </c>
      <c r="G4682" s="9" t="s">
        <v>14855</v>
      </c>
      <c r="O4682" s="10">
        <f>IFERROR(__xludf.DUMMYFUNCTION("VALUE(REGEXEXTRACT(A4682, ""\d+""))"),7336.0)</f>
        <v>7336</v>
      </c>
    </row>
    <row r="4683">
      <c r="A4683" s="9" t="s">
        <v>17794</v>
      </c>
      <c r="B4683" s="9" t="s">
        <v>17795</v>
      </c>
      <c r="G4683" s="9" t="s">
        <v>17796</v>
      </c>
      <c r="O4683" s="10">
        <f>IFERROR(__xludf.DUMMYFUNCTION("VALUE(REGEXEXTRACT(A4683, ""\d+""))"),7339.0)</f>
        <v>7339</v>
      </c>
    </row>
    <row r="4684">
      <c r="A4684" s="9" t="s">
        <v>17797</v>
      </c>
      <c r="B4684" s="9" t="s">
        <v>15385</v>
      </c>
      <c r="G4684" s="9" t="s">
        <v>15386</v>
      </c>
      <c r="O4684" s="10">
        <f>IFERROR(__xludf.DUMMYFUNCTION("VALUE(REGEXEXTRACT(A4684, ""\d+""))"),7340.0)</f>
        <v>7340</v>
      </c>
    </row>
    <row r="4685">
      <c r="A4685" s="9" t="s">
        <v>17798</v>
      </c>
      <c r="B4685" s="9" t="s">
        <v>15394</v>
      </c>
      <c r="G4685" s="9" t="s">
        <v>15395</v>
      </c>
      <c r="O4685" s="10">
        <f>IFERROR(__xludf.DUMMYFUNCTION("VALUE(REGEXEXTRACT(A4685, ""\d+""))"),7341.0)</f>
        <v>7341</v>
      </c>
    </row>
    <row r="4686">
      <c r="A4686" s="9" t="s">
        <v>17799</v>
      </c>
      <c r="B4686" s="9" t="s">
        <v>17800</v>
      </c>
      <c r="G4686" s="9" t="s">
        <v>17801</v>
      </c>
      <c r="O4686" s="10">
        <f>IFERROR(__xludf.DUMMYFUNCTION("VALUE(REGEXEXTRACT(A4686, ""\d+""))"),7342.0)</f>
        <v>7342</v>
      </c>
    </row>
    <row r="4687">
      <c r="A4687" s="9" t="s">
        <v>17802</v>
      </c>
      <c r="B4687" s="9" t="s">
        <v>17803</v>
      </c>
      <c r="G4687" s="9" t="s">
        <v>17804</v>
      </c>
      <c r="O4687" s="10">
        <f>IFERROR(__xludf.DUMMYFUNCTION("VALUE(REGEXEXTRACT(A4687, ""\d+""))"),7343.0)</f>
        <v>7343</v>
      </c>
    </row>
    <row r="4688">
      <c r="A4688" s="9" t="s">
        <v>17805</v>
      </c>
      <c r="B4688" s="9" t="s">
        <v>17806</v>
      </c>
      <c r="G4688" s="9" t="s">
        <v>17807</v>
      </c>
      <c r="O4688" s="10">
        <f>IFERROR(__xludf.DUMMYFUNCTION("VALUE(REGEXEXTRACT(A4688, ""\d+""))"),7344.0)</f>
        <v>7344</v>
      </c>
    </row>
    <row r="4689">
      <c r="A4689" s="9" t="s">
        <v>17808</v>
      </c>
      <c r="B4689" s="9" t="s">
        <v>17809</v>
      </c>
      <c r="G4689" s="9" t="s">
        <v>17810</v>
      </c>
      <c r="O4689" s="10">
        <f>IFERROR(__xludf.DUMMYFUNCTION("VALUE(REGEXEXTRACT(A4689, ""\d+""))"),7345.0)</f>
        <v>7345</v>
      </c>
    </row>
    <row r="4690">
      <c r="A4690" s="9" t="s">
        <v>17811</v>
      </c>
      <c r="B4690" s="9" t="s">
        <v>17812</v>
      </c>
      <c r="G4690" s="9" t="s">
        <v>17813</v>
      </c>
      <c r="O4690" s="10">
        <f>IFERROR(__xludf.DUMMYFUNCTION("VALUE(REGEXEXTRACT(A4690, ""\d+""))"),7346.0)</f>
        <v>7346</v>
      </c>
    </row>
    <row r="4691">
      <c r="A4691" s="9" t="s">
        <v>17814</v>
      </c>
      <c r="B4691" s="9" t="s">
        <v>17815</v>
      </c>
      <c r="G4691" s="9" t="s">
        <v>17816</v>
      </c>
      <c r="O4691" s="10">
        <f>IFERROR(__xludf.DUMMYFUNCTION("VALUE(REGEXEXTRACT(A4691, ""\d+""))"),7347.0)</f>
        <v>7347</v>
      </c>
    </row>
    <row r="4692">
      <c r="A4692" s="9" t="s">
        <v>17817</v>
      </c>
      <c r="B4692" s="9" t="s">
        <v>17818</v>
      </c>
      <c r="G4692" s="9" t="s">
        <v>17819</v>
      </c>
      <c r="O4692" s="10">
        <f>IFERROR(__xludf.DUMMYFUNCTION("VALUE(REGEXEXTRACT(A4692, ""\d+""))"),7348.0)</f>
        <v>7348</v>
      </c>
    </row>
    <row r="4693">
      <c r="A4693" s="9" t="s">
        <v>17820</v>
      </c>
      <c r="B4693" s="9" t="s">
        <v>17821</v>
      </c>
      <c r="G4693" s="9" t="s">
        <v>17822</v>
      </c>
      <c r="O4693" s="10">
        <f>IFERROR(__xludf.DUMMYFUNCTION("VALUE(REGEXEXTRACT(A4693, ""\d+""))"),7349.0)</f>
        <v>7349</v>
      </c>
    </row>
    <row r="4694">
      <c r="A4694" s="9" t="s">
        <v>17823</v>
      </c>
      <c r="B4694" s="9" t="s">
        <v>17824</v>
      </c>
      <c r="G4694" s="9" t="s">
        <v>17825</v>
      </c>
      <c r="O4694" s="10">
        <f>IFERROR(__xludf.DUMMYFUNCTION("VALUE(REGEXEXTRACT(A4694, ""\d+""))"),7350.0)</f>
        <v>7350</v>
      </c>
    </row>
    <row r="4695">
      <c r="A4695" s="9" t="s">
        <v>17826</v>
      </c>
      <c r="B4695" s="9" t="s">
        <v>17827</v>
      </c>
      <c r="G4695" s="9" t="s">
        <v>17828</v>
      </c>
      <c r="O4695" s="10">
        <f>IFERROR(__xludf.DUMMYFUNCTION("VALUE(REGEXEXTRACT(A4695, ""\d+""))"),7351.0)</f>
        <v>7351</v>
      </c>
    </row>
    <row r="4696">
      <c r="A4696" s="9" t="s">
        <v>17829</v>
      </c>
      <c r="B4696" s="9" t="s">
        <v>17830</v>
      </c>
      <c r="G4696" s="9" t="s">
        <v>17831</v>
      </c>
      <c r="O4696" s="10">
        <f>IFERROR(__xludf.DUMMYFUNCTION("VALUE(REGEXEXTRACT(A4696, ""\d+""))"),7352.0)</f>
        <v>7352</v>
      </c>
    </row>
    <row r="4697">
      <c r="A4697" s="9" t="s">
        <v>17832</v>
      </c>
      <c r="B4697" s="9" t="s">
        <v>17833</v>
      </c>
      <c r="G4697" s="9" t="s">
        <v>17834</v>
      </c>
      <c r="O4697" s="10">
        <f>IFERROR(__xludf.DUMMYFUNCTION("VALUE(REGEXEXTRACT(A4697, ""\d+""))"),7353.0)</f>
        <v>7353</v>
      </c>
    </row>
    <row r="4698">
      <c r="A4698" s="9" t="s">
        <v>17835</v>
      </c>
      <c r="B4698" s="9" t="s">
        <v>17836</v>
      </c>
      <c r="G4698" s="9" t="s">
        <v>17837</v>
      </c>
      <c r="O4698" s="10">
        <f>IFERROR(__xludf.DUMMYFUNCTION("VALUE(REGEXEXTRACT(A4698, ""\d+""))"),7354.0)</f>
        <v>7354</v>
      </c>
    </row>
    <row r="4699">
      <c r="A4699" s="9" t="s">
        <v>17838</v>
      </c>
      <c r="B4699" s="9" t="s">
        <v>17839</v>
      </c>
      <c r="G4699" s="9" t="s">
        <v>17840</v>
      </c>
      <c r="O4699" s="10">
        <f>IFERROR(__xludf.DUMMYFUNCTION("VALUE(REGEXEXTRACT(A4699, ""\d+""))"),7355.0)</f>
        <v>7355</v>
      </c>
    </row>
    <row r="4700">
      <c r="A4700" s="9" t="s">
        <v>17841</v>
      </c>
      <c r="B4700" s="9" t="s">
        <v>17842</v>
      </c>
      <c r="G4700" s="9" t="s">
        <v>17843</v>
      </c>
      <c r="O4700" s="10">
        <f>IFERROR(__xludf.DUMMYFUNCTION("VALUE(REGEXEXTRACT(A4700, ""\d+""))"),7356.0)</f>
        <v>7356</v>
      </c>
    </row>
    <row r="4701">
      <c r="A4701" s="9" t="s">
        <v>17844</v>
      </c>
      <c r="B4701" s="9" t="s">
        <v>17845</v>
      </c>
      <c r="G4701" s="9" t="s">
        <v>17846</v>
      </c>
      <c r="O4701" s="10">
        <f>IFERROR(__xludf.DUMMYFUNCTION("VALUE(REGEXEXTRACT(A4701, ""\d+""))"),7357.0)</f>
        <v>7357</v>
      </c>
    </row>
    <row r="4702">
      <c r="A4702" s="9" t="s">
        <v>17847</v>
      </c>
      <c r="B4702" s="9" t="s">
        <v>17848</v>
      </c>
      <c r="G4702" s="9" t="s">
        <v>17849</v>
      </c>
      <c r="O4702" s="10">
        <f>IFERROR(__xludf.DUMMYFUNCTION("VALUE(REGEXEXTRACT(A4702, ""\d+""))"),7358.0)</f>
        <v>7358</v>
      </c>
    </row>
    <row r="4703">
      <c r="A4703" s="9" t="s">
        <v>17850</v>
      </c>
      <c r="B4703" s="9" t="s">
        <v>17851</v>
      </c>
      <c r="G4703" s="9" t="s">
        <v>17852</v>
      </c>
      <c r="O4703" s="10">
        <f>IFERROR(__xludf.DUMMYFUNCTION("VALUE(REGEXEXTRACT(A4703, ""\d+""))"),7359.0)</f>
        <v>7359</v>
      </c>
    </row>
    <row r="4704">
      <c r="A4704" s="9" t="s">
        <v>17853</v>
      </c>
      <c r="B4704" s="9" t="s">
        <v>17854</v>
      </c>
      <c r="G4704" s="9" t="s">
        <v>17855</v>
      </c>
      <c r="O4704" s="10">
        <f>IFERROR(__xludf.DUMMYFUNCTION("VALUE(REGEXEXTRACT(A4704, ""\d+""))"),7360.0)</f>
        <v>7360</v>
      </c>
    </row>
    <row r="4705">
      <c r="A4705" s="9" t="s">
        <v>17856</v>
      </c>
      <c r="B4705" s="9" t="s">
        <v>17857</v>
      </c>
      <c r="G4705" s="9" t="s">
        <v>17858</v>
      </c>
      <c r="O4705" s="10">
        <f>IFERROR(__xludf.DUMMYFUNCTION("VALUE(REGEXEXTRACT(A4705, ""\d+""))"),7361.0)</f>
        <v>7361</v>
      </c>
    </row>
    <row r="4706">
      <c r="A4706" s="9" t="s">
        <v>17859</v>
      </c>
      <c r="B4706" s="9" t="s">
        <v>17860</v>
      </c>
      <c r="G4706" s="9" t="s">
        <v>17861</v>
      </c>
      <c r="O4706" s="10">
        <f>IFERROR(__xludf.DUMMYFUNCTION("VALUE(REGEXEXTRACT(A4706, ""\d+""))"),7362.0)</f>
        <v>7362</v>
      </c>
    </row>
    <row r="4707">
      <c r="A4707" s="9" t="s">
        <v>17862</v>
      </c>
      <c r="B4707" s="9" t="s">
        <v>17863</v>
      </c>
      <c r="G4707" s="9" t="s">
        <v>17864</v>
      </c>
      <c r="O4707" s="10">
        <f>IFERROR(__xludf.DUMMYFUNCTION("VALUE(REGEXEXTRACT(A4707, ""\d+""))"),7363.0)</f>
        <v>7363</v>
      </c>
    </row>
    <row r="4708">
      <c r="A4708" s="9" t="s">
        <v>17865</v>
      </c>
      <c r="B4708" s="9" t="s">
        <v>17866</v>
      </c>
      <c r="G4708" s="9" t="s">
        <v>17867</v>
      </c>
      <c r="O4708" s="10">
        <f>IFERROR(__xludf.DUMMYFUNCTION("VALUE(REGEXEXTRACT(A4708, ""\d+""))"),7364.0)</f>
        <v>7364</v>
      </c>
    </row>
    <row r="4709">
      <c r="A4709" s="9" t="s">
        <v>17868</v>
      </c>
      <c r="B4709" s="9" t="s">
        <v>17869</v>
      </c>
      <c r="G4709" s="9" t="s">
        <v>17870</v>
      </c>
      <c r="O4709" s="10">
        <f>IFERROR(__xludf.DUMMYFUNCTION("VALUE(REGEXEXTRACT(A4709, ""\d+""))"),7365.0)</f>
        <v>7365</v>
      </c>
    </row>
    <row r="4710">
      <c r="A4710" s="9" t="s">
        <v>17871</v>
      </c>
      <c r="B4710" s="9" t="s">
        <v>17872</v>
      </c>
      <c r="G4710" s="9" t="s">
        <v>17873</v>
      </c>
      <c r="O4710" s="10">
        <f>IFERROR(__xludf.DUMMYFUNCTION("VALUE(REGEXEXTRACT(A4710, ""\d+""))"),7366.0)</f>
        <v>7366</v>
      </c>
    </row>
    <row r="4711">
      <c r="A4711" s="9" t="s">
        <v>17874</v>
      </c>
      <c r="B4711" s="9" t="s">
        <v>17875</v>
      </c>
      <c r="G4711" s="9" t="s">
        <v>17876</v>
      </c>
      <c r="O4711" s="10">
        <f>IFERROR(__xludf.DUMMYFUNCTION("VALUE(REGEXEXTRACT(A4711, ""\d+""))"),7367.0)</f>
        <v>7367</v>
      </c>
    </row>
    <row r="4712">
      <c r="A4712" s="9" t="s">
        <v>17877</v>
      </c>
      <c r="B4712" s="9" t="s">
        <v>17878</v>
      </c>
      <c r="G4712" s="9" t="s">
        <v>17879</v>
      </c>
      <c r="O4712" s="10">
        <f>IFERROR(__xludf.DUMMYFUNCTION("VALUE(REGEXEXTRACT(A4712, ""\d+""))"),7368.0)</f>
        <v>7368</v>
      </c>
    </row>
    <row r="4713">
      <c r="A4713" s="9" t="s">
        <v>17880</v>
      </c>
      <c r="B4713" s="9" t="s">
        <v>17881</v>
      </c>
      <c r="G4713" s="9" t="s">
        <v>17882</v>
      </c>
      <c r="O4713" s="10">
        <f>IFERROR(__xludf.DUMMYFUNCTION("VALUE(REGEXEXTRACT(A4713, ""\d+""))"),7369.0)</f>
        <v>7369</v>
      </c>
    </row>
    <row r="4714">
      <c r="A4714" s="9" t="s">
        <v>17883</v>
      </c>
      <c r="B4714" s="9" t="s">
        <v>17884</v>
      </c>
      <c r="G4714" s="9" t="s">
        <v>17885</v>
      </c>
      <c r="O4714" s="10">
        <f>IFERROR(__xludf.DUMMYFUNCTION("VALUE(REGEXEXTRACT(A4714, ""\d+""))"),7370.0)</f>
        <v>7370</v>
      </c>
    </row>
    <row r="4715">
      <c r="A4715" s="9" t="s">
        <v>17886</v>
      </c>
      <c r="B4715" s="9" t="s">
        <v>17887</v>
      </c>
      <c r="G4715" s="9" t="s">
        <v>17888</v>
      </c>
      <c r="O4715" s="10">
        <f>IFERROR(__xludf.DUMMYFUNCTION("VALUE(REGEXEXTRACT(A4715, ""\d+""))"),7371.0)</f>
        <v>7371</v>
      </c>
    </row>
    <row r="4716">
      <c r="A4716" s="9" t="s">
        <v>17889</v>
      </c>
      <c r="B4716" s="9" t="s">
        <v>17890</v>
      </c>
      <c r="G4716" s="9" t="s">
        <v>17891</v>
      </c>
      <c r="O4716" s="10">
        <f>IFERROR(__xludf.DUMMYFUNCTION("VALUE(REGEXEXTRACT(A4716, ""\d+""))"),7372.0)</f>
        <v>7372</v>
      </c>
    </row>
    <row r="4717">
      <c r="A4717" s="9" t="s">
        <v>17892</v>
      </c>
      <c r="B4717" s="9" t="s">
        <v>17893</v>
      </c>
      <c r="G4717" s="9" t="s">
        <v>17894</v>
      </c>
      <c r="O4717" s="10">
        <f>IFERROR(__xludf.DUMMYFUNCTION("VALUE(REGEXEXTRACT(A4717, ""\d+""))"),7373.0)</f>
        <v>7373</v>
      </c>
    </row>
    <row r="4718">
      <c r="A4718" s="9" t="s">
        <v>17895</v>
      </c>
      <c r="B4718" s="9" t="s">
        <v>17896</v>
      </c>
      <c r="G4718" s="9" t="s">
        <v>17897</v>
      </c>
      <c r="O4718" s="10">
        <f>IFERROR(__xludf.DUMMYFUNCTION("VALUE(REGEXEXTRACT(A4718, ""\d+""))"),7374.0)</f>
        <v>7374</v>
      </c>
    </row>
    <row r="4719">
      <c r="A4719" s="9" t="s">
        <v>17898</v>
      </c>
      <c r="B4719" s="9" t="s">
        <v>17899</v>
      </c>
      <c r="G4719" s="9" t="s">
        <v>17900</v>
      </c>
      <c r="O4719" s="10">
        <f>IFERROR(__xludf.DUMMYFUNCTION("VALUE(REGEXEXTRACT(A4719, ""\d+""))"),7375.0)</f>
        <v>7375</v>
      </c>
    </row>
    <row r="4720">
      <c r="A4720" s="9" t="s">
        <v>17901</v>
      </c>
      <c r="B4720" s="9" t="s">
        <v>17902</v>
      </c>
      <c r="G4720" s="9" t="s">
        <v>17903</v>
      </c>
      <c r="O4720" s="10">
        <f>IFERROR(__xludf.DUMMYFUNCTION("VALUE(REGEXEXTRACT(A4720, ""\d+""))"),7376.0)</f>
        <v>7376</v>
      </c>
    </row>
    <row r="4721">
      <c r="A4721" s="9" t="s">
        <v>17904</v>
      </c>
      <c r="B4721" s="9" t="s">
        <v>17905</v>
      </c>
      <c r="G4721" s="9" t="s">
        <v>17906</v>
      </c>
      <c r="O4721" s="10">
        <f>IFERROR(__xludf.DUMMYFUNCTION("VALUE(REGEXEXTRACT(A4721, ""\d+""))"),7377.0)</f>
        <v>7377</v>
      </c>
    </row>
    <row r="4722">
      <c r="A4722" s="9" t="s">
        <v>17907</v>
      </c>
      <c r="B4722" s="9" t="s">
        <v>17908</v>
      </c>
      <c r="G4722" s="9" t="s">
        <v>17909</v>
      </c>
      <c r="O4722" s="10">
        <f>IFERROR(__xludf.DUMMYFUNCTION("VALUE(REGEXEXTRACT(A4722, ""\d+""))"),7378.0)</f>
        <v>7378</v>
      </c>
    </row>
    <row r="4723">
      <c r="A4723" s="9" t="s">
        <v>17910</v>
      </c>
      <c r="B4723" s="9" t="s">
        <v>17911</v>
      </c>
      <c r="G4723" s="9" t="s">
        <v>17912</v>
      </c>
      <c r="O4723" s="10">
        <f>IFERROR(__xludf.DUMMYFUNCTION("VALUE(REGEXEXTRACT(A4723, ""\d+""))"),7379.0)</f>
        <v>7379</v>
      </c>
    </row>
    <row r="4724">
      <c r="A4724" s="9" t="s">
        <v>17913</v>
      </c>
      <c r="B4724" s="9" t="s">
        <v>17914</v>
      </c>
      <c r="G4724" s="9" t="s">
        <v>17915</v>
      </c>
      <c r="O4724" s="10">
        <f>IFERROR(__xludf.DUMMYFUNCTION("VALUE(REGEXEXTRACT(A4724, ""\d+""))"),7380.0)</f>
        <v>7380</v>
      </c>
    </row>
    <row r="4725">
      <c r="A4725" s="9" t="s">
        <v>17916</v>
      </c>
      <c r="B4725" s="9" t="s">
        <v>17917</v>
      </c>
      <c r="G4725" s="9" t="s">
        <v>17918</v>
      </c>
      <c r="O4725" s="10">
        <f>IFERROR(__xludf.DUMMYFUNCTION("VALUE(REGEXEXTRACT(A4725, ""\d+""))"),7381.0)</f>
        <v>7381</v>
      </c>
    </row>
    <row r="4726">
      <c r="A4726" s="9" t="s">
        <v>17919</v>
      </c>
      <c r="B4726" s="9" t="s">
        <v>17920</v>
      </c>
      <c r="G4726" s="9" t="s">
        <v>17921</v>
      </c>
      <c r="O4726" s="10">
        <f>IFERROR(__xludf.DUMMYFUNCTION("VALUE(REGEXEXTRACT(A4726, ""\d+""))"),7382.0)</f>
        <v>7382</v>
      </c>
    </row>
    <row r="4727">
      <c r="A4727" s="9" t="s">
        <v>17922</v>
      </c>
      <c r="B4727" s="9" t="s">
        <v>17923</v>
      </c>
      <c r="G4727" s="9" t="s">
        <v>17924</v>
      </c>
      <c r="O4727" s="10">
        <f>IFERROR(__xludf.DUMMYFUNCTION("VALUE(REGEXEXTRACT(A4727, ""\d+""))"),7383.0)</f>
        <v>7383</v>
      </c>
    </row>
    <row r="4728">
      <c r="A4728" s="9" t="s">
        <v>17925</v>
      </c>
      <c r="B4728" s="9" t="s">
        <v>17926</v>
      </c>
      <c r="G4728" s="9" t="s">
        <v>17927</v>
      </c>
      <c r="O4728" s="10">
        <f>IFERROR(__xludf.DUMMYFUNCTION("VALUE(REGEXEXTRACT(A4728, ""\d+""))"),7388.0)</f>
        <v>7388</v>
      </c>
    </row>
    <row r="4729">
      <c r="A4729" s="9" t="s">
        <v>17928</v>
      </c>
      <c r="B4729" s="9" t="s">
        <v>17929</v>
      </c>
      <c r="G4729" s="9" t="s">
        <v>17930</v>
      </c>
      <c r="O4729" s="10">
        <f>IFERROR(__xludf.DUMMYFUNCTION("VALUE(REGEXEXTRACT(A4729, ""\d+""))"),7389.0)</f>
        <v>7389</v>
      </c>
    </row>
    <row r="4730">
      <c r="A4730" s="9" t="s">
        <v>17931</v>
      </c>
      <c r="B4730" s="9" t="s">
        <v>17932</v>
      </c>
      <c r="G4730" s="9" t="s">
        <v>17933</v>
      </c>
      <c r="O4730" s="10">
        <f>IFERROR(__xludf.DUMMYFUNCTION("VALUE(REGEXEXTRACT(A4730, ""\d+""))"),7390.0)</f>
        <v>7390</v>
      </c>
    </row>
    <row r="4731">
      <c r="A4731" s="9" t="s">
        <v>17934</v>
      </c>
      <c r="B4731" s="9" t="s">
        <v>17935</v>
      </c>
      <c r="G4731" s="9" t="s">
        <v>17936</v>
      </c>
      <c r="O4731" s="10">
        <f>IFERROR(__xludf.DUMMYFUNCTION("VALUE(REGEXEXTRACT(A4731, ""\d+""))"),7391.0)</f>
        <v>7391</v>
      </c>
    </row>
    <row r="4732">
      <c r="A4732" s="9" t="s">
        <v>17937</v>
      </c>
      <c r="B4732" s="9" t="s">
        <v>17938</v>
      </c>
      <c r="G4732" s="9" t="s">
        <v>17939</v>
      </c>
      <c r="O4732" s="10">
        <f>IFERROR(__xludf.DUMMYFUNCTION("VALUE(REGEXEXTRACT(A4732, ""\d+""))"),7392.0)</f>
        <v>7392</v>
      </c>
    </row>
    <row r="4733">
      <c r="A4733" s="9" t="s">
        <v>17940</v>
      </c>
      <c r="B4733" s="9" t="s">
        <v>17941</v>
      </c>
      <c r="G4733" s="9" t="s">
        <v>17942</v>
      </c>
      <c r="O4733" s="10">
        <f>IFERROR(__xludf.DUMMYFUNCTION("VALUE(REGEXEXTRACT(A4733, ""\d+""))"),7393.0)</f>
        <v>7393</v>
      </c>
    </row>
    <row r="4734">
      <c r="A4734" s="9" t="s">
        <v>17943</v>
      </c>
      <c r="B4734" s="9" t="s">
        <v>17944</v>
      </c>
      <c r="G4734" s="9" t="s">
        <v>17945</v>
      </c>
      <c r="O4734" s="10">
        <f>IFERROR(__xludf.DUMMYFUNCTION("VALUE(REGEXEXTRACT(A4734, ""\d+""))"),7394.0)</f>
        <v>7394</v>
      </c>
    </row>
    <row r="4735">
      <c r="A4735" s="9" t="s">
        <v>17946</v>
      </c>
      <c r="B4735" s="9" t="s">
        <v>17947</v>
      </c>
      <c r="G4735" s="9" t="s">
        <v>17948</v>
      </c>
      <c r="O4735" s="10">
        <f>IFERROR(__xludf.DUMMYFUNCTION("VALUE(REGEXEXTRACT(A4735, ""\d+""))"),7395.0)</f>
        <v>7395</v>
      </c>
    </row>
    <row r="4736">
      <c r="A4736" s="9" t="s">
        <v>17949</v>
      </c>
      <c r="B4736" s="9" t="s">
        <v>17950</v>
      </c>
      <c r="G4736" s="9" t="s">
        <v>17951</v>
      </c>
      <c r="O4736" s="10">
        <f>IFERROR(__xludf.DUMMYFUNCTION("VALUE(REGEXEXTRACT(A4736, ""\d+""))"),7396.0)</f>
        <v>7396</v>
      </c>
    </row>
    <row r="4737">
      <c r="A4737" s="9" t="s">
        <v>17952</v>
      </c>
      <c r="B4737" s="9" t="s">
        <v>17953</v>
      </c>
      <c r="G4737" s="9" t="s">
        <v>17954</v>
      </c>
      <c r="O4737" s="10">
        <f>IFERROR(__xludf.DUMMYFUNCTION("VALUE(REGEXEXTRACT(A4737, ""\d+""))"),7397.0)</f>
        <v>7397</v>
      </c>
    </row>
    <row r="4738">
      <c r="A4738" s="9" t="s">
        <v>17955</v>
      </c>
      <c r="B4738" s="9" t="s">
        <v>17956</v>
      </c>
      <c r="G4738" s="9" t="s">
        <v>17957</v>
      </c>
      <c r="O4738" s="10">
        <f>IFERROR(__xludf.DUMMYFUNCTION("VALUE(REGEXEXTRACT(A4738, ""\d+""))"),7398.0)</f>
        <v>7398</v>
      </c>
    </row>
    <row r="4739">
      <c r="A4739" s="9" t="s">
        <v>17958</v>
      </c>
      <c r="B4739" s="9" t="s">
        <v>17959</v>
      </c>
      <c r="G4739" s="9" t="s">
        <v>17960</v>
      </c>
      <c r="O4739" s="10">
        <f>IFERROR(__xludf.DUMMYFUNCTION("VALUE(REGEXEXTRACT(A4739, ""\d+""))"),7399.0)</f>
        <v>7399</v>
      </c>
    </row>
    <row r="4740">
      <c r="A4740" s="9" t="s">
        <v>17961</v>
      </c>
      <c r="B4740" s="9" t="s">
        <v>17962</v>
      </c>
      <c r="G4740" s="9" t="s">
        <v>17963</v>
      </c>
      <c r="O4740" s="10">
        <f>IFERROR(__xludf.DUMMYFUNCTION("VALUE(REGEXEXTRACT(A4740, ""\d+""))"),7400.0)</f>
        <v>7400</v>
      </c>
    </row>
    <row r="4741">
      <c r="A4741" s="9" t="s">
        <v>17964</v>
      </c>
      <c r="B4741" s="9" t="s">
        <v>17965</v>
      </c>
      <c r="G4741" s="9" t="s">
        <v>17966</v>
      </c>
      <c r="O4741" s="10">
        <f>IFERROR(__xludf.DUMMYFUNCTION("VALUE(REGEXEXTRACT(A4741, ""\d+""))"),7401.0)</f>
        <v>7401</v>
      </c>
    </row>
    <row r="4742">
      <c r="A4742" s="9" t="s">
        <v>17967</v>
      </c>
      <c r="B4742" s="9" t="s">
        <v>17968</v>
      </c>
      <c r="G4742" s="9" t="s">
        <v>17969</v>
      </c>
      <c r="O4742" s="10">
        <f>IFERROR(__xludf.DUMMYFUNCTION("VALUE(REGEXEXTRACT(A4742, ""\d+""))"),7402.0)</f>
        <v>7402</v>
      </c>
    </row>
    <row r="4743">
      <c r="A4743" s="9" t="s">
        <v>17970</v>
      </c>
      <c r="B4743" s="9" t="s">
        <v>17971</v>
      </c>
      <c r="G4743" s="9" t="s">
        <v>17972</v>
      </c>
      <c r="O4743" s="10">
        <f>IFERROR(__xludf.DUMMYFUNCTION("VALUE(REGEXEXTRACT(A4743, ""\d+""))"),7403.0)</f>
        <v>7403</v>
      </c>
    </row>
    <row r="4744">
      <c r="A4744" s="9" t="s">
        <v>17973</v>
      </c>
      <c r="B4744" s="9" t="s">
        <v>17974</v>
      </c>
      <c r="G4744" s="9" t="s">
        <v>17975</v>
      </c>
      <c r="O4744" s="10">
        <f>IFERROR(__xludf.DUMMYFUNCTION("VALUE(REGEXEXTRACT(A4744, ""\d+""))"),7404.0)</f>
        <v>7404</v>
      </c>
    </row>
    <row r="4745">
      <c r="A4745" s="9" t="s">
        <v>17976</v>
      </c>
      <c r="B4745" s="9" t="s">
        <v>17977</v>
      </c>
      <c r="G4745" s="9" t="s">
        <v>17978</v>
      </c>
      <c r="O4745" s="10">
        <f>IFERROR(__xludf.DUMMYFUNCTION("VALUE(REGEXEXTRACT(A4745, ""\d+""))"),7405.0)</f>
        <v>7405</v>
      </c>
    </row>
    <row r="4746">
      <c r="A4746" s="9" t="s">
        <v>17979</v>
      </c>
      <c r="B4746" s="9" t="s">
        <v>17980</v>
      </c>
      <c r="G4746" s="9" t="s">
        <v>17981</v>
      </c>
      <c r="O4746" s="10">
        <f>IFERROR(__xludf.DUMMYFUNCTION("VALUE(REGEXEXTRACT(A4746, ""\d+""))"),7406.0)</f>
        <v>7406</v>
      </c>
    </row>
    <row r="4747">
      <c r="A4747" s="9" t="s">
        <v>17982</v>
      </c>
      <c r="B4747" s="9" t="s">
        <v>17983</v>
      </c>
      <c r="G4747" s="9" t="s">
        <v>17984</v>
      </c>
      <c r="O4747" s="10">
        <f>IFERROR(__xludf.DUMMYFUNCTION("VALUE(REGEXEXTRACT(A4747, ""\d+""))"),7407.0)</f>
        <v>7407</v>
      </c>
    </row>
    <row r="4748">
      <c r="A4748" s="9" t="s">
        <v>17985</v>
      </c>
      <c r="B4748" s="9" t="s">
        <v>17986</v>
      </c>
      <c r="G4748" s="9" t="s">
        <v>17987</v>
      </c>
      <c r="O4748" s="10">
        <f>IFERROR(__xludf.DUMMYFUNCTION("VALUE(REGEXEXTRACT(A4748, ""\d+""))"),7408.0)</f>
        <v>7408</v>
      </c>
    </row>
    <row r="4749">
      <c r="A4749" s="9" t="s">
        <v>17988</v>
      </c>
      <c r="B4749" s="9" t="s">
        <v>17989</v>
      </c>
      <c r="G4749" s="9" t="s">
        <v>17990</v>
      </c>
      <c r="O4749" s="10">
        <f>IFERROR(__xludf.DUMMYFUNCTION("VALUE(REGEXEXTRACT(A4749, ""\d+""))"),7409.0)</f>
        <v>7409</v>
      </c>
    </row>
    <row r="4750">
      <c r="A4750" s="9" t="s">
        <v>17991</v>
      </c>
      <c r="B4750" s="9" t="s">
        <v>17992</v>
      </c>
      <c r="G4750" s="9" t="s">
        <v>17993</v>
      </c>
      <c r="O4750" s="10">
        <f>IFERROR(__xludf.DUMMYFUNCTION("VALUE(REGEXEXTRACT(A4750, ""\d+""))"),7410.0)</f>
        <v>7410</v>
      </c>
    </row>
    <row r="4751">
      <c r="A4751" s="9" t="s">
        <v>17994</v>
      </c>
      <c r="B4751" s="9" t="s">
        <v>17995</v>
      </c>
      <c r="G4751" s="9" t="s">
        <v>17996</v>
      </c>
      <c r="O4751" s="10">
        <f>IFERROR(__xludf.DUMMYFUNCTION("VALUE(REGEXEXTRACT(A4751, ""\d+""))"),7411.0)</f>
        <v>7411</v>
      </c>
    </row>
    <row r="4752">
      <c r="A4752" s="9" t="s">
        <v>17997</v>
      </c>
      <c r="B4752" s="9" t="s">
        <v>17998</v>
      </c>
      <c r="G4752" s="9" t="s">
        <v>17999</v>
      </c>
      <c r="O4752" s="10">
        <f>IFERROR(__xludf.DUMMYFUNCTION("VALUE(REGEXEXTRACT(A4752, ""\d+""))"),7412.0)</f>
        <v>7412</v>
      </c>
    </row>
    <row r="4753">
      <c r="A4753" s="9" t="s">
        <v>18000</v>
      </c>
      <c r="B4753" s="9" t="s">
        <v>18001</v>
      </c>
      <c r="G4753" s="9" t="s">
        <v>18002</v>
      </c>
      <c r="O4753" s="10">
        <f>IFERROR(__xludf.DUMMYFUNCTION("VALUE(REGEXEXTRACT(A4753, ""\d+""))"),7413.0)</f>
        <v>7413</v>
      </c>
    </row>
    <row r="4754">
      <c r="A4754" s="9" t="s">
        <v>18003</v>
      </c>
      <c r="B4754" s="9" t="s">
        <v>18004</v>
      </c>
      <c r="G4754" s="9" t="s">
        <v>18005</v>
      </c>
      <c r="O4754" s="10">
        <f>IFERROR(__xludf.DUMMYFUNCTION("VALUE(REGEXEXTRACT(A4754, ""\d+""))"),7414.0)</f>
        <v>7414</v>
      </c>
    </row>
    <row r="4755">
      <c r="A4755" s="9" t="s">
        <v>18006</v>
      </c>
      <c r="B4755" s="9" t="s">
        <v>18007</v>
      </c>
      <c r="G4755" s="9" t="s">
        <v>18008</v>
      </c>
      <c r="O4755" s="10">
        <f>IFERROR(__xludf.DUMMYFUNCTION("VALUE(REGEXEXTRACT(A4755, ""\d+""))"),7415.0)</f>
        <v>7415</v>
      </c>
    </row>
    <row r="4756">
      <c r="A4756" s="9" t="s">
        <v>18009</v>
      </c>
      <c r="B4756" s="9" t="s">
        <v>18010</v>
      </c>
      <c r="G4756" s="9" t="s">
        <v>18011</v>
      </c>
      <c r="O4756" s="10">
        <f>IFERROR(__xludf.DUMMYFUNCTION("VALUE(REGEXEXTRACT(A4756, ""\d+""))"),7416.0)</f>
        <v>7416</v>
      </c>
    </row>
    <row r="4757">
      <c r="A4757" s="9" t="s">
        <v>18012</v>
      </c>
      <c r="B4757" s="9" t="s">
        <v>18013</v>
      </c>
      <c r="G4757" s="9" t="s">
        <v>18014</v>
      </c>
      <c r="O4757" s="10">
        <f>IFERROR(__xludf.DUMMYFUNCTION("VALUE(REGEXEXTRACT(A4757, ""\d+""))"),7417.0)</f>
        <v>7417</v>
      </c>
    </row>
    <row r="4758">
      <c r="A4758" s="9" t="s">
        <v>18015</v>
      </c>
      <c r="B4758" s="9" t="s">
        <v>18016</v>
      </c>
      <c r="G4758" s="9" t="s">
        <v>18017</v>
      </c>
      <c r="O4758" s="10">
        <f>IFERROR(__xludf.DUMMYFUNCTION("VALUE(REGEXEXTRACT(A4758, ""\d+""))"),7418.0)</f>
        <v>7418</v>
      </c>
    </row>
    <row r="4759">
      <c r="A4759" s="9" t="s">
        <v>18018</v>
      </c>
      <c r="B4759" s="9" t="s">
        <v>18019</v>
      </c>
      <c r="G4759" s="9" t="s">
        <v>18020</v>
      </c>
      <c r="O4759" s="10">
        <f>IFERROR(__xludf.DUMMYFUNCTION("VALUE(REGEXEXTRACT(A4759, ""\d+""))"),7419.0)</f>
        <v>7419</v>
      </c>
    </row>
    <row r="4760">
      <c r="A4760" s="9" t="s">
        <v>18021</v>
      </c>
      <c r="B4760" s="9" t="s">
        <v>18022</v>
      </c>
      <c r="G4760" s="9" t="s">
        <v>18023</v>
      </c>
      <c r="O4760" s="10">
        <f>IFERROR(__xludf.DUMMYFUNCTION("VALUE(REGEXEXTRACT(A4760, ""\d+""))"),7420.0)</f>
        <v>7420</v>
      </c>
    </row>
    <row r="4761">
      <c r="A4761" s="9" t="s">
        <v>18024</v>
      </c>
      <c r="B4761" s="9" t="s">
        <v>18025</v>
      </c>
      <c r="G4761" s="9" t="s">
        <v>18026</v>
      </c>
      <c r="O4761" s="10">
        <f>IFERROR(__xludf.DUMMYFUNCTION("VALUE(REGEXEXTRACT(A4761, ""\d+""))"),7421.0)</f>
        <v>7421</v>
      </c>
    </row>
    <row r="4762">
      <c r="A4762" s="9" t="s">
        <v>18027</v>
      </c>
      <c r="B4762" s="9" t="s">
        <v>17902</v>
      </c>
      <c r="G4762" s="9" t="s">
        <v>17903</v>
      </c>
      <c r="O4762" s="10">
        <f>IFERROR(__xludf.DUMMYFUNCTION("VALUE(REGEXEXTRACT(A4762, ""\d+""))"),7422.0)</f>
        <v>7422</v>
      </c>
    </row>
    <row r="4763">
      <c r="A4763" s="9" t="s">
        <v>18028</v>
      </c>
      <c r="B4763" s="9" t="s">
        <v>18029</v>
      </c>
      <c r="G4763" s="9" t="s">
        <v>18030</v>
      </c>
      <c r="O4763" s="10">
        <f>IFERROR(__xludf.DUMMYFUNCTION("VALUE(REGEXEXTRACT(A4763, ""\d+""))"),7423.0)</f>
        <v>7423</v>
      </c>
    </row>
    <row r="4764">
      <c r="A4764" s="9" t="s">
        <v>18031</v>
      </c>
      <c r="B4764" s="9" t="s">
        <v>18032</v>
      </c>
      <c r="G4764" s="9" t="s">
        <v>18033</v>
      </c>
      <c r="O4764" s="10">
        <f>IFERROR(__xludf.DUMMYFUNCTION("VALUE(REGEXEXTRACT(A4764, ""\d+""))"),7424.0)</f>
        <v>7424</v>
      </c>
    </row>
    <row r="4765">
      <c r="A4765" s="9" t="s">
        <v>18034</v>
      </c>
      <c r="B4765" s="9" t="s">
        <v>18035</v>
      </c>
      <c r="G4765" s="9" t="s">
        <v>18036</v>
      </c>
      <c r="O4765" s="10">
        <f>IFERROR(__xludf.DUMMYFUNCTION("VALUE(REGEXEXTRACT(A4765, ""\d+""))"),7425.0)</f>
        <v>7425</v>
      </c>
    </row>
    <row r="4766">
      <c r="A4766" s="9" t="s">
        <v>18037</v>
      </c>
      <c r="B4766" s="9" t="s">
        <v>18038</v>
      </c>
      <c r="G4766" s="9" t="s">
        <v>18039</v>
      </c>
      <c r="O4766" s="10">
        <f>IFERROR(__xludf.DUMMYFUNCTION("VALUE(REGEXEXTRACT(A4766, ""\d+""))"),7426.0)</f>
        <v>7426</v>
      </c>
    </row>
    <row r="4767">
      <c r="A4767" s="9" t="s">
        <v>18040</v>
      </c>
      <c r="B4767" s="9" t="s">
        <v>18041</v>
      </c>
      <c r="G4767" s="9" t="s">
        <v>18042</v>
      </c>
      <c r="O4767" s="10">
        <f>IFERROR(__xludf.DUMMYFUNCTION("VALUE(REGEXEXTRACT(A4767, ""\d+""))"),7427.0)</f>
        <v>7427</v>
      </c>
    </row>
    <row r="4768">
      <c r="A4768" s="9" t="s">
        <v>18043</v>
      </c>
      <c r="B4768" s="9" t="s">
        <v>18044</v>
      </c>
      <c r="G4768" s="9" t="s">
        <v>18045</v>
      </c>
      <c r="O4768" s="10">
        <f>IFERROR(__xludf.DUMMYFUNCTION("VALUE(REGEXEXTRACT(A4768, ""\d+""))"),7428.0)</f>
        <v>7428</v>
      </c>
    </row>
    <row r="4769">
      <c r="A4769" s="9" t="s">
        <v>18046</v>
      </c>
      <c r="B4769" s="9" t="s">
        <v>18047</v>
      </c>
      <c r="G4769" s="9" t="s">
        <v>18048</v>
      </c>
      <c r="O4769" s="10">
        <f>IFERROR(__xludf.DUMMYFUNCTION("VALUE(REGEXEXTRACT(A4769, ""\d+""))"),7429.0)</f>
        <v>7429</v>
      </c>
    </row>
    <row r="4770">
      <c r="A4770" s="9" t="s">
        <v>18049</v>
      </c>
      <c r="B4770" s="9" t="s">
        <v>18050</v>
      </c>
      <c r="G4770" s="9" t="s">
        <v>18051</v>
      </c>
      <c r="O4770" s="10">
        <f>IFERROR(__xludf.DUMMYFUNCTION("VALUE(REGEXEXTRACT(A4770, ""\d+""))"),7430.0)</f>
        <v>7430</v>
      </c>
    </row>
    <row r="4771">
      <c r="A4771" s="9" t="s">
        <v>18052</v>
      </c>
      <c r="B4771" s="9" t="s">
        <v>18029</v>
      </c>
      <c r="G4771" s="9" t="s">
        <v>18030</v>
      </c>
      <c r="O4771" s="10">
        <f>IFERROR(__xludf.DUMMYFUNCTION("VALUE(REGEXEXTRACT(A4771, ""\d+""))"),7431.0)</f>
        <v>7431</v>
      </c>
    </row>
    <row r="4772">
      <c r="A4772" s="9" t="s">
        <v>18053</v>
      </c>
      <c r="B4772" s="9" t="s">
        <v>18054</v>
      </c>
      <c r="G4772" s="9" t="s">
        <v>18055</v>
      </c>
      <c r="O4772" s="10">
        <f>IFERROR(__xludf.DUMMYFUNCTION("VALUE(REGEXEXTRACT(A4772, ""\d+""))"),7432.0)</f>
        <v>7432</v>
      </c>
    </row>
    <row r="4773">
      <c r="A4773" s="9" t="s">
        <v>18056</v>
      </c>
      <c r="B4773" s="9" t="s">
        <v>18057</v>
      </c>
      <c r="G4773" s="9" t="s">
        <v>18058</v>
      </c>
      <c r="O4773" s="10">
        <f>IFERROR(__xludf.DUMMYFUNCTION("VALUE(REGEXEXTRACT(A4773, ""\d+""))"),7433.0)</f>
        <v>7433</v>
      </c>
    </row>
    <row r="4774">
      <c r="A4774" s="9" t="s">
        <v>18059</v>
      </c>
      <c r="B4774" s="9" t="s">
        <v>18060</v>
      </c>
      <c r="G4774" s="9" t="s">
        <v>18061</v>
      </c>
      <c r="O4774" s="10">
        <f>IFERROR(__xludf.DUMMYFUNCTION("VALUE(REGEXEXTRACT(A4774, ""\d+""))"),7434.0)</f>
        <v>7434</v>
      </c>
    </row>
    <row r="4775">
      <c r="A4775" s="9" t="s">
        <v>18062</v>
      </c>
      <c r="B4775" s="9" t="s">
        <v>18063</v>
      </c>
      <c r="G4775" s="9" t="s">
        <v>18064</v>
      </c>
      <c r="O4775" s="10">
        <f>IFERROR(__xludf.DUMMYFUNCTION("VALUE(REGEXEXTRACT(A4775, ""\d+""))"),7435.0)</f>
        <v>7435</v>
      </c>
    </row>
    <row r="4776">
      <c r="A4776" s="9" t="s">
        <v>18065</v>
      </c>
      <c r="B4776" s="9" t="s">
        <v>18066</v>
      </c>
      <c r="G4776" s="9" t="s">
        <v>18067</v>
      </c>
      <c r="O4776" s="10">
        <f>IFERROR(__xludf.DUMMYFUNCTION("VALUE(REGEXEXTRACT(A4776, ""\d+""))"),7436.0)</f>
        <v>7436</v>
      </c>
    </row>
    <row r="4777">
      <c r="A4777" s="9" t="s">
        <v>18068</v>
      </c>
      <c r="B4777" s="9" t="s">
        <v>18069</v>
      </c>
      <c r="G4777" s="9" t="s">
        <v>18070</v>
      </c>
      <c r="O4777" s="10">
        <f>IFERROR(__xludf.DUMMYFUNCTION("VALUE(REGEXEXTRACT(A4777, ""\d+""))"),7437.0)</f>
        <v>7437</v>
      </c>
    </row>
    <row r="4778">
      <c r="A4778" s="9" t="s">
        <v>18071</v>
      </c>
      <c r="B4778" s="9" t="s">
        <v>18072</v>
      </c>
      <c r="G4778" s="9" t="s">
        <v>18073</v>
      </c>
      <c r="O4778" s="10">
        <f>IFERROR(__xludf.DUMMYFUNCTION("VALUE(REGEXEXTRACT(A4778, ""\d+""))"),7438.0)</f>
        <v>7438</v>
      </c>
    </row>
    <row r="4779">
      <c r="A4779" s="9" t="s">
        <v>18074</v>
      </c>
      <c r="B4779" s="9" t="s">
        <v>18075</v>
      </c>
      <c r="G4779" s="9" t="s">
        <v>18076</v>
      </c>
      <c r="O4779" s="10">
        <f>IFERROR(__xludf.DUMMYFUNCTION("VALUE(REGEXEXTRACT(A4779, ""\d+""))"),7439.0)</f>
        <v>7439</v>
      </c>
    </row>
    <row r="4780">
      <c r="A4780" s="9" t="s">
        <v>18077</v>
      </c>
      <c r="B4780" s="9" t="s">
        <v>18078</v>
      </c>
      <c r="G4780" s="9" t="s">
        <v>18079</v>
      </c>
      <c r="O4780" s="10">
        <f>IFERROR(__xludf.DUMMYFUNCTION("VALUE(REGEXEXTRACT(A4780, ""\d+""))"),7440.0)</f>
        <v>7440</v>
      </c>
    </row>
    <row r="4781">
      <c r="A4781" s="9" t="s">
        <v>18080</v>
      </c>
      <c r="B4781" s="9" t="s">
        <v>18081</v>
      </c>
      <c r="G4781" s="9" t="s">
        <v>18082</v>
      </c>
      <c r="O4781" s="10">
        <f>IFERROR(__xludf.DUMMYFUNCTION("VALUE(REGEXEXTRACT(A4781, ""\d+""))"),7441.0)</f>
        <v>7441</v>
      </c>
    </row>
    <row r="4782">
      <c r="A4782" s="9" t="s">
        <v>18083</v>
      </c>
      <c r="B4782" s="9" t="s">
        <v>18084</v>
      </c>
      <c r="G4782" s="9" t="s">
        <v>18085</v>
      </c>
      <c r="O4782" s="10">
        <f>IFERROR(__xludf.DUMMYFUNCTION("VALUE(REGEXEXTRACT(A4782, ""\d+""))"),7442.0)</f>
        <v>7442</v>
      </c>
    </row>
    <row r="4783">
      <c r="A4783" s="9" t="s">
        <v>18086</v>
      </c>
      <c r="B4783" s="9" t="s">
        <v>18087</v>
      </c>
      <c r="G4783" s="9" t="s">
        <v>18087</v>
      </c>
      <c r="O4783" s="10">
        <f>IFERROR(__xludf.DUMMYFUNCTION("VALUE(REGEXEXTRACT(A4783, ""\d+""))"),7443.0)</f>
        <v>7443</v>
      </c>
    </row>
    <row r="4784">
      <c r="A4784" s="9" t="s">
        <v>18088</v>
      </c>
      <c r="B4784" s="9" t="s">
        <v>18089</v>
      </c>
      <c r="G4784" s="9" t="s">
        <v>18090</v>
      </c>
      <c r="O4784" s="10">
        <f>IFERROR(__xludf.DUMMYFUNCTION("VALUE(REGEXEXTRACT(A4784, ""\d+""))"),7444.0)</f>
        <v>7444</v>
      </c>
    </row>
    <row r="4785">
      <c r="A4785" s="9" t="s">
        <v>18091</v>
      </c>
      <c r="B4785" s="9" t="s">
        <v>18092</v>
      </c>
      <c r="G4785" s="9" t="s">
        <v>18093</v>
      </c>
      <c r="O4785" s="10">
        <f>IFERROR(__xludf.DUMMYFUNCTION("VALUE(REGEXEXTRACT(A4785, ""\d+""))"),7445.0)</f>
        <v>7445</v>
      </c>
    </row>
    <row r="4786">
      <c r="A4786" s="9" t="s">
        <v>18094</v>
      </c>
      <c r="B4786" s="9" t="s">
        <v>18095</v>
      </c>
      <c r="G4786" s="9" t="s">
        <v>18096</v>
      </c>
      <c r="O4786" s="10">
        <f>IFERROR(__xludf.DUMMYFUNCTION("VALUE(REGEXEXTRACT(A4786, ""\d+""))"),7446.0)</f>
        <v>7446</v>
      </c>
    </row>
    <row r="4787">
      <c r="A4787" s="9" t="s">
        <v>18097</v>
      </c>
      <c r="B4787" s="9" t="s">
        <v>18098</v>
      </c>
      <c r="G4787" s="9" t="s">
        <v>18099</v>
      </c>
      <c r="O4787" s="10">
        <f>IFERROR(__xludf.DUMMYFUNCTION("VALUE(REGEXEXTRACT(A4787, ""\d+""))"),7447.0)</f>
        <v>7447</v>
      </c>
    </row>
    <row r="4788">
      <c r="A4788" s="9" t="s">
        <v>18100</v>
      </c>
      <c r="B4788" s="9" t="s">
        <v>18101</v>
      </c>
      <c r="G4788" s="9" t="s">
        <v>18102</v>
      </c>
      <c r="O4788" s="10">
        <f>IFERROR(__xludf.DUMMYFUNCTION("VALUE(REGEXEXTRACT(A4788, ""\d+""))"),7450.0)</f>
        <v>7450</v>
      </c>
    </row>
    <row r="4789">
      <c r="A4789" s="9" t="s">
        <v>18103</v>
      </c>
      <c r="B4789" s="9" t="s">
        <v>18104</v>
      </c>
      <c r="G4789" s="9" t="s">
        <v>18105</v>
      </c>
      <c r="O4789" s="10">
        <f>IFERROR(__xludf.DUMMYFUNCTION("VALUE(REGEXEXTRACT(A4789, ""\d+""))"),7451.0)</f>
        <v>7451</v>
      </c>
    </row>
    <row r="4790">
      <c r="A4790" s="9" t="s">
        <v>18106</v>
      </c>
      <c r="B4790" s="9" t="s">
        <v>18107</v>
      </c>
      <c r="G4790" s="9" t="s">
        <v>18108</v>
      </c>
      <c r="O4790" s="10">
        <f>IFERROR(__xludf.DUMMYFUNCTION("VALUE(REGEXEXTRACT(A4790, ""\d+""))"),7452.0)</f>
        <v>7452</v>
      </c>
    </row>
    <row r="4791">
      <c r="A4791" s="9" t="s">
        <v>18109</v>
      </c>
      <c r="B4791" s="9" t="s">
        <v>18110</v>
      </c>
      <c r="G4791" s="9" t="s">
        <v>18111</v>
      </c>
      <c r="O4791" s="10">
        <f>IFERROR(__xludf.DUMMYFUNCTION("VALUE(REGEXEXTRACT(A4791, ""\d+""))"),7453.0)</f>
        <v>7453</v>
      </c>
    </row>
    <row r="4792">
      <c r="A4792" s="9" t="s">
        <v>18112</v>
      </c>
      <c r="B4792" s="9" t="s">
        <v>18113</v>
      </c>
      <c r="G4792" s="9" t="s">
        <v>18114</v>
      </c>
      <c r="O4792" s="10">
        <f>IFERROR(__xludf.DUMMYFUNCTION("VALUE(REGEXEXTRACT(A4792, ""\d+""))"),7454.0)</f>
        <v>7454</v>
      </c>
    </row>
    <row r="4793">
      <c r="A4793" s="9" t="s">
        <v>18115</v>
      </c>
      <c r="B4793" s="9" t="s">
        <v>18116</v>
      </c>
      <c r="G4793" s="9" t="s">
        <v>18117</v>
      </c>
      <c r="O4793" s="10">
        <f>IFERROR(__xludf.DUMMYFUNCTION("VALUE(REGEXEXTRACT(A4793, ""\d+""))"),7456.0)</f>
        <v>7456</v>
      </c>
    </row>
    <row r="4794">
      <c r="A4794" s="9" t="s">
        <v>18118</v>
      </c>
      <c r="B4794" s="9" t="s">
        <v>18119</v>
      </c>
      <c r="G4794" s="9" t="s">
        <v>18120</v>
      </c>
      <c r="O4794" s="10">
        <f>IFERROR(__xludf.DUMMYFUNCTION("VALUE(REGEXEXTRACT(A4794, ""\d+""))"),7457.0)</f>
        <v>7457</v>
      </c>
    </row>
    <row r="4795">
      <c r="A4795" s="9" t="s">
        <v>18121</v>
      </c>
      <c r="B4795" s="9" t="s">
        <v>18122</v>
      </c>
      <c r="G4795" s="9" t="s">
        <v>18123</v>
      </c>
      <c r="O4795" s="10">
        <f>IFERROR(__xludf.DUMMYFUNCTION("VALUE(REGEXEXTRACT(A4795, ""\d+""))"),7461.0)</f>
        <v>7461</v>
      </c>
    </row>
    <row r="4796">
      <c r="A4796" s="9" t="s">
        <v>18124</v>
      </c>
      <c r="B4796" s="9" t="s">
        <v>18125</v>
      </c>
      <c r="G4796" s="9" t="s">
        <v>18126</v>
      </c>
      <c r="O4796" s="10">
        <f>IFERROR(__xludf.DUMMYFUNCTION("VALUE(REGEXEXTRACT(A4796, ""\d+""))"),7464.0)</f>
        <v>7464</v>
      </c>
    </row>
    <row r="4797">
      <c r="A4797" s="9" t="s">
        <v>18127</v>
      </c>
      <c r="B4797" s="9" t="s">
        <v>18128</v>
      </c>
      <c r="G4797" s="9" t="s">
        <v>18129</v>
      </c>
      <c r="O4797" s="10">
        <f>IFERROR(__xludf.DUMMYFUNCTION("VALUE(REGEXEXTRACT(A4797, ""\d+""))"),7465.0)</f>
        <v>7465</v>
      </c>
    </row>
    <row r="4798">
      <c r="A4798" s="9" t="s">
        <v>18130</v>
      </c>
      <c r="B4798" s="9" t="s">
        <v>18131</v>
      </c>
      <c r="O4798" s="10">
        <f>IFERROR(__xludf.DUMMYFUNCTION("VALUE(REGEXEXTRACT(A4798, ""\d+""))"),7466.0)</f>
        <v>7466</v>
      </c>
    </row>
    <row r="4799">
      <c r="A4799" s="9" t="s">
        <v>18132</v>
      </c>
      <c r="B4799" s="9" t="s">
        <v>18133</v>
      </c>
      <c r="G4799" s="9" t="s">
        <v>18134</v>
      </c>
      <c r="O4799" s="10">
        <f>IFERROR(__xludf.DUMMYFUNCTION("VALUE(REGEXEXTRACT(A4799, ""\d+""))"),7468.0)</f>
        <v>7468</v>
      </c>
    </row>
    <row r="4800">
      <c r="A4800" s="9" t="s">
        <v>18135</v>
      </c>
      <c r="B4800" s="9" t="s">
        <v>18136</v>
      </c>
      <c r="G4800" s="9" t="s">
        <v>18137</v>
      </c>
      <c r="O4800" s="10">
        <f>IFERROR(__xludf.DUMMYFUNCTION("VALUE(REGEXEXTRACT(A4800, ""\d+""))"),7469.0)</f>
        <v>7469</v>
      </c>
    </row>
    <row r="4801">
      <c r="A4801" s="9" t="s">
        <v>18138</v>
      </c>
      <c r="B4801" s="9" t="s">
        <v>18139</v>
      </c>
      <c r="G4801" s="9" t="s">
        <v>18140</v>
      </c>
      <c r="O4801" s="10">
        <f>IFERROR(__xludf.DUMMYFUNCTION("VALUE(REGEXEXTRACT(A4801, ""\d+""))"),7470.0)</f>
        <v>7470</v>
      </c>
    </row>
    <row r="4802">
      <c r="A4802" s="9" t="s">
        <v>18141</v>
      </c>
      <c r="B4802" s="9" t="s">
        <v>18142</v>
      </c>
      <c r="G4802" s="9" t="s">
        <v>18143</v>
      </c>
      <c r="O4802" s="10">
        <f>IFERROR(__xludf.DUMMYFUNCTION("VALUE(REGEXEXTRACT(A4802, ""\d+""))"),7471.0)</f>
        <v>7471</v>
      </c>
    </row>
    <row r="4803">
      <c r="A4803" s="9" t="s">
        <v>18144</v>
      </c>
      <c r="B4803" s="9" t="s">
        <v>18145</v>
      </c>
      <c r="G4803" s="9" t="s">
        <v>18146</v>
      </c>
      <c r="O4803" s="10">
        <f>IFERROR(__xludf.DUMMYFUNCTION("VALUE(REGEXEXTRACT(A4803, ""\d+""))"),7472.0)</f>
        <v>7472</v>
      </c>
    </row>
    <row r="4804">
      <c r="A4804" s="9" t="s">
        <v>18147</v>
      </c>
      <c r="B4804" s="9" t="s">
        <v>18148</v>
      </c>
      <c r="G4804" s="9" t="s">
        <v>18149</v>
      </c>
      <c r="O4804" s="10">
        <f>IFERROR(__xludf.DUMMYFUNCTION("VALUE(REGEXEXTRACT(A4804, ""\d+""))"),7473.0)</f>
        <v>7473</v>
      </c>
    </row>
    <row r="4805">
      <c r="A4805" s="9" t="s">
        <v>18150</v>
      </c>
      <c r="B4805" s="9" t="s">
        <v>18151</v>
      </c>
      <c r="G4805" s="9" t="s">
        <v>18152</v>
      </c>
      <c r="O4805" s="10">
        <f>IFERROR(__xludf.DUMMYFUNCTION("VALUE(REGEXEXTRACT(A4805, ""\d+""))"),7474.0)</f>
        <v>7474</v>
      </c>
    </row>
    <row r="4806">
      <c r="A4806" s="9" t="s">
        <v>18153</v>
      </c>
      <c r="B4806" s="9" t="s">
        <v>13195</v>
      </c>
      <c r="G4806" s="9" t="s">
        <v>13196</v>
      </c>
      <c r="O4806" s="10">
        <f>IFERROR(__xludf.DUMMYFUNCTION("VALUE(REGEXEXTRACT(A4806, ""\d+""))"),7475.0)</f>
        <v>7475</v>
      </c>
    </row>
    <row r="4807">
      <c r="A4807" s="9" t="s">
        <v>18154</v>
      </c>
      <c r="B4807" s="9" t="s">
        <v>18155</v>
      </c>
      <c r="G4807" s="9" t="s">
        <v>18156</v>
      </c>
      <c r="O4807" s="10">
        <f>IFERROR(__xludf.DUMMYFUNCTION("VALUE(REGEXEXTRACT(A4807, ""\d+""))"),7476.0)</f>
        <v>7476</v>
      </c>
    </row>
    <row r="4808">
      <c r="A4808" s="9" t="s">
        <v>18157</v>
      </c>
      <c r="B4808" s="9" t="s">
        <v>18158</v>
      </c>
      <c r="G4808" s="9" t="s">
        <v>18159</v>
      </c>
      <c r="O4808" s="10">
        <f>IFERROR(__xludf.DUMMYFUNCTION("VALUE(REGEXEXTRACT(A4808, ""\d+""))"),7477.0)</f>
        <v>7477</v>
      </c>
    </row>
    <row r="4809">
      <c r="A4809" s="9" t="s">
        <v>18160</v>
      </c>
      <c r="B4809" s="9" t="s">
        <v>18161</v>
      </c>
      <c r="G4809" s="9" t="s">
        <v>18162</v>
      </c>
      <c r="O4809" s="10">
        <f>IFERROR(__xludf.DUMMYFUNCTION("VALUE(REGEXEXTRACT(A4809, ""\d+""))"),7478.0)</f>
        <v>7478</v>
      </c>
    </row>
    <row r="4810">
      <c r="A4810" s="9" t="s">
        <v>18163</v>
      </c>
      <c r="B4810" s="9" t="s">
        <v>18164</v>
      </c>
      <c r="G4810" s="9" t="s">
        <v>18165</v>
      </c>
      <c r="O4810" s="10">
        <f>IFERROR(__xludf.DUMMYFUNCTION("VALUE(REGEXEXTRACT(A4810, ""\d+""))"),7479.0)</f>
        <v>7479</v>
      </c>
    </row>
    <row r="4811">
      <c r="A4811" s="9" t="s">
        <v>18166</v>
      </c>
      <c r="B4811" s="9" t="s">
        <v>18167</v>
      </c>
      <c r="G4811" s="9" t="s">
        <v>18168</v>
      </c>
      <c r="O4811" s="10">
        <f>IFERROR(__xludf.DUMMYFUNCTION("VALUE(REGEXEXTRACT(A4811, ""\d+""))"),7480.0)</f>
        <v>7480</v>
      </c>
    </row>
    <row r="4812">
      <c r="A4812" s="9" t="s">
        <v>18169</v>
      </c>
      <c r="B4812" s="9" t="s">
        <v>18170</v>
      </c>
      <c r="G4812" s="9" t="s">
        <v>18171</v>
      </c>
      <c r="O4812" s="10">
        <f>IFERROR(__xludf.DUMMYFUNCTION("VALUE(REGEXEXTRACT(A4812, ""\d+""))"),7481.0)</f>
        <v>7481</v>
      </c>
    </row>
    <row r="4813">
      <c r="A4813" s="9" t="s">
        <v>18172</v>
      </c>
      <c r="B4813" s="9" t="s">
        <v>18173</v>
      </c>
      <c r="G4813" s="9" t="s">
        <v>18173</v>
      </c>
      <c r="O4813" s="10">
        <f>IFERROR(__xludf.DUMMYFUNCTION("VALUE(REGEXEXTRACT(A4813, ""\d+""))"),7482.0)</f>
        <v>7482</v>
      </c>
    </row>
    <row r="4814">
      <c r="A4814" s="9" t="s">
        <v>18174</v>
      </c>
      <c r="B4814" s="9" t="s">
        <v>18175</v>
      </c>
      <c r="G4814" s="9" t="s">
        <v>18175</v>
      </c>
      <c r="O4814" s="10">
        <f>IFERROR(__xludf.DUMMYFUNCTION("VALUE(REGEXEXTRACT(A4814, ""\d+""))"),7483.0)</f>
        <v>7483</v>
      </c>
    </row>
    <row r="4815">
      <c r="A4815" s="9" t="s">
        <v>18176</v>
      </c>
      <c r="B4815" s="9" t="s">
        <v>18177</v>
      </c>
      <c r="G4815" s="9" t="s">
        <v>18177</v>
      </c>
      <c r="O4815" s="10">
        <f>IFERROR(__xludf.DUMMYFUNCTION("VALUE(REGEXEXTRACT(A4815, ""\d+""))"),7484.0)</f>
        <v>7484</v>
      </c>
    </row>
    <row r="4816">
      <c r="A4816" s="9" t="s">
        <v>18178</v>
      </c>
      <c r="B4816" s="9" t="s">
        <v>18179</v>
      </c>
      <c r="G4816" s="9" t="s">
        <v>18180</v>
      </c>
      <c r="O4816" s="10">
        <f>IFERROR(__xludf.DUMMYFUNCTION("VALUE(REGEXEXTRACT(A4816, ""\d+""))"),7485.0)</f>
        <v>7485</v>
      </c>
    </row>
    <row r="4817">
      <c r="A4817" s="9" t="s">
        <v>18181</v>
      </c>
      <c r="B4817" s="9" t="s">
        <v>18182</v>
      </c>
      <c r="G4817" s="9" t="s">
        <v>18183</v>
      </c>
      <c r="O4817" s="10">
        <f>IFERROR(__xludf.DUMMYFUNCTION("VALUE(REGEXEXTRACT(A4817, ""\d+""))"),7486.0)</f>
        <v>7486</v>
      </c>
    </row>
    <row r="4818">
      <c r="A4818" s="9" t="s">
        <v>18184</v>
      </c>
      <c r="B4818" s="9" t="s">
        <v>18185</v>
      </c>
      <c r="G4818" s="9" t="s">
        <v>18186</v>
      </c>
      <c r="O4818" s="10">
        <f>IFERROR(__xludf.DUMMYFUNCTION("VALUE(REGEXEXTRACT(A4818, ""\d+""))"),7487.0)</f>
        <v>7487</v>
      </c>
    </row>
    <row r="4819">
      <c r="A4819" s="9" t="s">
        <v>18187</v>
      </c>
      <c r="B4819" s="9" t="s">
        <v>18188</v>
      </c>
      <c r="G4819" s="9" t="s">
        <v>18189</v>
      </c>
      <c r="O4819" s="10">
        <f>IFERROR(__xludf.DUMMYFUNCTION("VALUE(REGEXEXTRACT(A4819, ""\d+""))"),7488.0)</f>
        <v>7488</v>
      </c>
    </row>
    <row r="4820">
      <c r="A4820" s="9" t="s">
        <v>18190</v>
      </c>
      <c r="B4820" s="9" t="s">
        <v>18191</v>
      </c>
      <c r="G4820" s="9" t="s">
        <v>18192</v>
      </c>
      <c r="O4820" s="10">
        <f>IFERROR(__xludf.DUMMYFUNCTION("VALUE(REGEXEXTRACT(A4820, ""\d+""))"),7489.0)</f>
        <v>7489</v>
      </c>
    </row>
    <row r="4821">
      <c r="A4821" s="9" t="s">
        <v>18193</v>
      </c>
      <c r="B4821" s="9" t="s">
        <v>18194</v>
      </c>
      <c r="G4821" s="9" t="s">
        <v>18195</v>
      </c>
      <c r="O4821" s="10">
        <f>IFERROR(__xludf.DUMMYFUNCTION("VALUE(REGEXEXTRACT(A4821, ""\d+""))"),7490.0)</f>
        <v>7490</v>
      </c>
    </row>
    <row r="4822">
      <c r="A4822" s="9" t="s">
        <v>18196</v>
      </c>
      <c r="B4822" s="9" t="s">
        <v>18197</v>
      </c>
      <c r="G4822" s="9" t="s">
        <v>18198</v>
      </c>
      <c r="O4822" s="10">
        <f>IFERROR(__xludf.DUMMYFUNCTION("VALUE(REGEXEXTRACT(A4822, ""\d+""))"),7491.0)</f>
        <v>7491</v>
      </c>
    </row>
    <row r="4823">
      <c r="A4823" s="9" t="s">
        <v>18199</v>
      </c>
      <c r="B4823" s="9" t="s">
        <v>18200</v>
      </c>
      <c r="G4823" s="9" t="s">
        <v>18201</v>
      </c>
      <c r="O4823" s="10">
        <f>IFERROR(__xludf.DUMMYFUNCTION("VALUE(REGEXEXTRACT(A4823, ""\d+""))"),7492.0)</f>
        <v>7492</v>
      </c>
    </row>
    <row r="4824">
      <c r="A4824" s="9" t="s">
        <v>18202</v>
      </c>
      <c r="B4824" s="9" t="s">
        <v>18203</v>
      </c>
      <c r="G4824" s="9" t="s">
        <v>18204</v>
      </c>
      <c r="O4824" s="10">
        <f>IFERROR(__xludf.DUMMYFUNCTION("VALUE(REGEXEXTRACT(A4824, ""\d+""))"),7493.0)</f>
        <v>7493</v>
      </c>
    </row>
    <row r="4825">
      <c r="A4825" s="9" t="s">
        <v>18205</v>
      </c>
      <c r="B4825" s="9" t="s">
        <v>18206</v>
      </c>
      <c r="G4825" s="9" t="s">
        <v>18207</v>
      </c>
      <c r="O4825" s="10">
        <f>IFERROR(__xludf.DUMMYFUNCTION("VALUE(REGEXEXTRACT(A4825, ""\d+""))"),7494.0)</f>
        <v>7494</v>
      </c>
    </row>
    <row r="4826">
      <c r="A4826" s="9" t="s">
        <v>18208</v>
      </c>
      <c r="B4826" s="9" t="s">
        <v>18209</v>
      </c>
      <c r="G4826" s="9" t="s">
        <v>18210</v>
      </c>
      <c r="O4826" s="10">
        <f>IFERROR(__xludf.DUMMYFUNCTION("VALUE(REGEXEXTRACT(A4826, ""\d+""))"),7495.0)</f>
        <v>7495</v>
      </c>
    </row>
    <row r="4827">
      <c r="A4827" s="9" t="s">
        <v>18211</v>
      </c>
      <c r="B4827" s="9" t="s">
        <v>18212</v>
      </c>
      <c r="G4827" s="9" t="s">
        <v>18213</v>
      </c>
      <c r="O4827" s="10">
        <f>IFERROR(__xludf.DUMMYFUNCTION("VALUE(REGEXEXTRACT(A4827, ""\d+""))"),7496.0)</f>
        <v>7496</v>
      </c>
    </row>
    <row r="4828">
      <c r="A4828" s="9" t="s">
        <v>18214</v>
      </c>
      <c r="B4828" s="9" t="s">
        <v>18215</v>
      </c>
      <c r="G4828" s="9" t="s">
        <v>18216</v>
      </c>
      <c r="O4828" s="10">
        <f>IFERROR(__xludf.DUMMYFUNCTION("VALUE(REGEXEXTRACT(A4828, ""\d+""))"),7497.0)</f>
        <v>7497</v>
      </c>
    </row>
    <row r="4829">
      <c r="A4829" s="9" t="s">
        <v>18217</v>
      </c>
      <c r="B4829" s="9" t="s">
        <v>18218</v>
      </c>
      <c r="G4829" s="9" t="s">
        <v>18219</v>
      </c>
      <c r="O4829" s="10">
        <f>IFERROR(__xludf.DUMMYFUNCTION("VALUE(REGEXEXTRACT(A4829, ""\d+""))"),7498.0)</f>
        <v>7498</v>
      </c>
    </row>
    <row r="4830">
      <c r="A4830" s="9" t="s">
        <v>18220</v>
      </c>
      <c r="B4830" s="9" t="s">
        <v>18221</v>
      </c>
      <c r="G4830" s="9" t="s">
        <v>18222</v>
      </c>
      <c r="O4830" s="10">
        <f>IFERROR(__xludf.DUMMYFUNCTION("VALUE(REGEXEXTRACT(A4830, ""\d+""))"),7499.0)</f>
        <v>7499</v>
      </c>
    </row>
    <row r="4831">
      <c r="A4831" s="9" t="s">
        <v>18223</v>
      </c>
      <c r="B4831" s="9" t="s">
        <v>18224</v>
      </c>
      <c r="G4831" s="9" t="s">
        <v>18225</v>
      </c>
      <c r="O4831" s="10">
        <f>IFERROR(__xludf.DUMMYFUNCTION("VALUE(REGEXEXTRACT(A4831, ""\d+""))"),7500.0)</f>
        <v>7500</v>
      </c>
    </row>
    <row r="4832">
      <c r="A4832" s="9" t="s">
        <v>18226</v>
      </c>
      <c r="B4832" s="9" t="s">
        <v>18227</v>
      </c>
      <c r="G4832" s="9" t="s">
        <v>18228</v>
      </c>
      <c r="O4832" s="10">
        <f>IFERROR(__xludf.DUMMYFUNCTION("VALUE(REGEXEXTRACT(A4832, ""\d+""))"),7501.0)</f>
        <v>7501</v>
      </c>
    </row>
    <row r="4833">
      <c r="A4833" s="9" t="s">
        <v>18229</v>
      </c>
      <c r="B4833" s="9" t="s">
        <v>18230</v>
      </c>
      <c r="G4833" s="9" t="s">
        <v>18231</v>
      </c>
      <c r="O4833" s="10">
        <f>IFERROR(__xludf.DUMMYFUNCTION("VALUE(REGEXEXTRACT(A4833, ""\d+""))"),7502.0)</f>
        <v>7502</v>
      </c>
    </row>
    <row r="4834">
      <c r="A4834" s="9" t="s">
        <v>18232</v>
      </c>
      <c r="B4834" s="9" t="s">
        <v>18233</v>
      </c>
      <c r="G4834" s="9" t="s">
        <v>18234</v>
      </c>
      <c r="O4834" s="10">
        <f>IFERROR(__xludf.DUMMYFUNCTION("VALUE(REGEXEXTRACT(A4834, ""\d+""))"),7503.0)</f>
        <v>7503</v>
      </c>
    </row>
    <row r="4835">
      <c r="A4835" s="9" t="s">
        <v>18235</v>
      </c>
      <c r="B4835" s="9" t="s">
        <v>18236</v>
      </c>
      <c r="G4835" s="9" t="s">
        <v>18237</v>
      </c>
      <c r="O4835" s="10">
        <f>IFERROR(__xludf.DUMMYFUNCTION("VALUE(REGEXEXTRACT(A4835, ""\d+""))"),7504.0)</f>
        <v>7504</v>
      </c>
    </row>
    <row r="4836">
      <c r="A4836" s="9" t="s">
        <v>18238</v>
      </c>
      <c r="B4836" s="9" t="s">
        <v>18239</v>
      </c>
      <c r="G4836" s="9" t="s">
        <v>18240</v>
      </c>
      <c r="O4836" s="10">
        <f>IFERROR(__xludf.DUMMYFUNCTION("VALUE(REGEXEXTRACT(A4836, ""\d+""))"),7505.0)</f>
        <v>7505</v>
      </c>
    </row>
    <row r="4837">
      <c r="A4837" s="9" t="s">
        <v>18241</v>
      </c>
      <c r="B4837" s="9" t="s">
        <v>18242</v>
      </c>
      <c r="G4837" s="9" t="s">
        <v>18243</v>
      </c>
      <c r="O4837" s="10">
        <f>IFERROR(__xludf.DUMMYFUNCTION("VALUE(REGEXEXTRACT(A4837, ""\d+""))"),7506.0)</f>
        <v>7506</v>
      </c>
    </row>
    <row r="4838">
      <c r="A4838" s="9" t="s">
        <v>18244</v>
      </c>
      <c r="B4838" s="9" t="s">
        <v>18245</v>
      </c>
      <c r="G4838" s="9" t="s">
        <v>18246</v>
      </c>
      <c r="O4838" s="10">
        <f>IFERROR(__xludf.DUMMYFUNCTION("VALUE(REGEXEXTRACT(A4838, ""\d+""))"),7507.0)</f>
        <v>7507</v>
      </c>
    </row>
    <row r="4839">
      <c r="A4839" s="9" t="s">
        <v>18247</v>
      </c>
      <c r="B4839" s="9" t="s">
        <v>18248</v>
      </c>
      <c r="G4839" s="9" t="s">
        <v>18249</v>
      </c>
      <c r="O4839" s="10">
        <f>IFERROR(__xludf.DUMMYFUNCTION("VALUE(REGEXEXTRACT(A4839, ""\d+""))"),7508.0)</f>
        <v>7508</v>
      </c>
    </row>
    <row r="4840">
      <c r="A4840" s="9" t="s">
        <v>18250</v>
      </c>
      <c r="B4840" s="9" t="s">
        <v>18251</v>
      </c>
      <c r="G4840" s="9" t="s">
        <v>18252</v>
      </c>
      <c r="O4840" s="10">
        <f>IFERROR(__xludf.DUMMYFUNCTION("VALUE(REGEXEXTRACT(A4840, ""\d+""))"),7509.0)</f>
        <v>7509</v>
      </c>
    </row>
    <row r="4841">
      <c r="A4841" s="9" t="s">
        <v>18253</v>
      </c>
      <c r="B4841" s="9" t="s">
        <v>18254</v>
      </c>
      <c r="G4841" s="9" t="s">
        <v>18255</v>
      </c>
      <c r="O4841" s="10">
        <f>IFERROR(__xludf.DUMMYFUNCTION("VALUE(REGEXEXTRACT(A4841, ""\d+""))"),7510.0)</f>
        <v>7510</v>
      </c>
    </row>
    <row r="4842">
      <c r="A4842" s="9" t="s">
        <v>18256</v>
      </c>
      <c r="B4842" s="9" t="s">
        <v>18257</v>
      </c>
      <c r="G4842" s="9" t="s">
        <v>18258</v>
      </c>
      <c r="O4842" s="10">
        <f>IFERROR(__xludf.DUMMYFUNCTION("VALUE(REGEXEXTRACT(A4842, ""\d+""))"),7511.0)</f>
        <v>7511</v>
      </c>
    </row>
    <row r="4843">
      <c r="A4843" s="9" t="s">
        <v>18259</v>
      </c>
      <c r="B4843" s="9" t="s">
        <v>18260</v>
      </c>
      <c r="G4843" s="9" t="s">
        <v>18261</v>
      </c>
      <c r="O4843" s="10">
        <f>IFERROR(__xludf.DUMMYFUNCTION("VALUE(REGEXEXTRACT(A4843, ""\d+""))"),7512.0)</f>
        <v>7512</v>
      </c>
    </row>
    <row r="4844">
      <c r="A4844" s="9" t="s">
        <v>18262</v>
      </c>
      <c r="B4844" s="9" t="s">
        <v>18263</v>
      </c>
      <c r="G4844" s="9" t="s">
        <v>18264</v>
      </c>
      <c r="O4844" s="10">
        <f>IFERROR(__xludf.DUMMYFUNCTION("VALUE(REGEXEXTRACT(A4844, ""\d+""))"),7513.0)</f>
        <v>7513</v>
      </c>
    </row>
    <row r="4845">
      <c r="A4845" s="9" t="s">
        <v>18265</v>
      </c>
      <c r="B4845" s="9" t="s">
        <v>18266</v>
      </c>
      <c r="G4845" s="9" t="s">
        <v>18267</v>
      </c>
      <c r="O4845" s="10">
        <f>IFERROR(__xludf.DUMMYFUNCTION("VALUE(REGEXEXTRACT(A4845, ""\d+""))"),7514.0)</f>
        <v>7514</v>
      </c>
    </row>
    <row r="4846">
      <c r="A4846" s="9" t="s">
        <v>18268</v>
      </c>
      <c r="B4846" s="9" t="s">
        <v>18269</v>
      </c>
      <c r="G4846" s="9" t="s">
        <v>18270</v>
      </c>
      <c r="O4846" s="10">
        <f>IFERROR(__xludf.DUMMYFUNCTION("VALUE(REGEXEXTRACT(A4846, ""\d+""))"),7515.0)</f>
        <v>7515</v>
      </c>
    </row>
    <row r="4847">
      <c r="A4847" s="9" t="s">
        <v>18271</v>
      </c>
      <c r="B4847" s="9" t="s">
        <v>18272</v>
      </c>
      <c r="G4847" s="9" t="s">
        <v>18273</v>
      </c>
      <c r="O4847" s="10">
        <f>IFERROR(__xludf.DUMMYFUNCTION("VALUE(REGEXEXTRACT(A4847, ""\d+""))"),7516.0)</f>
        <v>7516</v>
      </c>
    </row>
    <row r="4848">
      <c r="A4848" s="9" t="s">
        <v>18274</v>
      </c>
      <c r="B4848" s="9" t="s">
        <v>18275</v>
      </c>
      <c r="G4848" s="9" t="s">
        <v>18276</v>
      </c>
      <c r="O4848" s="10">
        <f>IFERROR(__xludf.DUMMYFUNCTION("VALUE(REGEXEXTRACT(A4848, ""\d+""))"),7517.0)</f>
        <v>7517</v>
      </c>
    </row>
    <row r="4849">
      <c r="A4849" s="9" t="s">
        <v>18277</v>
      </c>
      <c r="B4849" s="9" t="s">
        <v>18278</v>
      </c>
      <c r="G4849" s="9" t="s">
        <v>18279</v>
      </c>
      <c r="O4849" s="10">
        <f>IFERROR(__xludf.DUMMYFUNCTION("VALUE(REGEXEXTRACT(A4849, ""\d+""))"),7519.0)</f>
        <v>7519</v>
      </c>
    </row>
    <row r="4850">
      <c r="A4850" s="9" t="s">
        <v>18280</v>
      </c>
      <c r="B4850" s="9" t="s">
        <v>18281</v>
      </c>
      <c r="G4850" s="9" t="s">
        <v>18282</v>
      </c>
      <c r="O4850" s="10">
        <f>IFERROR(__xludf.DUMMYFUNCTION("VALUE(REGEXEXTRACT(A4850, ""\d+""))"),7520.0)</f>
        <v>7520</v>
      </c>
    </row>
    <row r="4851">
      <c r="A4851" s="9" t="s">
        <v>18283</v>
      </c>
      <c r="B4851" s="9" t="s">
        <v>18284</v>
      </c>
      <c r="G4851" s="9" t="s">
        <v>18285</v>
      </c>
      <c r="O4851" s="10">
        <f>IFERROR(__xludf.DUMMYFUNCTION("VALUE(REGEXEXTRACT(A4851, ""\d+""))"),7521.0)</f>
        <v>7521</v>
      </c>
    </row>
    <row r="4852">
      <c r="A4852" s="9" t="s">
        <v>18286</v>
      </c>
      <c r="B4852" s="9" t="s">
        <v>18287</v>
      </c>
      <c r="G4852" s="9" t="s">
        <v>18288</v>
      </c>
      <c r="O4852" s="10">
        <f>IFERROR(__xludf.DUMMYFUNCTION("VALUE(REGEXEXTRACT(A4852, ""\d+""))"),7522.0)</f>
        <v>7522</v>
      </c>
    </row>
    <row r="4853">
      <c r="A4853" s="9" t="s">
        <v>18289</v>
      </c>
      <c r="B4853" s="9" t="s">
        <v>18290</v>
      </c>
      <c r="G4853" s="9" t="s">
        <v>18291</v>
      </c>
      <c r="O4853" s="10">
        <f>IFERROR(__xludf.DUMMYFUNCTION("VALUE(REGEXEXTRACT(A4853, ""\d+""))"),7524.0)</f>
        <v>7524</v>
      </c>
    </row>
    <row r="4854">
      <c r="A4854" s="9" t="s">
        <v>18292</v>
      </c>
      <c r="B4854" s="9" t="s">
        <v>18293</v>
      </c>
      <c r="G4854" s="9" t="s">
        <v>18294</v>
      </c>
      <c r="O4854" s="10">
        <f>IFERROR(__xludf.DUMMYFUNCTION("VALUE(REGEXEXTRACT(A4854, ""\d+""))"),7525.0)</f>
        <v>7525</v>
      </c>
    </row>
    <row r="4855">
      <c r="A4855" s="9" t="s">
        <v>18295</v>
      </c>
      <c r="B4855" s="9" t="s">
        <v>18296</v>
      </c>
      <c r="G4855" s="9" t="s">
        <v>18297</v>
      </c>
      <c r="O4855" s="10">
        <f>IFERROR(__xludf.DUMMYFUNCTION("VALUE(REGEXEXTRACT(A4855, ""\d+""))"),7526.0)</f>
        <v>7526</v>
      </c>
    </row>
    <row r="4856">
      <c r="A4856" s="9" t="s">
        <v>18298</v>
      </c>
      <c r="B4856" s="9" t="s">
        <v>18299</v>
      </c>
      <c r="G4856" s="9" t="s">
        <v>18300</v>
      </c>
      <c r="O4856" s="10">
        <f>IFERROR(__xludf.DUMMYFUNCTION("VALUE(REGEXEXTRACT(A4856, ""\d+""))"),7527.0)</f>
        <v>7527</v>
      </c>
    </row>
    <row r="4857">
      <c r="A4857" s="9" t="s">
        <v>18301</v>
      </c>
      <c r="B4857" s="9" t="s">
        <v>18302</v>
      </c>
      <c r="G4857" s="9" t="s">
        <v>18303</v>
      </c>
      <c r="O4857" s="10">
        <f>IFERROR(__xludf.DUMMYFUNCTION("VALUE(REGEXEXTRACT(A4857, ""\d+""))"),7528.0)</f>
        <v>7528</v>
      </c>
    </row>
    <row r="4858">
      <c r="A4858" s="9" t="s">
        <v>18304</v>
      </c>
      <c r="B4858" s="9" t="s">
        <v>18305</v>
      </c>
      <c r="G4858" s="9" t="s">
        <v>18306</v>
      </c>
      <c r="O4858" s="10">
        <f>IFERROR(__xludf.DUMMYFUNCTION("VALUE(REGEXEXTRACT(A4858, ""\d+""))"),7529.0)</f>
        <v>7529</v>
      </c>
    </row>
    <row r="4859">
      <c r="A4859" s="9" t="s">
        <v>18307</v>
      </c>
      <c r="B4859" s="9" t="s">
        <v>18308</v>
      </c>
      <c r="G4859" s="9" t="s">
        <v>18309</v>
      </c>
      <c r="O4859" s="10">
        <f>IFERROR(__xludf.DUMMYFUNCTION("VALUE(REGEXEXTRACT(A4859, ""\d+""))"),7530.0)</f>
        <v>7530</v>
      </c>
    </row>
    <row r="4860">
      <c r="A4860" s="9" t="s">
        <v>18310</v>
      </c>
      <c r="B4860" s="9" t="s">
        <v>18311</v>
      </c>
      <c r="G4860" s="9" t="s">
        <v>18312</v>
      </c>
      <c r="O4860" s="10">
        <f>IFERROR(__xludf.DUMMYFUNCTION("VALUE(REGEXEXTRACT(A4860, ""\d+""))"),7531.0)</f>
        <v>7531</v>
      </c>
    </row>
    <row r="4861">
      <c r="A4861" s="9" t="s">
        <v>18313</v>
      </c>
      <c r="B4861" s="9" t="s">
        <v>18314</v>
      </c>
      <c r="G4861" s="9" t="s">
        <v>18315</v>
      </c>
      <c r="O4861" s="10">
        <f>IFERROR(__xludf.DUMMYFUNCTION("VALUE(REGEXEXTRACT(A4861, ""\d+""))"),7533.0)</f>
        <v>7533</v>
      </c>
    </row>
    <row r="4862">
      <c r="A4862" s="9" t="s">
        <v>18316</v>
      </c>
      <c r="B4862" s="9" t="s">
        <v>18317</v>
      </c>
      <c r="G4862" s="9" t="s">
        <v>18318</v>
      </c>
      <c r="O4862" s="10">
        <f>IFERROR(__xludf.DUMMYFUNCTION("VALUE(REGEXEXTRACT(A4862, ""\d+""))"),7534.0)</f>
        <v>7534</v>
      </c>
    </row>
    <row r="4863">
      <c r="A4863" s="9" t="s">
        <v>18319</v>
      </c>
      <c r="B4863" s="9" t="s">
        <v>18320</v>
      </c>
      <c r="G4863" s="9" t="s">
        <v>18321</v>
      </c>
      <c r="O4863" s="10">
        <f>IFERROR(__xludf.DUMMYFUNCTION("VALUE(REGEXEXTRACT(A4863, ""\d+""))"),7535.0)</f>
        <v>7535</v>
      </c>
    </row>
    <row r="4864">
      <c r="A4864" s="9" t="s">
        <v>18322</v>
      </c>
      <c r="B4864" s="9" t="s">
        <v>18323</v>
      </c>
      <c r="G4864" s="9" t="s">
        <v>18324</v>
      </c>
      <c r="O4864" s="10">
        <f>IFERROR(__xludf.DUMMYFUNCTION("VALUE(REGEXEXTRACT(A4864, ""\d+""))"),7536.0)</f>
        <v>7536</v>
      </c>
    </row>
    <row r="4865">
      <c r="A4865" s="9" t="s">
        <v>18325</v>
      </c>
      <c r="B4865" s="9" t="s">
        <v>18326</v>
      </c>
      <c r="G4865" s="9" t="s">
        <v>18327</v>
      </c>
      <c r="O4865" s="10">
        <f>IFERROR(__xludf.DUMMYFUNCTION("VALUE(REGEXEXTRACT(A4865, ""\d+""))"),7537.0)</f>
        <v>7537</v>
      </c>
    </row>
    <row r="4866">
      <c r="A4866" s="9" t="s">
        <v>18328</v>
      </c>
      <c r="B4866" s="9" t="s">
        <v>18329</v>
      </c>
      <c r="G4866" s="9" t="s">
        <v>18330</v>
      </c>
      <c r="O4866" s="10">
        <f>IFERROR(__xludf.DUMMYFUNCTION("VALUE(REGEXEXTRACT(A4866, ""\d+""))"),7538.0)</f>
        <v>7538</v>
      </c>
    </row>
    <row r="4867">
      <c r="A4867" s="9" t="s">
        <v>18331</v>
      </c>
      <c r="B4867" s="9" t="s">
        <v>18332</v>
      </c>
      <c r="G4867" s="9" t="s">
        <v>18333</v>
      </c>
      <c r="O4867" s="10">
        <f>IFERROR(__xludf.DUMMYFUNCTION("VALUE(REGEXEXTRACT(A4867, ""\d+""))"),7539.0)</f>
        <v>7539</v>
      </c>
    </row>
    <row r="4868">
      <c r="A4868" s="9" t="s">
        <v>18334</v>
      </c>
      <c r="B4868" s="9" t="s">
        <v>18335</v>
      </c>
      <c r="G4868" s="9" t="s">
        <v>18336</v>
      </c>
      <c r="O4868" s="10">
        <f>IFERROR(__xludf.DUMMYFUNCTION("VALUE(REGEXEXTRACT(A4868, ""\d+""))"),7540.0)</f>
        <v>7540</v>
      </c>
    </row>
    <row r="4869">
      <c r="A4869" s="9" t="s">
        <v>18337</v>
      </c>
      <c r="B4869" s="9" t="s">
        <v>18338</v>
      </c>
      <c r="G4869" s="9" t="s">
        <v>18339</v>
      </c>
      <c r="O4869" s="10">
        <f>IFERROR(__xludf.DUMMYFUNCTION("VALUE(REGEXEXTRACT(A4869, ""\d+""))"),7541.0)</f>
        <v>7541</v>
      </c>
    </row>
    <row r="4870">
      <c r="A4870" s="9" t="s">
        <v>18340</v>
      </c>
      <c r="B4870" s="9" t="s">
        <v>18341</v>
      </c>
      <c r="G4870" s="9" t="s">
        <v>18342</v>
      </c>
      <c r="O4870" s="10">
        <f>IFERROR(__xludf.DUMMYFUNCTION("VALUE(REGEXEXTRACT(A4870, ""\d+""))"),7542.0)</f>
        <v>7542</v>
      </c>
    </row>
    <row r="4871">
      <c r="A4871" s="9" t="s">
        <v>18343</v>
      </c>
      <c r="B4871" s="9" t="s">
        <v>18344</v>
      </c>
      <c r="G4871" s="9" t="s">
        <v>18345</v>
      </c>
      <c r="O4871" s="10">
        <f>IFERROR(__xludf.DUMMYFUNCTION("VALUE(REGEXEXTRACT(A4871, ""\d+""))"),7543.0)</f>
        <v>7543</v>
      </c>
    </row>
    <row r="4872">
      <c r="A4872" s="9" t="s">
        <v>18346</v>
      </c>
      <c r="B4872" s="9" t="s">
        <v>18347</v>
      </c>
      <c r="G4872" s="9" t="s">
        <v>18348</v>
      </c>
      <c r="O4872" s="10">
        <f>IFERROR(__xludf.DUMMYFUNCTION("VALUE(REGEXEXTRACT(A4872, ""\d+""))"),7544.0)</f>
        <v>7544</v>
      </c>
    </row>
    <row r="4873">
      <c r="A4873" s="9" t="s">
        <v>18349</v>
      </c>
      <c r="B4873" s="9" t="s">
        <v>18350</v>
      </c>
      <c r="G4873" s="9" t="s">
        <v>18351</v>
      </c>
      <c r="O4873" s="10">
        <f>IFERROR(__xludf.DUMMYFUNCTION("VALUE(REGEXEXTRACT(A4873, ""\d+""))"),7545.0)</f>
        <v>7545</v>
      </c>
    </row>
    <row r="4874">
      <c r="A4874" s="9" t="s">
        <v>18352</v>
      </c>
      <c r="B4874" s="9" t="s">
        <v>18353</v>
      </c>
      <c r="G4874" s="9" t="s">
        <v>18354</v>
      </c>
      <c r="O4874" s="10">
        <f>IFERROR(__xludf.DUMMYFUNCTION("VALUE(REGEXEXTRACT(A4874, ""\d+""))"),7546.0)</f>
        <v>7546</v>
      </c>
    </row>
    <row r="4875">
      <c r="A4875" s="9" t="s">
        <v>18355</v>
      </c>
      <c r="B4875" s="9" t="s">
        <v>18356</v>
      </c>
      <c r="G4875" s="9" t="s">
        <v>18357</v>
      </c>
      <c r="O4875" s="10">
        <f>IFERROR(__xludf.DUMMYFUNCTION("VALUE(REGEXEXTRACT(A4875, ""\d+""))"),7547.0)</f>
        <v>7547</v>
      </c>
    </row>
    <row r="4876">
      <c r="A4876" s="9" t="s">
        <v>18358</v>
      </c>
      <c r="B4876" s="9" t="s">
        <v>18359</v>
      </c>
      <c r="G4876" s="9" t="s">
        <v>18360</v>
      </c>
      <c r="O4876" s="10">
        <f>IFERROR(__xludf.DUMMYFUNCTION("VALUE(REGEXEXTRACT(A4876, ""\d+""))"),7548.0)</f>
        <v>7548</v>
      </c>
    </row>
    <row r="4877">
      <c r="A4877" s="9" t="s">
        <v>18361</v>
      </c>
      <c r="B4877" s="9" t="s">
        <v>18362</v>
      </c>
      <c r="G4877" s="9" t="s">
        <v>18363</v>
      </c>
      <c r="O4877" s="10">
        <f>IFERROR(__xludf.DUMMYFUNCTION("VALUE(REGEXEXTRACT(A4877, ""\d+""))"),7549.0)</f>
        <v>7549</v>
      </c>
    </row>
    <row r="4878">
      <c r="A4878" s="9" t="s">
        <v>18364</v>
      </c>
      <c r="B4878" s="9" t="s">
        <v>18365</v>
      </c>
      <c r="G4878" s="9" t="s">
        <v>18366</v>
      </c>
      <c r="O4878" s="10">
        <f>IFERROR(__xludf.DUMMYFUNCTION("VALUE(REGEXEXTRACT(A4878, ""\d+""))"),7550.0)</f>
        <v>7550</v>
      </c>
    </row>
    <row r="4879">
      <c r="A4879" s="9" t="s">
        <v>18367</v>
      </c>
      <c r="B4879" s="9" t="s">
        <v>18368</v>
      </c>
      <c r="G4879" s="9" t="s">
        <v>18369</v>
      </c>
      <c r="O4879" s="10">
        <f>IFERROR(__xludf.DUMMYFUNCTION("VALUE(REGEXEXTRACT(A4879, ""\d+""))"),7551.0)</f>
        <v>7551</v>
      </c>
    </row>
    <row r="4880">
      <c r="A4880" s="9" t="s">
        <v>18370</v>
      </c>
      <c r="B4880" s="9" t="s">
        <v>18371</v>
      </c>
      <c r="G4880" s="9" t="s">
        <v>18372</v>
      </c>
      <c r="O4880" s="10">
        <f>IFERROR(__xludf.DUMMYFUNCTION("VALUE(REGEXEXTRACT(A4880, ""\d+""))"),7552.0)</f>
        <v>7552</v>
      </c>
    </row>
    <row r="4881">
      <c r="A4881" s="9" t="s">
        <v>18373</v>
      </c>
      <c r="B4881" s="9" t="s">
        <v>18374</v>
      </c>
      <c r="G4881" s="9" t="s">
        <v>18375</v>
      </c>
      <c r="O4881" s="10">
        <f>IFERROR(__xludf.DUMMYFUNCTION("VALUE(REGEXEXTRACT(A4881, ""\d+""))"),7553.0)</f>
        <v>7553</v>
      </c>
    </row>
    <row r="4882">
      <c r="A4882" s="9" t="s">
        <v>18376</v>
      </c>
      <c r="B4882" s="9" t="s">
        <v>18377</v>
      </c>
      <c r="G4882" s="9" t="s">
        <v>18378</v>
      </c>
      <c r="O4882" s="10">
        <f>IFERROR(__xludf.DUMMYFUNCTION("VALUE(REGEXEXTRACT(A4882, ""\d+""))"),7554.0)</f>
        <v>7554</v>
      </c>
    </row>
    <row r="4883">
      <c r="A4883" s="9" t="s">
        <v>18379</v>
      </c>
      <c r="B4883" s="9" t="s">
        <v>18380</v>
      </c>
      <c r="G4883" s="9" t="s">
        <v>18381</v>
      </c>
      <c r="O4883" s="10">
        <f>IFERROR(__xludf.DUMMYFUNCTION("VALUE(REGEXEXTRACT(A4883, ""\d+""))"),7555.0)</f>
        <v>7555</v>
      </c>
    </row>
    <row r="4884">
      <c r="A4884" s="9" t="s">
        <v>18382</v>
      </c>
      <c r="B4884" s="9" t="s">
        <v>18383</v>
      </c>
      <c r="G4884" s="9" t="s">
        <v>18384</v>
      </c>
      <c r="O4884" s="10">
        <f>IFERROR(__xludf.DUMMYFUNCTION("VALUE(REGEXEXTRACT(A4884, ""\d+""))"),7556.0)</f>
        <v>7556</v>
      </c>
    </row>
    <row r="4885">
      <c r="A4885" s="9" t="s">
        <v>18385</v>
      </c>
      <c r="B4885" s="9" t="s">
        <v>18386</v>
      </c>
      <c r="G4885" s="9" t="s">
        <v>18387</v>
      </c>
      <c r="O4885" s="10">
        <f>IFERROR(__xludf.DUMMYFUNCTION("VALUE(REGEXEXTRACT(A4885, ""\d+""))"),7557.0)</f>
        <v>7557</v>
      </c>
    </row>
    <row r="4886">
      <c r="A4886" s="9" t="s">
        <v>18388</v>
      </c>
      <c r="B4886" s="9" t="s">
        <v>18389</v>
      </c>
      <c r="G4886" s="9" t="s">
        <v>18390</v>
      </c>
      <c r="O4886" s="10">
        <f>IFERROR(__xludf.DUMMYFUNCTION("VALUE(REGEXEXTRACT(A4886, ""\d+""))"),7558.0)</f>
        <v>7558</v>
      </c>
    </row>
    <row r="4887">
      <c r="A4887" s="9" t="s">
        <v>18391</v>
      </c>
      <c r="B4887" s="9" t="s">
        <v>18392</v>
      </c>
      <c r="G4887" s="9" t="s">
        <v>18393</v>
      </c>
      <c r="O4887" s="10">
        <f>IFERROR(__xludf.DUMMYFUNCTION("VALUE(REGEXEXTRACT(A4887, ""\d+""))"),7559.0)</f>
        <v>7559</v>
      </c>
    </row>
    <row r="4888">
      <c r="A4888" s="9" t="s">
        <v>18394</v>
      </c>
      <c r="B4888" s="9" t="s">
        <v>18395</v>
      </c>
      <c r="G4888" s="9" t="s">
        <v>18396</v>
      </c>
      <c r="O4888" s="10">
        <f>IFERROR(__xludf.DUMMYFUNCTION("VALUE(REGEXEXTRACT(A4888, ""\d+""))"),7560.0)</f>
        <v>7560</v>
      </c>
    </row>
    <row r="4889">
      <c r="A4889" s="9" t="s">
        <v>18397</v>
      </c>
      <c r="B4889" s="9" t="s">
        <v>18398</v>
      </c>
      <c r="G4889" s="9" t="s">
        <v>18399</v>
      </c>
      <c r="O4889" s="10">
        <f>IFERROR(__xludf.DUMMYFUNCTION("VALUE(REGEXEXTRACT(A4889, ""\d+""))"),7561.0)</f>
        <v>7561</v>
      </c>
    </row>
    <row r="4890">
      <c r="A4890" s="9" t="s">
        <v>18400</v>
      </c>
      <c r="B4890" s="9" t="s">
        <v>18401</v>
      </c>
      <c r="G4890" s="9" t="s">
        <v>18402</v>
      </c>
      <c r="O4890" s="10">
        <f>IFERROR(__xludf.DUMMYFUNCTION("VALUE(REGEXEXTRACT(A4890, ""\d+""))"),7562.0)</f>
        <v>7562</v>
      </c>
    </row>
    <row r="4891">
      <c r="A4891" s="9" t="s">
        <v>18403</v>
      </c>
      <c r="B4891" s="9" t="s">
        <v>18404</v>
      </c>
      <c r="G4891" s="9" t="s">
        <v>18402</v>
      </c>
      <c r="O4891" s="10">
        <f>IFERROR(__xludf.DUMMYFUNCTION("VALUE(REGEXEXTRACT(A4891, ""\d+""))"),7563.0)</f>
        <v>7563</v>
      </c>
    </row>
    <row r="4892">
      <c r="A4892" s="9" t="s">
        <v>18405</v>
      </c>
      <c r="B4892" s="9" t="s">
        <v>18406</v>
      </c>
      <c r="G4892" s="9" t="s">
        <v>18402</v>
      </c>
      <c r="O4892" s="10">
        <f>IFERROR(__xludf.DUMMYFUNCTION("VALUE(REGEXEXTRACT(A4892, ""\d+""))"),7564.0)</f>
        <v>7564</v>
      </c>
    </row>
    <row r="4893">
      <c r="A4893" s="9" t="s">
        <v>18407</v>
      </c>
      <c r="B4893" s="9" t="s">
        <v>18401</v>
      </c>
      <c r="G4893" s="9" t="s">
        <v>18402</v>
      </c>
      <c r="O4893" s="10">
        <f>IFERROR(__xludf.DUMMYFUNCTION("VALUE(REGEXEXTRACT(A4893, ""\d+""))"),7565.0)</f>
        <v>7565</v>
      </c>
    </row>
    <row r="4894">
      <c r="A4894" s="9" t="s">
        <v>18408</v>
      </c>
      <c r="B4894" s="9" t="s">
        <v>18404</v>
      </c>
      <c r="G4894" s="9" t="s">
        <v>18402</v>
      </c>
      <c r="O4894" s="10">
        <f>IFERROR(__xludf.DUMMYFUNCTION("VALUE(REGEXEXTRACT(A4894, ""\d+""))"),7566.0)</f>
        <v>7566</v>
      </c>
    </row>
    <row r="4895">
      <c r="A4895" s="9" t="s">
        <v>18409</v>
      </c>
      <c r="B4895" s="9" t="s">
        <v>18406</v>
      </c>
      <c r="G4895" s="9" t="s">
        <v>18402</v>
      </c>
      <c r="O4895" s="10">
        <f>IFERROR(__xludf.DUMMYFUNCTION("VALUE(REGEXEXTRACT(A4895, ""\d+""))"),7567.0)</f>
        <v>7567</v>
      </c>
    </row>
    <row r="4896">
      <c r="A4896" s="9" t="s">
        <v>18410</v>
      </c>
      <c r="B4896" s="9" t="s">
        <v>18401</v>
      </c>
      <c r="G4896" s="9" t="s">
        <v>18402</v>
      </c>
      <c r="O4896" s="10">
        <f>IFERROR(__xludf.DUMMYFUNCTION("VALUE(REGEXEXTRACT(A4896, ""\d+""))"),7568.0)</f>
        <v>7568</v>
      </c>
    </row>
    <row r="4897">
      <c r="A4897" s="9" t="s">
        <v>18411</v>
      </c>
      <c r="B4897" s="9" t="s">
        <v>18404</v>
      </c>
      <c r="G4897" s="9" t="s">
        <v>18402</v>
      </c>
      <c r="O4897" s="10">
        <f>IFERROR(__xludf.DUMMYFUNCTION("VALUE(REGEXEXTRACT(A4897, ""\d+""))"),7569.0)</f>
        <v>7569</v>
      </c>
    </row>
    <row r="4898">
      <c r="A4898" s="9" t="s">
        <v>18412</v>
      </c>
      <c r="B4898" s="9" t="s">
        <v>18406</v>
      </c>
      <c r="G4898" s="9" t="s">
        <v>18402</v>
      </c>
      <c r="O4898" s="10">
        <f>IFERROR(__xludf.DUMMYFUNCTION("VALUE(REGEXEXTRACT(A4898, ""\d+""))"),7570.0)</f>
        <v>7570</v>
      </c>
    </row>
    <row r="4899">
      <c r="A4899" s="9" t="s">
        <v>18413</v>
      </c>
      <c r="B4899" s="9" t="s">
        <v>18414</v>
      </c>
      <c r="G4899" s="9" t="s">
        <v>18415</v>
      </c>
      <c r="O4899" s="10">
        <f>IFERROR(__xludf.DUMMYFUNCTION("VALUE(REGEXEXTRACT(A4899, ""\d+""))"),7571.0)</f>
        <v>7571</v>
      </c>
    </row>
    <row r="4900">
      <c r="A4900" s="9" t="s">
        <v>18416</v>
      </c>
      <c r="B4900" s="9" t="s">
        <v>18417</v>
      </c>
      <c r="G4900" s="9" t="s">
        <v>18418</v>
      </c>
      <c r="O4900" s="10">
        <f>IFERROR(__xludf.DUMMYFUNCTION("VALUE(REGEXEXTRACT(A4900, ""\d+""))"),7572.0)</f>
        <v>7572</v>
      </c>
    </row>
    <row r="4901">
      <c r="A4901" s="9" t="s">
        <v>18419</v>
      </c>
      <c r="B4901" s="9" t="s">
        <v>18420</v>
      </c>
      <c r="G4901" s="9" t="s">
        <v>18421</v>
      </c>
      <c r="O4901" s="10">
        <f>IFERROR(__xludf.DUMMYFUNCTION("VALUE(REGEXEXTRACT(A4901, ""\d+""))"),7573.0)</f>
        <v>7573</v>
      </c>
    </row>
    <row r="4902">
      <c r="A4902" s="9" t="s">
        <v>18422</v>
      </c>
      <c r="B4902" s="9" t="s">
        <v>18423</v>
      </c>
      <c r="G4902" s="9" t="s">
        <v>18424</v>
      </c>
      <c r="O4902" s="10">
        <f>IFERROR(__xludf.DUMMYFUNCTION("VALUE(REGEXEXTRACT(A4902, ""\d+""))"),7574.0)</f>
        <v>7574</v>
      </c>
    </row>
    <row r="4903">
      <c r="A4903" s="9" t="s">
        <v>18425</v>
      </c>
      <c r="B4903" s="9" t="s">
        <v>18426</v>
      </c>
      <c r="G4903" s="9" t="s">
        <v>18427</v>
      </c>
      <c r="O4903" s="10">
        <f>IFERROR(__xludf.DUMMYFUNCTION("VALUE(REGEXEXTRACT(A4903, ""\d+""))"),7575.0)</f>
        <v>7575</v>
      </c>
    </row>
    <row r="4904">
      <c r="A4904" s="9" t="s">
        <v>18428</v>
      </c>
      <c r="B4904" s="9" t="s">
        <v>18429</v>
      </c>
      <c r="G4904" s="9" t="s">
        <v>18430</v>
      </c>
      <c r="O4904" s="10">
        <f>IFERROR(__xludf.DUMMYFUNCTION("VALUE(REGEXEXTRACT(A4904, ""\d+""))"),7576.0)</f>
        <v>7576</v>
      </c>
    </row>
    <row r="4905">
      <c r="A4905" s="9" t="s">
        <v>18431</v>
      </c>
      <c r="B4905" s="9" t="s">
        <v>18432</v>
      </c>
      <c r="G4905" s="9" t="s">
        <v>18433</v>
      </c>
      <c r="O4905" s="10">
        <f>IFERROR(__xludf.DUMMYFUNCTION("VALUE(REGEXEXTRACT(A4905, ""\d+""))"),7577.0)</f>
        <v>7577</v>
      </c>
    </row>
    <row r="4906">
      <c r="A4906" s="9" t="s">
        <v>18434</v>
      </c>
      <c r="B4906" s="9" t="s">
        <v>18435</v>
      </c>
      <c r="G4906" s="9" t="s">
        <v>18436</v>
      </c>
      <c r="O4906" s="10">
        <f>IFERROR(__xludf.DUMMYFUNCTION("VALUE(REGEXEXTRACT(A4906, ""\d+""))"),7578.0)</f>
        <v>7578</v>
      </c>
    </row>
    <row r="4907">
      <c r="A4907" s="9" t="s">
        <v>18437</v>
      </c>
      <c r="B4907" s="9" t="s">
        <v>18438</v>
      </c>
      <c r="G4907" s="9" t="s">
        <v>18439</v>
      </c>
      <c r="O4907" s="10">
        <f>IFERROR(__xludf.DUMMYFUNCTION("VALUE(REGEXEXTRACT(A4907, ""\d+""))"),7579.0)</f>
        <v>7579</v>
      </c>
    </row>
    <row r="4908">
      <c r="A4908" s="9" t="s">
        <v>18440</v>
      </c>
      <c r="B4908" s="9" t="s">
        <v>18441</v>
      </c>
      <c r="G4908" s="9" t="s">
        <v>18442</v>
      </c>
      <c r="O4908" s="10">
        <f>IFERROR(__xludf.DUMMYFUNCTION("VALUE(REGEXEXTRACT(A4908, ""\d+""))"),7580.0)</f>
        <v>7580</v>
      </c>
    </row>
    <row r="4909">
      <c r="A4909" s="9" t="s">
        <v>18443</v>
      </c>
      <c r="B4909" s="9" t="s">
        <v>18444</v>
      </c>
      <c r="G4909" s="9" t="s">
        <v>18445</v>
      </c>
      <c r="O4909" s="10">
        <f>IFERROR(__xludf.DUMMYFUNCTION("VALUE(REGEXEXTRACT(A4909, ""\d+""))"),7581.0)</f>
        <v>7581</v>
      </c>
    </row>
    <row r="4910">
      <c r="A4910" s="9" t="s">
        <v>18446</v>
      </c>
      <c r="B4910" s="9" t="s">
        <v>18447</v>
      </c>
      <c r="G4910" s="9" t="s">
        <v>18448</v>
      </c>
      <c r="O4910" s="10">
        <f>IFERROR(__xludf.DUMMYFUNCTION("VALUE(REGEXEXTRACT(A4910, ""\d+""))"),7582.0)</f>
        <v>7582</v>
      </c>
    </row>
    <row r="4911">
      <c r="A4911" s="9" t="s">
        <v>18449</v>
      </c>
      <c r="B4911" s="9" t="s">
        <v>18450</v>
      </c>
      <c r="G4911" s="9" t="s">
        <v>18451</v>
      </c>
      <c r="O4911" s="10">
        <f>IFERROR(__xludf.DUMMYFUNCTION("VALUE(REGEXEXTRACT(A4911, ""\d+""))"),7583.0)</f>
        <v>7583</v>
      </c>
    </row>
    <row r="4912">
      <c r="A4912" s="9" t="s">
        <v>18452</v>
      </c>
      <c r="B4912" s="9" t="s">
        <v>18453</v>
      </c>
      <c r="G4912" s="9" t="s">
        <v>18454</v>
      </c>
      <c r="O4912" s="10">
        <f>IFERROR(__xludf.DUMMYFUNCTION("VALUE(REGEXEXTRACT(A4912, ""\d+""))"),7584.0)</f>
        <v>7584</v>
      </c>
    </row>
    <row r="4913">
      <c r="A4913" s="9" t="s">
        <v>18455</v>
      </c>
      <c r="B4913" s="9" t="s">
        <v>18456</v>
      </c>
      <c r="G4913" s="9" t="s">
        <v>18457</v>
      </c>
      <c r="O4913" s="10">
        <f>IFERROR(__xludf.DUMMYFUNCTION("VALUE(REGEXEXTRACT(A4913, ""\d+""))"),7585.0)</f>
        <v>7585</v>
      </c>
    </row>
    <row r="4914">
      <c r="A4914" s="9" t="s">
        <v>18458</v>
      </c>
      <c r="B4914" s="9" t="s">
        <v>18459</v>
      </c>
      <c r="G4914" s="9" t="s">
        <v>18460</v>
      </c>
      <c r="O4914" s="10">
        <f>IFERROR(__xludf.DUMMYFUNCTION("VALUE(REGEXEXTRACT(A4914, ""\d+""))"),7586.0)</f>
        <v>7586</v>
      </c>
    </row>
    <row r="4915">
      <c r="A4915" s="9" t="s">
        <v>18461</v>
      </c>
      <c r="B4915" s="9" t="s">
        <v>18462</v>
      </c>
      <c r="G4915" s="9" t="s">
        <v>18463</v>
      </c>
      <c r="O4915" s="10">
        <f>IFERROR(__xludf.DUMMYFUNCTION("VALUE(REGEXEXTRACT(A4915, ""\d+""))"),7587.0)</f>
        <v>7587</v>
      </c>
    </row>
    <row r="4916">
      <c r="A4916" s="9" t="s">
        <v>18464</v>
      </c>
      <c r="B4916" s="9" t="s">
        <v>18465</v>
      </c>
      <c r="G4916" s="9" t="s">
        <v>18466</v>
      </c>
      <c r="O4916" s="10">
        <f>IFERROR(__xludf.DUMMYFUNCTION("VALUE(REGEXEXTRACT(A4916, ""\d+""))"),7588.0)</f>
        <v>7588</v>
      </c>
    </row>
    <row r="4917">
      <c r="A4917" s="9" t="s">
        <v>18467</v>
      </c>
      <c r="B4917" s="9" t="s">
        <v>18468</v>
      </c>
      <c r="G4917" s="9" t="s">
        <v>18469</v>
      </c>
      <c r="O4917" s="10">
        <f>IFERROR(__xludf.DUMMYFUNCTION("VALUE(REGEXEXTRACT(A4917, ""\d+""))"),7589.0)</f>
        <v>7589</v>
      </c>
    </row>
    <row r="4918">
      <c r="A4918" s="9" t="s">
        <v>18470</v>
      </c>
      <c r="B4918" s="9" t="s">
        <v>18471</v>
      </c>
      <c r="G4918" s="9" t="s">
        <v>18472</v>
      </c>
      <c r="O4918" s="10">
        <f>IFERROR(__xludf.DUMMYFUNCTION("VALUE(REGEXEXTRACT(A4918, ""\d+""))"),7590.0)</f>
        <v>7590</v>
      </c>
    </row>
    <row r="4919">
      <c r="A4919" s="9" t="s">
        <v>18473</v>
      </c>
      <c r="B4919" s="9" t="s">
        <v>18474</v>
      </c>
      <c r="G4919" s="9" t="s">
        <v>18475</v>
      </c>
      <c r="O4919" s="10">
        <f>IFERROR(__xludf.DUMMYFUNCTION("VALUE(REGEXEXTRACT(A4919, ""\d+""))"),7591.0)</f>
        <v>7591</v>
      </c>
    </row>
    <row r="4920">
      <c r="A4920" s="9" t="s">
        <v>18476</v>
      </c>
      <c r="B4920" s="9" t="s">
        <v>18477</v>
      </c>
      <c r="G4920" s="9" t="s">
        <v>18478</v>
      </c>
      <c r="O4920" s="10">
        <f>IFERROR(__xludf.DUMMYFUNCTION("VALUE(REGEXEXTRACT(A4920, ""\d+""))"),7593.0)</f>
        <v>7593</v>
      </c>
    </row>
    <row r="4921">
      <c r="A4921" s="9" t="s">
        <v>18479</v>
      </c>
      <c r="B4921" s="9" t="s">
        <v>18480</v>
      </c>
      <c r="G4921" s="9" t="s">
        <v>18481</v>
      </c>
      <c r="O4921" s="10">
        <f>IFERROR(__xludf.DUMMYFUNCTION("VALUE(REGEXEXTRACT(A4921, ""\d+""))"),7594.0)</f>
        <v>7594</v>
      </c>
    </row>
    <row r="4922">
      <c r="A4922" s="9" t="s">
        <v>18482</v>
      </c>
      <c r="B4922" s="9" t="s">
        <v>18483</v>
      </c>
      <c r="G4922" s="9" t="s">
        <v>18484</v>
      </c>
      <c r="O4922" s="10">
        <f>IFERROR(__xludf.DUMMYFUNCTION("VALUE(REGEXEXTRACT(A4922, ""\d+""))"),7595.0)</f>
        <v>7595</v>
      </c>
    </row>
    <row r="4923">
      <c r="A4923" s="9" t="s">
        <v>18485</v>
      </c>
      <c r="B4923" s="9" t="s">
        <v>18486</v>
      </c>
      <c r="G4923" s="9" t="s">
        <v>18487</v>
      </c>
      <c r="O4923" s="10">
        <f>IFERROR(__xludf.DUMMYFUNCTION("VALUE(REGEXEXTRACT(A4923, ""\d+""))"),7596.0)</f>
        <v>7596</v>
      </c>
    </row>
    <row r="4924">
      <c r="A4924" s="9" t="s">
        <v>18488</v>
      </c>
      <c r="B4924" s="9" t="s">
        <v>18489</v>
      </c>
      <c r="G4924" s="9" t="s">
        <v>18490</v>
      </c>
      <c r="O4924" s="10">
        <f>IFERROR(__xludf.DUMMYFUNCTION("VALUE(REGEXEXTRACT(A4924, ""\d+""))"),7597.0)</f>
        <v>7597</v>
      </c>
    </row>
    <row r="4925">
      <c r="A4925" s="9" t="s">
        <v>18491</v>
      </c>
      <c r="B4925" s="9" t="s">
        <v>18492</v>
      </c>
      <c r="G4925" s="9" t="s">
        <v>18493</v>
      </c>
      <c r="O4925" s="10">
        <f>IFERROR(__xludf.DUMMYFUNCTION("VALUE(REGEXEXTRACT(A4925, ""\d+""))"),7598.0)</f>
        <v>7598</v>
      </c>
    </row>
    <row r="4926">
      <c r="A4926" s="9" t="s">
        <v>18494</v>
      </c>
      <c r="B4926" s="9" t="s">
        <v>18495</v>
      </c>
      <c r="G4926" s="9" t="s">
        <v>18496</v>
      </c>
      <c r="O4926" s="10">
        <f>IFERROR(__xludf.DUMMYFUNCTION("VALUE(REGEXEXTRACT(A4926, ""\d+""))"),7599.0)</f>
        <v>7599</v>
      </c>
    </row>
    <row r="4927">
      <c r="A4927" s="9" t="s">
        <v>18497</v>
      </c>
      <c r="B4927" s="9" t="s">
        <v>18498</v>
      </c>
      <c r="G4927" s="9" t="s">
        <v>18499</v>
      </c>
      <c r="O4927" s="10">
        <f>IFERROR(__xludf.DUMMYFUNCTION("VALUE(REGEXEXTRACT(A4927, ""\d+""))"),7600.0)</f>
        <v>7600</v>
      </c>
    </row>
    <row r="4928">
      <c r="A4928" s="9" t="s">
        <v>18500</v>
      </c>
      <c r="B4928" s="9" t="s">
        <v>18501</v>
      </c>
      <c r="G4928" s="9" t="s">
        <v>18502</v>
      </c>
      <c r="O4928" s="10">
        <f>IFERROR(__xludf.DUMMYFUNCTION("VALUE(REGEXEXTRACT(A4928, ""\d+""))"),7601.0)</f>
        <v>7601</v>
      </c>
    </row>
    <row r="4929">
      <c r="A4929" s="9" t="s">
        <v>18503</v>
      </c>
      <c r="B4929" s="9" t="s">
        <v>18504</v>
      </c>
      <c r="G4929" s="9" t="s">
        <v>18505</v>
      </c>
      <c r="O4929" s="10">
        <f>IFERROR(__xludf.DUMMYFUNCTION("VALUE(REGEXEXTRACT(A4929, ""\d+""))"),7602.0)</f>
        <v>7602</v>
      </c>
    </row>
    <row r="4930">
      <c r="A4930" s="9" t="s">
        <v>18506</v>
      </c>
      <c r="B4930" s="9" t="s">
        <v>18507</v>
      </c>
      <c r="G4930" s="9" t="s">
        <v>18508</v>
      </c>
      <c r="O4930" s="10">
        <f>IFERROR(__xludf.DUMMYFUNCTION("VALUE(REGEXEXTRACT(A4930, ""\d+""))"),7604.0)</f>
        <v>7604</v>
      </c>
    </row>
    <row r="4931">
      <c r="A4931" s="9" t="s">
        <v>18509</v>
      </c>
      <c r="B4931" s="9" t="s">
        <v>18510</v>
      </c>
      <c r="G4931" s="9" t="s">
        <v>18511</v>
      </c>
      <c r="O4931" s="10">
        <f>IFERROR(__xludf.DUMMYFUNCTION("VALUE(REGEXEXTRACT(A4931, ""\d+""))"),7605.0)</f>
        <v>7605</v>
      </c>
    </row>
    <row r="4932">
      <c r="A4932" s="9" t="s">
        <v>18512</v>
      </c>
      <c r="B4932" s="9" t="s">
        <v>18513</v>
      </c>
      <c r="G4932" s="9" t="s">
        <v>13250</v>
      </c>
      <c r="O4932" s="10">
        <f>IFERROR(__xludf.DUMMYFUNCTION("VALUE(REGEXEXTRACT(A4932, ""\d+""))"),7606.0)</f>
        <v>7606</v>
      </c>
    </row>
    <row r="4933">
      <c r="A4933" s="9" t="s">
        <v>18514</v>
      </c>
      <c r="B4933" s="9" t="s">
        <v>18515</v>
      </c>
      <c r="G4933" s="9" t="s">
        <v>18516</v>
      </c>
      <c r="O4933" s="10">
        <f>IFERROR(__xludf.DUMMYFUNCTION("VALUE(REGEXEXTRACT(A4933, ""\d+""))"),7607.0)</f>
        <v>7607</v>
      </c>
    </row>
    <row r="4934">
      <c r="A4934" s="9" t="s">
        <v>18517</v>
      </c>
      <c r="B4934" s="9" t="s">
        <v>18518</v>
      </c>
      <c r="G4934" s="9" t="s">
        <v>18519</v>
      </c>
      <c r="O4934" s="10">
        <f>IFERROR(__xludf.DUMMYFUNCTION("VALUE(REGEXEXTRACT(A4934, ""\d+""))"),7608.0)</f>
        <v>7608</v>
      </c>
    </row>
    <row r="4935">
      <c r="A4935" s="9" t="s">
        <v>18520</v>
      </c>
      <c r="B4935" s="9" t="s">
        <v>18521</v>
      </c>
      <c r="G4935" s="9" t="s">
        <v>82</v>
      </c>
      <c r="O4935" s="10">
        <f>IFERROR(__xludf.DUMMYFUNCTION("VALUE(REGEXEXTRACT(A4935, ""\d+""))"),7609.0)</f>
        <v>7609</v>
      </c>
    </row>
    <row r="4936">
      <c r="A4936" s="9" t="s">
        <v>18522</v>
      </c>
      <c r="B4936" s="9" t="s">
        <v>18523</v>
      </c>
      <c r="G4936" s="9" t="s">
        <v>18524</v>
      </c>
      <c r="O4936" s="10">
        <f>IFERROR(__xludf.DUMMYFUNCTION("VALUE(REGEXEXTRACT(A4936, ""\d+""))"),7610.0)</f>
        <v>7610</v>
      </c>
    </row>
    <row r="4937">
      <c r="A4937" s="9" t="s">
        <v>18525</v>
      </c>
      <c r="B4937" s="9" t="s">
        <v>18526</v>
      </c>
      <c r="G4937" s="9" t="s">
        <v>18527</v>
      </c>
      <c r="O4937" s="10">
        <f>IFERROR(__xludf.DUMMYFUNCTION("VALUE(REGEXEXTRACT(A4937, ""\d+""))"),7611.0)</f>
        <v>7611</v>
      </c>
    </row>
    <row r="4938">
      <c r="A4938" s="9" t="s">
        <v>18528</v>
      </c>
      <c r="B4938" s="9" t="s">
        <v>18529</v>
      </c>
      <c r="G4938" s="9" t="s">
        <v>18530</v>
      </c>
      <c r="O4938" s="10">
        <f>IFERROR(__xludf.DUMMYFUNCTION("VALUE(REGEXEXTRACT(A4938, ""\d+""))"),7612.0)</f>
        <v>7612</v>
      </c>
    </row>
    <row r="4939">
      <c r="A4939" s="9" t="s">
        <v>18531</v>
      </c>
      <c r="B4939" s="9" t="s">
        <v>18532</v>
      </c>
      <c r="G4939" s="9" t="s">
        <v>18533</v>
      </c>
      <c r="O4939" s="10">
        <f>IFERROR(__xludf.DUMMYFUNCTION("VALUE(REGEXEXTRACT(A4939, ""\d+""))"),7613.0)</f>
        <v>7613</v>
      </c>
    </row>
    <row r="4940">
      <c r="A4940" s="9" t="s">
        <v>18534</v>
      </c>
      <c r="B4940" s="9" t="s">
        <v>18535</v>
      </c>
      <c r="G4940" s="9" t="s">
        <v>18536</v>
      </c>
      <c r="O4940" s="10">
        <f>IFERROR(__xludf.DUMMYFUNCTION("VALUE(REGEXEXTRACT(A4940, ""\d+""))"),7614.0)</f>
        <v>7614</v>
      </c>
    </row>
    <row r="4941">
      <c r="A4941" s="9" t="s">
        <v>18537</v>
      </c>
      <c r="B4941" s="9" t="s">
        <v>18538</v>
      </c>
      <c r="G4941" s="9" t="s">
        <v>18539</v>
      </c>
      <c r="O4941" s="10">
        <f>IFERROR(__xludf.DUMMYFUNCTION("VALUE(REGEXEXTRACT(A4941, ""\d+""))"),7615.0)</f>
        <v>7615</v>
      </c>
    </row>
    <row r="4942">
      <c r="A4942" s="9" t="s">
        <v>18540</v>
      </c>
      <c r="B4942" s="9" t="s">
        <v>18541</v>
      </c>
      <c r="G4942" s="9" t="s">
        <v>18542</v>
      </c>
      <c r="O4942" s="10">
        <f>IFERROR(__xludf.DUMMYFUNCTION("VALUE(REGEXEXTRACT(A4942, ""\d+""))"),7616.0)</f>
        <v>7616</v>
      </c>
    </row>
    <row r="4943">
      <c r="A4943" s="9" t="s">
        <v>18543</v>
      </c>
      <c r="B4943" s="9" t="s">
        <v>18544</v>
      </c>
      <c r="G4943" s="9" t="s">
        <v>18545</v>
      </c>
      <c r="O4943" s="10">
        <f>IFERROR(__xludf.DUMMYFUNCTION("VALUE(REGEXEXTRACT(A4943, ""\d+""))"),7617.0)</f>
        <v>7617</v>
      </c>
    </row>
    <row r="4944">
      <c r="A4944" s="9" t="s">
        <v>18546</v>
      </c>
      <c r="B4944" s="9" t="s">
        <v>18547</v>
      </c>
      <c r="G4944" s="9" t="s">
        <v>18548</v>
      </c>
      <c r="O4944" s="10">
        <f>IFERROR(__xludf.DUMMYFUNCTION("VALUE(REGEXEXTRACT(A4944, ""\d+""))"),7618.0)</f>
        <v>7618</v>
      </c>
    </row>
    <row r="4945">
      <c r="A4945" s="9" t="s">
        <v>18549</v>
      </c>
      <c r="B4945" s="9" t="s">
        <v>18550</v>
      </c>
      <c r="G4945" s="9" t="s">
        <v>18551</v>
      </c>
      <c r="O4945" s="10">
        <f>IFERROR(__xludf.DUMMYFUNCTION("VALUE(REGEXEXTRACT(A4945, ""\d+""))"),7619.0)</f>
        <v>7619</v>
      </c>
    </row>
    <row r="4946">
      <c r="A4946" s="9" t="s">
        <v>18552</v>
      </c>
      <c r="B4946" s="9" t="s">
        <v>18553</v>
      </c>
      <c r="G4946" s="9" t="s">
        <v>18554</v>
      </c>
      <c r="O4946" s="10">
        <f>IFERROR(__xludf.DUMMYFUNCTION("VALUE(REGEXEXTRACT(A4946, ""\d+""))"),7620.0)</f>
        <v>7620</v>
      </c>
    </row>
    <row r="4947">
      <c r="A4947" s="9" t="s">
        <v>18555</v>
      </c>
      <c r="B4947" s="9" t="s">
        <v>18556</v>
      </c>
      <c r="G4947" s="9" t="s">
        <v>18557</v>
      </c>
      <c r="O4947" s="10">
        <f>IFERROR(__xludf.DUMMYFUNCTION("VALUE(REGEXEXTRACT(A4947, ""\d+""))"),7621.0)</f>
        <v>7621</v>
      </c>
    </row>
    <row r="4948">
      <c r="A4948" s="9" t="s">
        <v>18558</v>
      </c>
      <c r="B4948" s="9" t="s">
        <v>18559</v>
      </c>
      <c r="G4948" s="9" t="s">
        <v>18560</v>
      </c>
      <c r="O4948" s="10">
        <f>IFERROR(__xludf.DUMMYFUNCTION("VALUE(REGEXEXTRACT(A4948, ""\d+""))"),7622.0)</f>
        <v>7622</v>
      </c>
    </row>
    <row r="4949">
      <c r="A4949" s="9" t="s">
        <v>18561</v>
      </c>
      <c r="B4949" s="9" t="s">
        <v>18562</v>
      </c>
      <c r="G4949" s="9" t="s">
        <v>18563</v>
      </c>
      <c r="O4949" s="10">
        <f>IFERROR(__xludf.DUMMYFUNCTION("VALUE(REGEXEXTRACT(A4949, ""\d+""))"),7623.0)</f>
        <v>7623</v>
      </c>
    </row>
    <row r="4950">
      <c r="A4950" s="9" t="s">
        <v>18564</v>
      </c>
      <c r="B4950" s="9" t="s">
        <v>18565</v>
      </c>
      <c r="G4950" s="9" t="s">
        <v>18566</v>
      </c>
      <c r="O4950" s="10">
        <f>IFERROR(__xludf.DUMMYFUNCTION("VALUE(REGEXEXTRACT(A4950, ""\d+""))"),7624.0)</f>
        <v>7624</v>
      </c>
    </row>
    <row r="4951">
      <c r="A4951" s="9" t="s">
        <v>18567</v>
      </c>
      <c r="B4951" s="9" t="s">
        <v>18568</v>
      </c>
      <c r="G4951" s="9" t="s">
        <v>18568</v>
      </c>
      <c r="O4951" s="10">
        <f>IFERROR(__xludf.DUMMYFUNCTION("VALUE(REGEXEXTRACT(A4951, ""\d+""))"),7627.0)</f>
        <v>7627</v>
      </c>
    </row>
    <row r="4952">
      <c r="A4952" s="9" t="s">
        <v>18569</v>
      </c>
      <c r="B4952" s="9" t="s">
        <v>18570</v>
      </c>
      <c r="G4952" s="9" t="s">
        <v>18570</v>
      </c>
      <c r="O4952" s="10">
        <f>IFERROR(__xludf.DUMMYFUNCTION("VALUE(REGEXEXTRACT(A4952, ""\d+""))"),7628.0)</f>
        <v>7628</v>
      </c>
    </row>
    <row r="4953">
      <c r="A4953" s="9" t="s">
        <v>18571</v>
      </c>
      <c r="B4953" s="9" t="s">
        <v>18572</v>
      </c>
      <c r="G4953" s="9" t="s">
        <v>18572</v>
      </c>
      <c r="O4953" s="10">
        <f>IFERROR(__xludf.DUMMYFUNCTION("VALUE(REGEXEXTRACT(A4953, ""\d+""))"),7629.0)</f>
        <v>7629</v>
      </c>
    </row>
    <row r="4954">
      <c r="A4954" s="9" t="s">
        <v>18573</v>
      </c>
      <c r="B4954" s="9" t="s">
        <v>18574</v>
      </c>
      <c r="G4954" s="9" t="s">
        <v>18575</v>
      </c>
      <c r="O4954" s="10">
        <f>IFERROR(__xludf.DUMMYFUNCTION("VALUE(REGEXEXTRACT(A4954, ""\d+""))"),7630.0)</f>
        <v>7630</v>
      </c>
    </row>
    <row r="4955">
      <c r="A4955" s="9" t="s">
        <v>18576</v>
      </c>
      <c r="B4955" s="9" t="s">
        <v>18577</v>
      </c>
      <c r="G4955" s="9" t="s">
        <v>18578</v>
      </c>
      <c r="O4955" s="10">
        <f>IFERROR(__xludf.DUMMYFUNCTION("VALUE(REGEXEXTRACT(A4955, ""\d+""))"),7631.0)</f>
        <v>7631</v>
      </c>
    </row>
    <row r="4956">
      <c r="A4956" s="9" t="s">
        <v>18579</v>
      </c>
      <c r="B4956" s="9" t="s">
        <v>18580</v>
      </c>
      <c r="G4956" s="9" t="s">
        <v>18581</v>
      </c>
      <c r="O4956" s="10">
        <f>IFERROR(__xludf.DUMMYFUNCTION("VALUE(REGEXEXTRACT(A4956, ""\d+""))"),7632.0)</f>
        <v>7632</v>
      </c>
    </row>
    <row r="4957">
      <c r="A4957" s="9" t="s">
        <v>18582</v>
      </c>
      <c r="B4957" s="9" t="s">
        <v>18583</v>
      </c>
      <c r="G4957" s="9" t="s">
        <v>18584</v>
      </c>
      <c r="O4957" s="10">
        <f>IFERROR(__xludf.DUMMYFUNCTION("VALUE(REGEXEXTRACT(A4957, ""\d+""))"),7633.0)</f>
        <v>7633</v>
      </c>
    </row>
    <row r="4958">
      <c r="A4958" s="9" t="s">
        <v>18585</v>
      </c>
      <c r="B4958" s="9" t="s">
        <v>18586</v>
      </c>
      <c r="G4958" s="9" t="s">
        <v>18587</v>
      </c>
      <c r="O4958" s="10">
        <f>IFERROR(__xludf.DUMMYFUNCTION("VALUE(REGEXEXTRACT(A4958, ""\d+""))"),7634.0)</f>
        <v>7634</v>
      </c>
    </row>
    <row r="4959">
      <c r="A4959" s="9" t="s">
        <v>18588</v>
      </c>
      <c r="B4959" s="9" t="s">
        <v>18589</v>
      </c>
      <c r="G4959" s="9" t="s">
        <v>18590</v>
      </c>
      <c r="O4959" s="10">
        <f>IFERROR(__xludf.DUMMYFUNCTION("VALUE(REGEXEXTRACT(A4959, ""\d+""))"),7635.0)</f>
        <v>7635</v>
      </c>
    </row>
    <row r="4960">
      <c r="A4960" s="9" t="s">
        <v>18591</v>
      </c>
      <c r="B4960" s="9" t="s">
        <v>18592</v>
      </c>
      <c r="G4960" s="9" t="s">
        <v>18593</v>
      </c>
      <c r="O4960" s="10">
        <f>IFERROR(__xludf.DUMMYFUNCTION("VALUE(REGEXEXTRACT(A4960, ""\d+""))"),7636.0)</f>
        <v>7636</v>
      </c>
    </row>
    <row r="4961">
      <c r="A4961" s="9" t="s">
        <v>18594</v>
      </c>
      <c r="B4961" s="9" t="s">
        <v>18595</v>
      </c>
      <c r="G4961" s="9" t="s">
        <v>18596</v>
      </c>
      <c r="O4961" s="10">
        <f>IFERROR(__xludf.DUMMYFUNCTION("VALUE(REGEXEXTRACT(A4961, ""\d+""))"),7637.0)</f>
        <v>7637</v>
      </c>
    </row>
    <row r="4962">
      <c r="A4962" s="9" t="s">
        <v>18597</v>
      </c>
      <c r="B4962" s="9" t="s">
        <v>18598</v>
      </c>
      <c r="G4962" s="9" t="s">
        <v>18599</v>
      </c>
      <c r="O4962" s="10">
        <f>IFERROR(__xludf.DUMMYFUNCTION("VALUE(REGEXEXTRACT(A4962, ""\d+""))"),7638.0)</f>
        <v>7638</v>
      </c>
    </row>
    <row r="4963">
      <c r="A4963" s="9" t="s">
        <v>18600</v>
      </c>
      <c r="B4963" s="9" t="s">
        <v>18601</v>
      </c>
      <c r="G4963" s="9" t="s">
        <v>18602</v>
      </c>
      <c r="O4963" s="10">
        <f>IFERROR(__xludf.DUMMYFUNCTION("VALUE(REGEXEXTRACT(A4963, ""\d+""))"),7639.0)</f>
        <v>7639</v>
      </c>
    </row>
    <row r="4964">
      <c r="A4964" s="9" t="s">
        <v>18603</v>
      </c>
      <c r="B4964" s="9" t="s">
        <v>18604</v>
      </c>
      <c r="G4964" s="9" t="s">
        <v>18605</v>
      </c>
      <c r="O4964" s="10">
        <f>IFERROR(__xludf.DUMMYFUNCTION("VALUE(REGEXEXTRACT(A4964, ""\d+""))"),7640.0)</f>
        <v>7640</v>
      </c>
    </row>
    <row r="4965">
      <c r="A4965" s="9" t="s">
        <v>18606</v>
      </c>
      <c r="B4965" s="9" t="s">
        <v>18607</v>
      </c>
      <c r="G4965" s="9" t="s">
        <v>18608</v>
      </c>
      <c r="O4965" s="10">
        <f>IFERROR(__xludf.DUMMYFUNCTION("VALUE(REGEXEXTRACT(A4965, ""\d+""))"),7641.0)</f>
        <v>7641</v>
      </c>
    </row>
    <row r="4966">
      <c r="A4966" s="9" t="s">
        <v>18609</v>
      </c>
      <c r="B4966" s="9" t="s">
        <v>18610</v>
      </c>
      <c r="G4966" s="9" t="s">
        <v>18611</v>
      </c>
      <c r="O4966" s="10">
        <f>IFERROR(__xludf.DUMMYFUNCTION("VALUE(REGEXEXTRACT(A4966, ""\d+""))"),7642.0)</f>
        <v>7642</v>
      </c>
    </row>
    <row r="4967">
      <c r="A4967" s="9" t="s">
        <v>18612</v>
      </c>
      <c r="B4967" s="9" t="s">
        <v>18613</v>
      </c>
      <c r="G4967" s="9" t="s">
        <v>18614</v>
      </c>
      <c r="O4967" s="10">
        <f>IFERROR(__xludf.DUMMYFUNCTION("VALUE(REGEXEXTRACT(A4967, ""\d+""))"),7643.0)</f>
        <v>7643</v>
      </c>
    </row>
    <row r="4968">
      <c r="A4968" s="9" t="s">
        <v>18615</v>
      </c>
      <c r="B4968" s="9" t="s">
        <v>18616</v>
      </c>
      <c r="G4968" s="9" t="s">
        <v>18617</v>
      </c>
      <c r="O4968" s="10">
        <f>IFERROR(__xludf.DUMMYFUNCTION("VALUE(REGEXEXTRACT(A4968, ""\d+""))"),7644.0)</f>
        <v>7644</v>
      </c>
    </row>
    <row r="4969">
      <c r="A4969" s="9" t="s">
        <v>18618</v>
      </c>
      <c r="B4969" s="9" t="s">
        <v>18619</v>
      </c>
      <c r="G4969" s="9" t="s">
        <v>18620</v>
      </c>
      <c r="O4969" s="10">
        <f>IFERROR(__xludf.DUMMYFUNCTION("VALUE(REGEXEXTRACT(A4969, ""\d+""))"),7645.0)</f>
        <v>7645</v>
      </c>
    </row>
    <row r="4970">
      <c r="A4970" s="9" t="s">
        <v>18621</v>
      </c>
      <c r="B4970" s="9" t="s">
        <v>18622</v>
      </c>
      <c r="G4970" s="9" t="s">
        <v>18623</v>
      </c>
      <c r="O4970" s="10">
        <f>IFERROR(__xludf.DUMMYFUNCTION("VALUE(REGEXEXTRACT(A4970, ""\d+""))"),7646.0)</f>
        <v>7646</v>
      </c>
    </row>
    <row r="4971">
      <c r="A4971" s="9" t="s">
        <v>18624</v>
      </c>
      <c r="B4971" s="9" t="s">
        <v>18625</v>
      </c>
      <c r="G4971" s="9" t="s">
        <v>18626</v>
      </c>
      <c r="O4971" s="10">
        <f>IFERROR(__xludf.DUMMYFUNCTION("VALUE(REGEXEXTRACT(A4971, ""\d+""))"),7647.0)</f>
        <v>7647</v>
      </c>
    </row>
    <row r="4972">
      <c r="A4972" s="9" t="s">
        <v>18627</v>
      </c>
      <c r="B4972" s="9" t="s">
        <v>18628</v>
      </c>
      <c r="G4972" s="9" t="s">
        <v>18629</v>
      </c>
      <c r="O4972" s="10">
        <f>IFERROR(__xludf.DUMMYFUNCTION("VALUE(REGEXEXTRACT(A4972, ""\d+""))"),7648.0)</f>
        <v>7648</v>
      </c>
    </row>
    <row r="4973">
      <c r="A4973" s="9" t="s">
        <v>18630</v>
      </c>
      <c r="B4973" s="9" t="s">
        <v>18631</v>
      </c>
      <c r="G4973" s="9" t="s">
        <v>18632</v>
      </c>
      <c r="O4973" s="10">
        <f>IFERROR(__xludf.DUMMYFUNCTION("VALUE(REGEXEXTRACT(A4973, ""\d+""))"),7649.0)</f>
        <v>7649</v>
      </c>
    </row>
    <row r="4974">
      <c r="A4974" s="9" t="s">
        <v>18633</v>
      </c>
      <c r="B4974" s="9" t="s">
        <v>18634</v>
      </c>
      <c r="G4974" s="9" t="s">
        <v>18635</v>
      </c>
      <c r="O4974" s="10">
        <f>IFERROR(__xludf.DUMMYFUNCTION("VALUE(REGEXEXTRACT(A4974, ""\d+""))"),7650.0)</f>
        <v>7650</v>
      </c>
    </row>
    <row r="4975">
      <c r="A4975" s="9" t="s">
        <v>18636</v>
      </c>
      <c r="B4975" s="9" t="s">
        <v>18637</v>
      </c>
      <c r="G4975" s="9" t="s">
        <v>18638</v>
      </c>
      <c r="O4975" s="10">
        <f>IFERROR(__xludf.DUMMYFUNCTION("VALUE(REGEXEXTRACT(A4975, ""\d+""))"),7651.0)</f>
        <v>7651</v>
      </c>
    </row>
    <row r="4976">
      <c r="A4976" s="9" t="s">
        <v>18639</v>
      </c>
      <c r="B4976" s="9" t="s">
        <v>18640</v>
      </c>
      <c r="G4976" s="9" t="s">
        <v>18641</v>
      </c>
      <c r="O4976" s="10">
        <f>IFERROR(__xludf.DUMMYFUNCTION("VALUE(REGEXEXTRACT(A4976, ""\d+""))"),7652.0)</f>
        <v>7652</v>
      </c>
    </row>
    <row r="4977">
      <c r="A4977" s="9" t="s">
        <v>18642</v>
      </c>
      <c r="B4977" s="9" t="s">
        <v>18643</v>
      </c>
      <c r="G4977" s="9" t="s">
        <v>18644</v>
      </c>
      <c r="O4977" s="10">
        <f>IFERROR(__xludf.DUMMYFUNCTION("VALUE(REGEXEXTRACT(A4977, ""\d+""))"),7653.0)</f>
        <v>7653</v>
      </c>
    </row>
    <row r="4978">
      <c r="A4978" s="9" t="s">
        <v>18645</v>
      </c>
      <c r="B4978" s="9" t="s">
        <v>18646</v>
      </c>
      <c r="G4978" s="9" t="s">
        <v>18647</v>
      </c>
      <c r="O4978" s="10">
        <f>IFERROR(__xludf.DUMMYFUNCTION("VALUE(REGEXEXTRACT(A4978, ""\d+""))"),7654.0)</f>
        <v>7654</v>
      </c>
    </row>
    <row r="4979">
      <c r="A4979" s="9" t="s">
        <v>18648</v>
      </c>
      <c r="B4979" s="9" t="s">
        <v>18649</v>
      </c>
      <c r="G4979" s="9" t="s">
        <v>18650</v>
      </c>
      <c r="O4979" s="10">
        <f>IFERROR(__xludf.DUMMYFUNCTION("VALUE(REGEXEXTRACT(A4979, ""\d+""))"),7655.0)</f>
        <v>7655</v>
      </c>
    </row>
    <row r="4980">
      <c r="A4980" s="9" t="s">
        <v>18651</v>
      </c>
      <c r="B4980" s="9" t="s">
        <v>18652</v>
      </c>
      <c r="G4980" s="9" t="s">
        <v>18653</v>
      </c>
      <c r="O4980" s="10">
        <f>IFERROR(__xludf.DUMMYFUNCTION("VALUE(REGEXEXTRACT(A4980, ""\d+""))"),7656.0)</f>
        <v>7656</v>
      </c>
    </row>
    <row r="4981">
      <c r="A4981" s="9" t="s">
        <v>18654</v>
      </c>
      <c r="B4981" s="9" t="s">
        <v>18655</v>
      </c>
      <c r="G4981" s="9" t="s">
        <v>18656</v>
      </c>
      <c r="O4981" s="10">
        <f>IFERROR(__xludf.DUMMYFUNCTION("VALUE(REGEXEXTRACT(A4981, ""\d+""))"),7657.0)</f>
        <v>7657</v>
      </c>
    </row>
    <row r="4982">
      <c r="A4982" s="9" t="s">
        <v>18657</v>
      </c>
      <c r="B4982" s="9" t="s">
        <v>18658</v>
      </c>
      <c r="G4982" s="9" t="s">
        <v>18659</v>
      </c>
      <c r="O4982" s="10">
        <f>IFERROR(__xludf.DUMMYFUNCTION("VALUE(REGEXEXTRACT(A4982, ""\d+""))"),7658.0)</f>
        <v>7658</v>
      </c>
    </row>
    <row r="4983">
      <c r="A4983" s="9" t="s">
        <v>18660</v>
      </c>
      <c r="B4983" s="9" t="s">
        <v>18661</v>
      </c>
      <c r="G4983" s="9" t="s">
        <v>18661</v>
      </c>
      <c r="O4983" s="10">
        <f>IFERROR(__xludf.DUMMYFUNCTION("VALUE(REGEXEXTRACT(A4983, ""\d+""))"),7659.0)</f>
        <v>7659</v>
      </c>
    </row>
    <row r="4984">
      <c r="A4984" s="9" t="s">
        <v>18662</v>
      </c>
      <c r="B4984" s="9" t="s">
        <v>18663</v>
      </c>
      <c r="G4984" s="9" t="s">
        <v>18664</v>
      </c>
      <c r="O4984" s="10">
        <f>IFERROR(__xludf.DUMMYFUNCTION("VALUE(REGEXEXTRACT(A4984, ""\d+""))"),7660.0)</f>
        <v>7660</v>
      </c>
    </row>
    <row r="4985">
      <c r="A4985" s="9" t="s">
        <v>18665</v>
      </c>
      <c r="B4985" s="9" t="s">
        <v>18666</v>
      </c>
      <c r="G4985" s="9" t="s">
        <v>18667</v>
      </c>
      <c r="O4985" s="10">
        <f>IFERROR(__xludf.DUMMYFUNCTION("VALUE(REGEXEXTRACT(A4985, ""\d+""))"),7661.0)</f>
        <v>7661</v>
      </c>
    </row>
    <row r="4986">
      <c r="A4986" s="9" t="s">
        <v>18668</v>
      </c>
      <c r="B4986" s="9" t="s">
        <v>18669</v>
      </c>
      <c r="G4986" s="9" t="s">
        <v>18670</v>
      </c>
      <c r="O4986" s="10">
        <f>IFERROR(__xludf.DUMMYFUNCTION("VALUE(REGEXEXTRACT(A4986, ""\d+""))"),7662.0)</f>
        <v>7662</v>
      </c>
    </row>
    <row r="4987">
      <c r="A4987" s="9" t="s">
        <v>18671</v>
      </c>
      <c r="B4987" s="9" t="s">
        <v>18672</v>
      </c>
      <c r="G4987" s="9" t="s">
        <v>18673</v>
      </c>
      <c r="O4987" s="10">
        <f>IFERROR(__xludf.DUMMYFUNCTION("VALUE(REGEXEXTRACT(A4987, ""\d+""))"),7663.0)</f>
        <v>7663</v>
      </c>
    </row>
    <row r="4988">
      <c r="A4988" s="9" t="s">
        <v>18674</v>
      </c>
      <c r="B4988" s="9" t="s">
        <v>18675</v>
      </c>
      <c r="G4988" s="9" t="s">
        <v>18676</v>
      </c>
      <c r="O4988" s="10">
        <f>IFERROR(__xludf.DUMMYFUNCTION("VALUE(REGEXEXTRACT(A4988, ""\d+""))"),7664.0)</f>
        <v>7664</v>
      </c>
    </row>
    <row r="4989">
      <c r="A4989" s="9" t="s">
        <v>18677</v>
      </c>
      <c r="B4989" s="9" t="s">
        <v>18678</v>
      </c>
      <c r="G4989" s="9" t="s">
        <v>18679</v>
      </c>
      <c r="O4989" s="10">
        <f>IFERROR(__xludf.DUMMYFUNCTION("VALUE(REGEXEXTRACT(A4989, ""\d+""))"),7665.0)</f>
        <v>7665</v>
      </c>
    </row>
    <row r="4990">
      <c r="A4990" s="9" t="s">
        <v>18680</v>
      </c>
      <c r="B4990" s="9" t="s">
        <v>13690</v>
      </c>
      <c r="G4990" s="9" t="s">
        <v>18681</v>
      </c>
      <c r="O4990" s="10">
        <f>IFERROR(__xludf.DUMMYFUNCTION("VALUE(REGEXEXTRACT(A4990, ""\d+""))"),7666.0)</f>
        <v>7666</v>
      </c>
    </row>
    <row r="4991">
      <c r="A4991" s="9" t="s">
        <v>18682</v>
      </c>
      <c r="B4991" s="9" t="s">
        <v>18683</v>
      </c>
      <c r="G4991" s="9" t="s">
        <v>18684</v>
      </c>
      <c r="O4991" s="10">
        <f>IFERROR(__xludf.DUMMYFUNCTION("VALUE(REGEXEXTRACT(A4991, ""\d+""))"),7667.0)</f>
        <v>7667</v>
      </c>
    </row>
    <row r="4992">
      <c r="A4992" s="9" t="s">
        <v>18685</v>
      </c>
      <c r="B4992" s="9" t="s">
        <v>18686</v>
      </c>
      <c r="G4992" s="9" t="s">
        <v>18687</v>
      </c>
      <c r="O4992" s="10">
        <f>IFERROR(__xludf.DUMMYFUNCTION("VALUE(REGEXEXTRACT(A4992, ""\d+""))"),7668.0)</f>
        <v>7668</v>
      </c>
    </row>
    <row r="4993">
      <c r="A4993" s="9" t="s">
        <v>18688</v>
      </c>
      <c r="B4993" s="9" t="s">
        <v>18689</v>
      </c>
      <c r="G4993" s="9" t="s">
        <v>18690</v>
      </c>
      <c r="O4993" s="10">
        <f>IFERROR(__xludf.DUMMYFUNCTION("VALUE(REGEXEXTRACT(A4993, ""\d+""))"),7669.0)</f>
        <v>7669</v>
      </c>
    </row>
    <row r="4994">
      <c r="A4994" s="9" t="s">
        <v>18691</v>
      </c>
      <c r="B4994" s="9" t="s">
        <v>18692</v>
      </c>
      <c r="G4994" s="9" t="s">
        <v>18693</v>
      </c>
      <c r="O4994" s="10">
        <f>IFERROR(__xludf.DUMMYFUNCTION("VALUE(REGEXEXTRACT(A4994, ""\d+""))"),7670.0)</f>
        <v>7670</v>
      </c>
    </row>
    <row r="4995">
      <c r="A4995" s="9" t="s">
        <v>18694</v>
      </c>
      <c r="B4995" s="9" t="s">
        <v>18695</v>
      </c>
      <c r="G4995" s="9" t="s">
        <v>18696</v>
      </c>
      <c r="O4995" s="10">
        <f>IFERROR(__xludf.DUMMYFUNCTION("VALUE(REGEXEXTRACT(A4995, ""\d+""))"),7671.0)</f>
        <v>7671</v>
      </c>
    </row>
    <row r="4996">
      <c r="A4996" s="9" t="s">
        <v>18697</v>
      </c>
      <c r="B4996" s="9" t="s">
        <v>13856</v>
      </c>
      <c r="G4996" s="9" t="s">
        <v>13857</v>
      </c>
      <c r="O4996" s="10">
        <f>IFERROR(__xludf.DUMMYFUNCTION("VALUE(REGEXEXTRACT(A4996, ""\d+""))"),7672.0)</f>
        <v>7672</v>
      </c>
    </row>
    <row r="4997">
      <c r="A4997" s="9" t="s">
        <v>18698</v>
      </c>
      <c r="B4997" s="9" t="s">
        <v>18699</v>
      </c>
      <c r="G4997" s="9" t="s">
        <v>18700</v>
      </c>
      <c r="O4997" s="10">
        <f>IFERROR(__xludf.DUMMYFUNCTION("VALUE(REGEXEXTRACT(A4997, ""\d+""))"),7673.0)</f>
        <v>7673</v>
      </c>
    </row>
    <row r="4998">
      <c r="A4998" s="9" t="s">
        <v>18701</v>
      </c>
      <c r="B4998" s="9" t="s">
        <v>18702</v>
      </c>
      <c r="G4998" s="9" t="s">
        <v>18703</v>
      </c>
      <c r="O4998" s="10">
        <f>IFERROR(__xludf.DUMMYFUNCTION("VALUE(REGEXEXTRACT(A4998, ""\d+""))"),7674.0)</f>
        <v>7674</v>
      </c>
    </row>
    <row r="4999">
      <c r="A4999" s="9" t="s">
        <v>18704</v>
      </c>
      <c r="B4999" s="9" t="s">
        <v>18705</v>
      </c>
      <c r="G4999" s="9" t="s">
        <v>18706</v>
      </c>
      <c r="O4999" s="10">
        <f>IFERROR(__xludf.DUMMYFUNCTION("VALUE(REGEXEXTRACT(A4999, ""\d+""))"),7675.0)</f>
        <v>7675</v>
      </c>
    </row>
    <row r="5000">
      <c r="A5000" s="9" t="s">
        <v>18707</v>
      </c>
      <c r="B5000" s="9" t="s">
        <v>18708</v>
      </c>
      <c r="G5000" s="9" t="s">
        <v>18709</v>
      </c>
      <c r="O5000" s="10">
        <f>IFERROR(__xludf.DUMMYFUNCTION("VALUE(REGEXEXTRACT(A5000, ""\d+""))"),7676.0)</f>
        <v>7676</v>
      </c>
    </row>
    <row r="5001">
      <c r="A5001" s="9" t="s">
        <v>18710</v>
      </c>
      <c r="B5001" s="9" t="s">
        <v>18708</v>
      </c>
      <c r="G5001" s="9" t="s">
        <v>18709</v>
      </c>
      <c r="O5001" s="10">
        <f>IFERROR(__xludf.DUMMYFUNCTION("VALUE(REGEXEXTRACT(A5001, ""\d+""))"),7677.0)</f>
        <v>7677</v>
      </c>
    </row>
    <row r="5002">
      <c r="A5002" s="9" t="s">
        <v>18711</v>
      </c>
      <c r="B5002" s="9" t="s">
        <v>18708</v>
      </c>
      <c r="G5002" s="9" t="s">
        <v>18709</v>
      </c>
      <c r="O5002" s="10">
        <f>IFERROR(__xludf.DUMMYFUNCTION("VALUE(REGEXEXTRACT(A5002, ""\d+""))"),7678.0)</f>
        <v>7678</v>
      </c>
    </row>
    <row r="5003">
      <c r="A5003" s="9" t="s">
        <v>18712</v>
      </c>
      <c r="B5003" s="9" t="s">
        <v>18708</v>
      </c>
      <c r="G5003" s="9" t="s">
        <v>18709</v>
      </c>
      <c r="O5003" s="10">
        <f>IFERROR(__xludf.DUMMYFUNCTION("VALUE(REGEXEXTRACT(A5003, ""\d+""))"),7679.0)</f>
        <v>7679</v>
      </c>
    </row>
    <row r="5004">
      <c r="A5004" s="9" t="s">
        <v>18713</v>
      </c>
      <c r="B5004" s="9" t="s">
        <v>18708</v>
      </c>
      <c r="G5004" s="9" t="s">
        <v>18709</v>
      </c>
      <c r="O5004" s="10">
        <f>IFERROR(__xludf.DUMMYFUNCTION("VALUE(REGEXEXTRACT(A5004, ""\d+""))"),7680.0)</f>
        <v>7680</v>
      </c>
    </row>
    <row r="5005">
      <c r="A5005" s="9" t="s">
        <v>18714</v>
      </c>
      <c r="B5005" s="9" t="s">
        <v>18708</v>
      </c>
      <c r="G5005" s="9" t="s">
        <v>18709</v>
      </c>
      <c r="O5005" s="10">
        <f>IFERROR(__xludf.DUMMYFUNCTION("VALUE(REGEXEXTRACT(A5005, ""\d+""))"),7681.0)</f>
        <v>7681</v>
      </c>
    </row>
    <row r="5006">
      <c r="A5006" s="9" t="s">
        <v>18715</v>
      </c>
      <c r="B5006" s="9" t="s">
        <v>18716</v>
      </c>
      <c r="G5006" s="9" t="s">
        <v>18717</v>
      </c>
      <c r="O5006" s="10">
        <f>IFERROR(__xludf.DUMMYFUNCTION("VALUE(REGEXEXTRACT(A5006, ""\d+""))"),7682.0)</f>
        <v>7682</v>
      </c>
    </row>
    <row r="5007">
      <c r="A5007" s="9" t="s">
        <v>18718</v>
      </c>
      <c r="B5007" s="9" t="s">
        <v>18716</v>
      </c>
      <c r="G5007" s="9" t="s">
        <v>18717</v>
      </c>
      <c r="O5007" s="10">
        <f>IFERROR(__xludf.DUMMYFUNCTION("VALUE(REGEXEXTRACT(A5007, ""\d+""))"),7683.0)</f>
        <v>7683</v>
      </c>
    </row>
    <row r="5008">
      <c r="A5008" s="9" t="s">
        <v>18719</v>
      </c>
      <c r="B5008" s="9" t="s">
        <v>18708</v>
      </c>
      <c r="G5008" s="9" t="s">
        <v>18709</v>
      </c>
      <c r="O5008" s="10">
        <f>IFERROR(__xludf.DUMMYFUNCTION("VALUE(REGEXEXTRACT(A5008, ""\d+""))"),7684.0)</f>
        <v>7684</v>
      </c>
    </row>
    <row r="5009">
      <c r="A5009" s="9" t="s">
        <v>18720</v>
      </c>
      <c r="B5009" s="9" t="s">
        <v>18708</v>
      </c>
      <c r="G5009" s="9" t="s">
        <v>18709</v>
      </c>
      <c r="O5009" s="10">
        <f>IFERROR(__xludf.DUMMYFUNCTION("VALUE(REGEXEXTRACT(A5009, ""\d+""))"),7685.0)</f>
        <v>7685</v>
      </c>
    </row>
    <row r="5010">
      <c r="A5010" s="9" t="s">
        <v>18721</v>
      </c>
      <c r="B5010" s="9" t="s">
        <v>18708</v>
      </c>
      <c r="G5010" s="9" t="s">
        <v>18709</v>
      </c>
      <c r="O5010" s="10">
        <f>IFERROR(__xludf.DUMMYFUNCTION("VALUE(REGEXEXTRACT(A5010, ""\d+""))"),7686.0)</f>
        <v>7686</v>
      </c>
    </row>
    <row r="5011">
      <c r="A5011" s="9" t="s">
        <v>18722</v>
      </c>
      <c r="B5011" s="9" t="s">
        <v>18723</v>
      </c>
      <c r="G5011" s="9" t="s">
        <v>18724</v>
      </c>
      <c r="O5011" s="10">
        <f>IFERROR(__xludf.DUMMYFUNCTION("VALUE(REGEXEXTRACT(A5011, ""\d+""))"),7687.0)</f>
        <v>7687</v>
      </c>
    </row>
    <row r="5012">
      <c r="A5012" s="9" t="s">
        <v>18725</v>
      </c>
      <c r="B5012" s="9" t="s">
        <v>18723</v>
      </c>
      <c r="G5012" s="9" t="s">
        <v>18724</v>
      </c>
      <c r="O5012" s="10">
        <f>IFERROR(__xludf.DUMMYFUNCTION("VALUE(REGEXEXTRACT(A5012, ""\d+""))"),7688.0)</f>
        <v>7688</v>
      </c>
    </row>
    <row r="5013">
      <c r="A5013" s="9" t="s">
        <v>18726</v>
      </c>
      <c r="B5013" s="9" t="s">
        <v>18727</v>
      </c>
      <c r="G5013" s="9" t="s">
        <v>18728</v>
      </c>
      <c r="O5013" s="10">
        <f>IFERROR(__xludf.DUMMYFUNCTION("VALUE(REGEXEXTRACT(A5013, ""\d+""))"),7689.0)</f>
        <v>7689</v>
      </c>
    </row>
    <row r="5014">
      <c r="A5014" s="9" t="s">
        <v>18729</v>
      </c>
      <c r="B5014" s="9" t="s">
        <v>18730</v>
      </c>
      <c r="G5014" s="9" t="s">
        <v>18731</v>
      </c>
      <c r="O5014" s="10">
        <f>IFERROR(__xludf.DUMMYFUNCTION("VALUE(REGEXEXTRACT(A5014, ""\d+""))"),7690.0)</f>
        <v>7690</v>
      </c>
    </row>
    <row r="5015">
      <c r="A5015" s="9" t="s">
        <v>18732</v>
      </c>
      <c r="B5015" s="9" t="s">
        <v>18733</v>
      </c>
      <c r="G5015" s="9" t="s">
        <v>18734</v>
      </c>
      <c r="O5015" s="10">
        <f>IFERROR(__xludf.DUMMYFUNCTION("VALUE(REGEXEXTRACT(A5015, ""\d+""))"),7692.0)</f>
        <v>7692</v>
      </c>
    </row>
    <row r="5016">
      <c r="A5016" s="9" t="s">
        <v>18735</v>
      </c>
      <c r="B5016" s="9" t="s">
        <v>18736</v>
      </c>
      <c r="G5016" s="9" t="s">
        <v>18737</v>
      </c>
      <c r="O5016" s="10">
        <f>IFERROR(__xludf.DUMMYFUNCTION("VALUE(REGEXEXTRACT(A5016, ""\d+""))"),7693.0)</f>
        <v>7693</v>
      </c>
    </row>
    <row r="5017">
      <c r="A5017" s="9" t="s">
        <v>18738</v>
      </c>
      <c r="B5017" s="9" t="s">
        <v>18739</v>
      </c>
      <c r="G5017" s="9" t="s">
        <v>18740</v>
      </c>
      <c r="O5017" s="10">
        <f>IFERROR(__xludf.DUMMYFUNCTION("VALUE(REGEXEXTRACT(A5017, ""\d+""))"),7694.0)</f>
        <v>7694</v>
      </c>
    </row>
    <row r="5018">
      <c r="A5018" s="9" t="s">
        <v>18741</v>
      </c>
      <c r="B5018" s="9" t="s">
        <v>18742</v>
      </c>
      <c r="G5018" s="9" t="s">
        <v>18743</v>
      </c>
      <c r="O5018" s="10">
        <f>IFERROR(__xludf.DUMMYFUNCTION("VALUE(REGEXEXTRACT(A5018, ""\d+""))"),7695.0)</f>
        <v>7695</v>
      </c>
    </row>
    <row r="5019">
      <c r="A5019" s="9" t="s">
        <v>18744</v>
      </c>
      <c r="B5019" s="9" t="s">
        <v>18745</v>
      </c>
      <c r="G5019" s="9" t="s">
        <v>18746</v>
      </c>
      <c r="O5019" s="10">
        <f>IFERROR(__xludf.DUMMYFUNCTION("VALUE(REGEXEXTRACT(A5019, ""\d+""))"),7696.0)</f>
        <v>7696</v>
      </c>
    </row>
    <row r="5020">
      <c r="A5020" s="9" t="s">
        <v>18747</v>
      </c>
      <c r="B5020" s="9" t="s">
        <v>18748</v>
      </c>
      <c r="G5020" s="9" t="s">
        <v>18749</v>
      </c>
      <c r="O5020" s="10">
        <f>IFERROR(__xludf.DUMMYFUNCTION("VALUE(REGEXEXTRACT(A5020, ""\d+""))"),7697.0)</f>
        <v>7697</v>
      </c>
    </row>
    <row r="5021">
      <c r="A5021" s="9" t="s">
        <v>18750</v>
      </c>
      <c r="B5021" s="9" t="s">
        <v>18751</v>
      </c>
      <c r="G5021" s="9" t="s">
        <v>18752</v>
      </c>
      <c r="O5021" s="10">
        <f>IFERROR(__xludf.DUMMYFUNCTION("VALUE(REGEXEXTRACT(A5021, ""\d+""))"),7698.0)</f>
        <v>7698</v>
      </c>
    </row>
    <row r="5022">
      <c r="A5022" s="9" t="s">
        <v>18753</v>
      </c>
      <c r="B5022" s="9" t="s">
        <v>18754</v>
      </c>
      <c r="G5022" s="9" t="s">
        <v>18755</v>
      </c>
      <c r="O5022" s="10">
        <f>IFERROR(__xludf.DUMMYFUNCTION("VALUE(REGEXEXTRACT(A5022, ""\d+""))"),7699.0)</f>
        <v>7699</v>
      </c>
    </row>
    <row r="5023">
      <c r="A5023" s="9" t="s">
        <v>18756</v>
      </c>
      <c r="B5023" s="9" t="s">
        <v>18757</v>
      </c>
      <c r="G5023" s="9" t="s">
        <v>18758</v>
      </c>
      <c r="O5023" s="10">
        <f>IFERROR(__xludf.DUMMYFUNCTION("VALUE(REGEXEXTRACT(A5023, ""\d+""))"),7700.0)</f>
        <v>7700</v>
      </c>
    </row>
    <row r="5024">
      <c r="A5024" s="9" t="s">
        <v>18759</v>
      </c>
      <c r="B5024" s="9" t="s">
        <v>18760</v>
      </c>
      <c r="G5024" s="9" t="s">
        <v>18761</v>
      </c>
      <c r="O5024" s="10">
        <f>IFERROR(__xludf.DUMMYFUNCTION("VALUE(REGEXEXTRACT(A5024, ""\d+""))"),7701.0)</f>
        <v>7701</v>
      </c>
    </row>
    <row r="5025">
      <c r="A5025" s="9" t="s">
        <v>18762</v>
      </c>
      <c r="B5025" s="9" t="s">
        <v>18763</v>
      </c>
      <c r="G5025" s="9" t="s">
        <v>18764</v>
      </c>
      <c r="O5025" s="10">
        <f>IFERROR(__xludf.DUMMYFUNCTION("VALUE(REGEXEXTRACT(A5025, ""\d+""))"),7702.0)</f>
        <v>7702</v>
      </c>
    </row>
    <row r="5026">
      <c r="A5026" s="9" t="s">
        <v>18765</v>
      </c>
      <c r="B5026" s="9" t="s">
        <v>18766</v>
      </c>
      <c r="G5026" s="9" t="s">
        <v>18767</v>
      </c>
      <c r="O5026" s="10">
        <f>IFERROR(__xludf.DUMMYFUNCTION("VALUE(REGEXEXTRACT(A5026, ""\d+""))"),7703.0)</f>
        <v>7703</v>
      </c>
    </row>
    <row r="5027">
      <c r="A5027" s="9" t="s">
        <v>18768</v>
      </c>
      <c r="B5027" s="9" t="s">
        <v>18769</v>
      </c>
      <c r="G5027" s="9" t="s">
        <v>18770</v>
      </c>
      <c r="O5027" s="10">
        <f>IFERROR(__xludf.DUMMYFUNCTION("VALUE(REGEXEXTRACT(A5027, ""\d+""))"),7704.0)</f>
        <v>7704</v>
      </c>
    </row>
    <row r="5028">
      <c r="A5028" s="9" t="s">
        <v>18771</v>
      </c>
      <c r="B5028" s="9" t="s">
        <v>18772</v>
      </c>
      <c r="G5028" s="9" t="s">
        <v>18773</v>
      </c>
      <c r="O5028" s="10">
        <f>IFERROR(__xludf.DUMMYFUNCTION("VALUE(REGEXEXTRACT(A5028, ""\d+""))"),7705.0)</f>
        <v>7705</v>
      </c>
    </row>
    <row r="5029">
      <c r="A5029" s="9" t="s">
        <v>18774</v>
      </c>
      <c r="B5029" s="9" t="s">
        <v>18775</v>
      </c>
      <c r="G5029" s="9" t="s">
        <v>18776</v>
      </c>
      <c r="O5029" s="10">
        <f>IFERROR(__xludf.DUMMYFUNCTION("VALUE(REGEXEXTRACT(A5029, ""\d+""))"),7706.0)</f>
        <v>7706</v>
      </c>
    </row>
    <row r="5030">
      <c r="A5030" s="9" t="s">
        <v>18777</v>
      </c>
      <c r="B5030" s="9" t="s">
        <v>18778</v>
      </c>
      <c r="G5030" s="9" t="s">
        <v>18779</v>
      </c>
      <c r="O5030" s="10">
        <f>IFERROR(__xludf.DUMMYFUNCTION("VALUE(REGEXEXTRACT(A5030, ""\d+""))"),7707.0)</f>
        <v>7707</v>
      </c>
    </row>
    <row r="5031">
      <c r="A5031" s="9" t="s">
        <v>18780</v>
      </c>
      <c r="B5031" s="9" t="s">
        <v>18781</v>
      </c>
      <c r="G5031" s="9" t="s">
        <v>18782</v>
      </c>
      <c r="O5031" s="10">
        <f>IFERROR(__xludf.DUMMYFUNCTION("VALUE(REGEXEXTRACT(A5031, ""\d+""))"),7708.0)</f>
        <v>7708</v>
      </c>
    </row>
    <row r="5032">
      <c r="A5032" s="9" t="s">
        <v>18783</v>
      </c>
      <c r="B5032" s="9" t="s">
        <v>18784</v>
      </c>
      <c r="G5032" s="9" t="s">
        <v>18785</v>
      </c>
      <c r="O5032" s="10">
        <f>IFERROR(__xludf.DUMMYFUNCTION("VALUE(REGEXEXTRACT(A5032, ""\d+""))"),7709.0)</f>
        <v>7709</v>
      </c>
    </row>
    <row r="5033">
      <c r="A5033" s="9" t="s">
        <v>18786</v>
      </c>
      <c r="B5033" s="9" t="s">
        <v>18787</v>
      </c>
      <c r="G5033" s="9" t="s">
        <v>18788</v>
      </c>
      <c r="O5033" s="10">
        <f>IFERROR(__xludf.DUMMYFUNCTION("VALUE(REGEXEXTRACT(A5033, ""\d+""))"),7710.0)</f>
        <v>7710</v>
      </c>
    </row>
    <row r="5034">
      <c r="A5034" s="9" t="s">
        <v>18789</v>
      </c>
      <c r="B5034" s="9" t="s">
        <v>18790</v>
      </c>
      <c r="G5034" s="9" t="s">
        <v>18791</v>
      </c>
      <c r="O5034" s="10">
        <f>IFERROR(__xludf.DUMMYFUNCTION("VALUE(REGEXEXTRACT(A5034, ""\d+""))"),7711.0)</f>
        <v>7711</v>
      </c>
    </row>
    <row r="5035">
      <c r="A5035" s="9" t="s">
        <v>18792</v>
      </c>
      <c r="B5035" s="9" t="s">
        <v>18793</v>
      </c>
      <c r="G5035" s="9" t="s">
        <v>18794</v>
      </c>
      <c r="O5035" s="10">
        <f>IFERROR(__xludf.DUMMYFUNCTION("VALUE(REGEXEXTRACT(A5035, ""\d+""))"),7712.0)</f>
        <v>7712</v>
      </c>
    </row>
    <row r="5036">
      <c r="A5036" s="9" t="s">
        <v>18795</v>
      </c>
      <c r="B5036" s="9" t="s">
        <v>18796</v>
      </c>
      <c r="G5036" s="9" t="s">
        <v>18797</v>
      </c>
      <c r="O5036" s="10">
        <f>IFERROR(__xludf.DUMMYFUNCTION("VALUE(REGEXEXTRACT(A5036, ""\d+""))"),7713.0)</f>
        <v>7713</v>
      </c>
    </row>
    <row r="5037">
      <c r="A5037" s="9" t="s">
        <v>18798</v>
      </c>
      <c r="B5037" s="9" t="s">
        <v>18799</v>
      </c>
      <c r="G5037" s="9" t="s">
        <v>18800</v>
      </c>
      <c r="O5037" s="10">
        <f>IFERROR(__xludf.DUMMYFUNCTION("VALUE(REGEXEXTRACT(A5037, ""\d+""))"),7714.0)</f>
        <v>7714</v>
      </c>
    </row>
    <row r="5038">
      <c r="A5038" s="9" t="s">
        <v>18801</v>
      </c>
      <c r="B5038" s="9" t="s">
        <v>18802</v>
      </c>
      <c r="G5038" s="9" t="s">
        <v>18803</v>
      </c>
      <c r="O5038" s="10">
        <f>IFERROR(__xludf.DUMMYFUNCTION("VALUE(REGEXEXTRACT(A5038, ""\d+""))"),7715.0)</f>
        <v>7715</v>
      </c>
    </row>
    <row r="5039">
      <c r="A5039" s="9" t="s">
        <v>18804</v>
      </c>
      <c r="B5039" s="9" t="s">
        <v>18805</v>
      </c>
      <c r="G5039" s="9" t="s">
        <v>18806</v>
      </c>
      <c r="O5039" s="10">
        <f>IFERROR(__xludf.DUMMYFUNCTION("VALUE(REGEXEXTRACT(A5039, ""\d+""))"),7716.0)</f>
        <v>7716</v>
      </c>
    </row>
    <row r="5040">
      <c r="A5040" s="9" t="s">
        <v>18807</v>
      </c>
      <c r="B5040" s="9" t="s">
        <v>18808</v>
      </c>
      <c r="G5040" s="9" t="s">
        <v>18809</v>
      </c>
      <c r="O5040" s="10">
        <f>IFERROR(__xludf.DUMMYFUNCTION("VALUE(REGEXEXTRACT(A5040, ""\d+""))"),7717.0)</f>
        <v>7717</v>
      </c>
    </row>
    <row r="5041">
      <c r="A5041" s="9" t="s">
        <v>18810</v>
      </c>
      <c r="B5041" s="9" t="s">
        <v>18811</v>
      </c>
      <c r="G5041" s="9" t="s">
        <v>18812</v>
      </c>
      <c r="O5041" s="10">
        <f>IFERROR(__xludf.DUMMYFUNCTION("VALUE(REGEXEXTRACT(A5041, ""\d+""))"),7718.0)</f>
        <v>7718</v>
      </c>
    </row>
    <row r="5042">
      <c r="A5042" s="9" t="s">
        <v>18813</v>
      </c>
      <c r="B5042" s="9" t="s">
        <v>18814</v>
      </c>
      <c r="G5042" s="9" t="s">
        <v>18815</v>
      </c>
      <c r="O5042" s="10">
        <f>IFERROR(__xludf.DUMMYFUNCTION("VALUE(REGEXEXTRACT(A5042, ""\d+""))"),7719.0)</f>
        <v>7719</v>
      </c>
    </row>
    <row r="5043">
      <c r="A5043" s="9" t="s">
        <v>18816</v>
      </c>
      <c r="B5043" s="9" t="s">
        <v>18817</v>
      </c>
      <c r="G5043" s="9" t="s">
        <v>18818</v>
      </c>
      <c r="O5043" s="10">
        <f>IFERROR(__xludf.DUMMYFUNCTION("VALUE(REGEXEXTRACT(A5043, ""\d+""))"),7720.0)</f>
        <v>7720</v>
      </c>
    </row>
    <row r="5044">
      <c r="A5044" s="9" t="s">
        <v>18819</v>
      </c>
      <c r="B5044" s="9" t="s">
        <v>18820</v>
      </c>
      <c r="G5044" s="9" t="s">
        <v>18821</v>
      </c>
      <c r="O5044" s="10">
        <f>IFERROR(__xludf.DUMMYFUNCTION("VALUE(REGEXEXTRACT(A5044, ""\d+""))"),7721.0)</f>
        <v>7721</v>
      </c>
    </row>
    <row r="5045">
      <c r="A5045" s="9" t="s">
        <v>18822</v>
      </c>
      <c r="B5045" s="9" t="s">
        <v>18823</v>
      </c>
      <c r="G5045" s="9" t="s">
        <v>18824</v>
      </c>
      <c r="O5045" s="10">
        <f>IFERROR(__xludf.DUMMYFUNCTION("VALUE(REGEXEXTRACT(A5045, ""\d+""))"),7722.0)</f>
        <v>7722</v>
      </c>
    </row>
    <row r="5046">
      <c r="A5046" s="9" t="s">
        <v>18825</v>
      </c>
      <c r="B5046" s="9" t="s">
        <v>18826</v>
      </c>
      <c r="G5046" s="9" t="s">
        <v>18827</v>
      </c>
      <c r="O5046" s="10">
        <f>IFERROR(__xludf.DUMMYFUNCTION("VALUE(REGEXEXTRACT(A5046, ""\d+""))"),7723.0)</f>
        <v>7723</v>
      </c>
    </row>
    <row r="5047">
      <c r="A5047" s="9" t="s">
        <v>18828</v>
      </c>
      <c r="B5047" s="9" t="s">
        <v>18829</v>
      </c>
      <c r="G5047" s="9" t="s">
        <v>18830</v>
      </c>
      <c r="O5047" s="10">
        <f>IFERROR(__xludf.DUMMYFUNCTION("VALUE(REGEXEXTRACT(A5047, ""\d+""))"),7724.0)</f>
        <v>7724</v>
      </c>
    </row>
    <row r="5048">
      <c r="A5048" s="9" t="s">
        <v>18831</v>
      </c>
      <c r="B5048" s="9" t="s">
        <v>18832</v>
      </c>
      <c r="G5048" s="9" t="s">
        <v>18833</v>
      </c>
      <c r="O5048" s="10">
        <f>IFERROR(__xludf.DUMMYFUNCTION("VALUE(REGEXEXTRACT(A5048, ""\d+""))"),7725.0)</f>
        <v>7725</v>
      </c>
    </row>
    <row r="5049">
      <c r="A5049" s="9" t="s">
        <v>18834</v>
      </c>
      <c r="B5049" s="9" t="s">
        <v>18835</v>
      </c>
      <c r="G5049" s="9" t="s">
        <v>18836</v>
      </c>
      <c r="O5049" s="10">
        <f>IFERROR(__xludf.DUMMYFUNCTION("VALUE(REGEXEXTRACT(A5049, ""\d+""))"),7726.0)</f>
        <v>7726</v>
      </c>
    </row>
    <row r="5050">
      <c r="A5050" s="9" t="s">
        <v>18837</v>
      </c>
      <c r="B5050" s="9" t="s">
        <v>18838</v>
      </c>
      <c r="G5050" s="9" t="s">
        <v>18839</v>
      </c>
      <c r="O5050" s="10">
        <f>IFERROR(__xludf.DUMMYFUNCTION("VALUE(REGEXEXTRACT(A5050, ""\d+""))"),7727.0)</f>
        <v>7727</v>
      </c>
    </row>
    <row r="5051">
      <c r="A5051" s="9" t="s">
        <v>18840</v>
      </c>
      <c r="B5051" s="9" t="s">
        <v>18841</v>
      </c>
      <c r="G5051" s="9" t="s">
        <v>18842</v>
      </c>
      <c r="O5051" s="10">
        <f>IFERROR(__xludf.DUMMYFUNCTION("VALUE(REGEXEXTRACT(A5051, ""\d+""))"),7728.0)</f>
        <v>7728</v>
      </c>
    </row>
    <row r="5052">
      <c r="A5052" s="9" t="s">
        <v>18843</v>
      </c>
      <c r="B5052" s="9" t="s">
        <v>18844</v>
      </c>
      <c r="G5052" s="9" t="s">
        <v>18845</v>
      </c>
      <c r="O5052" s="10">
        <f>IFERROR(__xludf.DUMMYFUNCTION("VALUE(REGEXEXTRACT(A5052, ""\d+""))"),7731.0)</f>
        <v>7731</v>
      </c>
    </row>
    <row r="5053">
      <c r="A5053" s="9" t="s">
        <v>18846</v>
      </c>
      <c r="B5053" s="9" t="s">
        <v>18847</v>
      </c>
      <c r="G5053" s="9" t="s">
        <v>18848</v>
      </c>
      <c r="O5053" s="10">
        <f>IFERROR(__xludf.DUMMYFUNCTION("VALUE(REGEXEXTRACT(A5053, ""\d+""))"),7732.0)</f>
        <v>7732</v>
      </c>
    </row>
    <row r="5054">
      <c r="A5054" s="9" t="s">
        <v>18849</v>
      </c>
      <c r="B5054" s="9" t="s">
        <v>18850</v>
      </c>
      <c r="G5054" s="9" t="s">
        <v>18851</v>
      </c>
      <c r="O5054" s="10">
        <f>IFERROR(__xludf.DUMMYFUNCTION("VALUE(REGEXEXTRACT(A5054, ""\d+""))"),7733.0)</f>
        <v>7733</v>
      </c>
    </row>
    <row r="5055">
      <c r="A5055" s="9" t="s">
        <v>18852</v>
      </c>
      <c r="B5055" s="9" t="s">
        <v>18853</v>
      </c>
      <c r="G5055" s="9" t="s">
        <v>18854</v>
      </c>
      <c r="O5055" s="10">
        <f>IFERROR(__xludf.DUMMYFUNCTION("VALUE(REGEXEXTRACT(A5055, ""\d+""))"),7735.0)</f>
        <v>7735</v>
      </c>
    </row>
    <row r="5056">
      <c r="A5056" s="9" t="s">
        <v>18855</v>
      </c>
      <c r="B5056" s="9" t="s">
        <v>18856</v>
      </c>
      <c r="G5056" s="9" t="s">
        <v>18857</v>
      </c>
      <c r="O5056" s="10">
        <f>IFERROR(__xludf.DUMMYFUNCTION("VALUE(REGEXEXTRACT(A5056, ""\d+""))"),7736.0)</f>
        <v>7736</v>
      </c>
    </row>
    <row r="5057">
      <c r="A5057" s="9" t="s">
        <v>18858</v>
      </c>
      <c r="B5057" s="9" t="s">
        <v>18859</v>
      </c>
      <c r="G5057" s="9" t="s">
        <v>18860</v>
      </c>
      <c r="O5057" s="10">
        <f>IFERROR(__xludf.DUMMYFUNCTION("VALUE(REGEXEXTRACT(A5057, ""\d+""))"),7737.0)</f>
        <v>7737</v>
      </c>
    </row>
    <row r="5058">
      <c r="A5058" s="9" t="s">
        <v>18861</v>
      </c>
      <c r="B5058" s="9" t="s">
        <v>18862</v>
      </c>
      <c r="G5058" s="9" t="s">
        <v>18863</v>
      </c>
      <c r="O5058" s="10">
        <f>IFERROR(__xludf.DUMMYFUNCTION("VALUE(REGEXEXTRACT(A5058, ""\d+""))"),7738.0)</f>
        <v>7738</v>
      </c>
    </row>
    <row r="5059">
      <c r="A5059" s="9" t="s">
        <v>18864</v>
      </c>
      <c r="B5059" s="9" t="s">
        <v>18865</v>
      </c>
      <c r="G5059" s="9" t="s">
        <v>18866</v>
      </c>
      <c r="O5059" s="10">
        <f>IFERROR(__xludf.DUMMYFUNCTION("VALUE(REGEXEXTRACT(A5059, ""\d+""))"),7739.0)</f>
        <v>7739</v>
      </c>
    </row>
    <row r="5060">
      <c r="A5060" s="9" t="s">
        <v>18867</v>
      </c>
      <c r="B5060" s="9" t="s">
        <v>18868</v>
      </c>
      <c r="G5060" s="9" t="s">
        <v>18869</v>
      </c>
      <c r="O5060" s="10">
        <f>IFERROR(__xludf.DUMMYFUNCTION("VALUE(REGEXEXTRACT(A5060, ""\d+""))"),7740.0)</f>
        <v>7740</v>
      </c>
    </row>
    <row r="5061">
      <c r="A5061" s="9" t="s">
        <v>18870</v>
      </c>
      <c r="B5061" s="9" t="s">
        <v>18871</v>
      </c>
      <c r="G5061" s="9" t="s">
        <v>18872</v>
      </c>
      <c r="O5061" s="10">
        <f>IFERROR(__xludf.DUMMYFUNCTION("VALUE(REGEXEXTRACT(A5061, ""\d+""))"),7741.0)</f>
        <v>7741</v>
      </c>
    </row>
    <row r="5062">
      <c r="A5062" s="9" t="s">
        <v>18873</v>
      </c>
      <c r="B5062" s="9" t="s">
        <v>18874</v>
      </c>
      <c r="G5062" s="9" t="s">
        <v>18875</v>
      </c>
      <c r="O5062" s="10">
        <f>IFERROR(__xludf.DUMMYFUNCTION("VALUE(REGEXEXTRACT(A5062, ""\d+""))"),7742.0)</f>
        <v>7742</v>
      </c>
    </row>
    <row r="5063">
      <c r="A5063" s="9" t="s">
        <v>18876</v>
      </c>
      <c r="B5063" s="9" t="s">
        <v>18877</v>
      </c>
      <c r="G5063" s="9" t="s">
        <v>18878</v>
      </c>
      <c r="O5063" s="10">
        <f>IFERROR(__xludf.DUMMYFUNCTION("VALUE(REGEXEXTRACT(A5063, ""\d+""))"),7743.0)</f>
        <v>7743</v>
      </c>
    </row>
    <row r="5064">
      <c r="A5064" s="9" t="s">
        <v>18879</v>
      </c>
      <c r="B5064" s="9" t="s">
        <v>18880</v>
      </c>
      <c r="G5064" s="9" t="s">
        <v>18881</v>
      </c>
      <c r="O5064" s="10">
        <f>IFERROR(__xludf.DUMMYFUNCTION("VALUE(REGEXEXTRACT(A5064, ""\d+""))"),7744.0)</f>
        <v>7744</v>
      </c>
    </row>
    <row r="5065">
      <c r="A5065" s="9" t="s">
        <v>18882</v>
      </c>
      <c r="B5065" s="9" t="s">
        <v>18883</v>
      </c>
      <c r="G5065" s="9" t="s">
        <v>18884</v>
      </c>
      <c r="O5065" s="10">
        <f>IFERROR(__xludf.DUMMYFUNCTION("VALUE(REGEXEXTRACT(A5065, ""\d+""))"),7745.0)</f>
        <v>7745</v>
      </c>
    </row>
    <row r="5066">
      <c r="A5066" s="9" t="s">
        <v>18885</v>
      </c>
      <c r="B5066" s="9" t="s">
        <v>18886</v>
      </c>
      <c r="G5066" s="9" t="s">
        <v>18887</v>
      </c>
      <c r="O5066" s="10">
        <f>IFERROR(__xludf.DUMMYFUNCTION("VALUE(REGEXEXTRACT(A5066, ""\d+""))"),7746.0)</f>
        <v>7746</v>
      </c>
    </row>
    <row r="5067">
      <c r="A5067" s="9" t="s">
        <v>18888</v>
      </c>
      <c r="B5067" s="9" t="s">
        <v>18889</v>
      </c>
      <c r="G5067" s="9" t="s">
        <v>18890</v>
      </c>
      <c r="O5067" s="10">
        <f>IFERROR(__xludf.DUMMYFUNCTION("VALUE(REGEXEXTRACT(A5067, ""\d+""))"),7747.0)</f>
        <v>7747</v>
      </c>
    </row>
    <row r="5068">
      <c r="A5068" s="9" t="s">
        <v>18891</v>
      </c>
      <c r="B5068" s="9" t="s">
        <v>18892</v>
      </c>
      <c r="G5068" s="9" t="s">
        <v>18893</v>
      </c>
      <c r="O5068" s="10">
        <f>IFERROR(__xludf.DUMMYFUNCTION("VALUE(REGEXEXTRACT(A5068, ""\d+""))"),7748.0)</f>
        <v>7748</v>
      </c>
    </row>
    <row r="5069">
      <c r="A5069" s="9" t="s">
        <v>18894</v>
      </c>
      <c r="B5069" s="9" t="s">
        <v>18895</v>
      </c>
      <c r="G5069" s="9" t="s">
        <v>18896</v>
      </c>
      <c r="O5069" s="10">
        <f>IFERROR(__xludf.DUMMYFUNCTION("VALUE(REGEXEXTRACT(A5069, ""\d+""))"),7749.0)</f>
        <v>7749</v>
      </c>
    </row>
    <row r="5070">
      <c r="A5070" s="9" t="s">
        <v>18897</v>
      </c>
      <c r="B5070" s="9" t="s">
        <v>18898</v>
      </c>
      <c r="G5070" s="9" t="s">
        <v>18899</v>
      </c>
      <c r="O5070" s="10">
        <f>IFERROR(__xludf.DUMMYFUNCTION("VALUE(REGEXEXTRACT(A5070, ""\d+""))"),7750.0)</f>
        <v>7750</v>
      </c>
    </row>
    <row r="5071">
      <c r="A5071" s="9" t="s">
        <v>18900</v>
      </c>
      <c r="B5071" s="9" t="s">
        <v>18901</v>
      </c>
      <c r="G5071" s="9" t="s">
        <v>18902</v>
      </c>
      <c r="O5071" s="10">
        <f>IFERROR(__xludf.DUMMYFUNCTION("VALUE(REGEXEXTRACT(A5071, ""\d+""))"),7751.0)</f>
        <v>7751</v>
      </c>
    </row>
    <row r="5072">
      <c r="A5072" s="9" t="s">
        <v>18903</v>
      </c>
      <c r="B5072" s="9" t="s">
        <v>18904</v>
      </c>
      <c r="G5072" s="9" t="s">
        <v>18905</v>
      </c>
      <c r="O5072" s="10">
        <f>IFERROR(__xludf.DUMMYFUNCTION("VALUE(REGEXEXTRACT(A5072, ""\d+""))"),7752.0)</f>
        <v>7752</v>
      </c>
    </row>
    <row r="5073">
      <c r="A5073" s="9" t="s">
        <v>18906</v>
      </c>
      <c r="B5073" s="9" t="s">
        <v>18907</v>
      </c>
      <c r="G5073" s="9" t="s">
        <v>18908</v>
      </c>
      <c r="O5073" s="10">
        <f>IFERROR(__xludf.DUMMYFUNCTION("VALUE(REGEXEXTRACT(A5073, ""\d+""))"),7753.0)</f>
        <v>7753</v>
      </c>
    </row>
    <row r="5074">
      <c r="A5074" s="9" t="s">
        <v>18909</v>
      </c>
      <c r="B5074" s="9" t="s">
        <v>18910</v>
      </c>
      <c r="G5074" s="9" t="s">
        <v>18911</v>
      </c>
      <c r="O5074" s="10">
        <f>IFERROR(__xludf.DUMMYFUNCTION("VALUE(REGEXEXTRACT(A5074, ""\d+""))"),7754.0)</f>
        <v>7754</v>
      </c>
    </row>
    <row r="5075">
      <c r="A5075" s="9" t="s">
        <v>18912</v>
      </c>
      <c r="B5075" s="9" t="s">
        <v>18913</v>
      </c>
      <c r="G5075" s="9" t="s">
        <v>18914</v>
      </c>
      <c r="O5075" s="10">
        <f>IFERROR(__xludf.DUMMYFUNCTION("VALUE(REGEXEXTRACT(A5075, ""\d+""))"),7755.0)</f>
        <v>7755</v>
      </c>
    </row>
    <row r="5076">
      <c r="A5076" s="9" t="s">
        <v>18915</v>
      </c>
      <c r="B5076" s="9" t="s">
        <v>18916</v>
      </c>
      <c r="G5076" s="9" t="s">
        <v>18917</v>
      </c>
      <c r="O5076" s="10">
        <f>IFERROR(__xludf.DUMMYFUNCTION("VALUE(REGEXEXTRACT(A5076, ""\d+""))"),7756.0)</f>
        <v>7756</v>
      </c>
    </row>
    <row r="5077">
      <c r="A5077" s="9" t="s">
        <v>18918</v>
      </c>
      <c r="B5077" s="9" t="s">
        <v>18919</v>
      </c>
      <c r="G5077" s="9" t="s">
        <v>18920</v>
      </c>
      <c r="O5077" s="10">
        <f>IFERROR(__xludf.DUMMYFUNCTION("VALUE(REGEXEXTRACT(A5077, ""\d+""))"),7760.0)</f>
        <v>7760</v>
      </c>
    </row>
    <row r="5078">
      <c r="A5078" s="9" t="s">
        <v>18921</v>
      </c>
      <c r="B5078" s="9" t="s">
        <v>18922</v>
      </c>
      <c r="G5078" s="9" t="s">
        <v>18923</v>
      </c>
      <c r="O5078" s="10">
        <f>IFERROR(__xludf.DUMMYFUNCTION("VALUE(REGEXEXTRACT(A5078, ""\d+""))"),7761.0)</f>
        <v>7761</v>
      </c>
    </row>
    <row r="5079">
      <c r="A5079" s="9" t="s">
        <v>18924</v>
      </c>
      <c r="B5079" s="9" t="s">
        <v>18925</v>
      </c>
      <c r="G5079" s="9" t="s">
        <v>18926</v>
      </c>
      <c r="O5079" s="10">
        <f>IFERROR(__xludf.DUMMYFUNCTION("VALUE(REGEXEXTRACT(A5079, ""\d+""))"),7762.0)</f>
        <v>7762</v>
      </c>
    </row>
    <row r="5080">
      <c r="A5080" s="9" t="s">
        <v>18927</v>
      </c>
      <c r="B5080" s="9" t="s">
        <v>18928</v>
      </c>
      <c r="G5080" s="9" t="s">
        <v>18929</v>
      </c>
      <c r="O5080" s="10">
        <f>IFERROR(__xludf.DUMMYFUNCTION("VALUE(REGEXEXTRACT(A5080, ""\d+""))"),7763.0)</f>
        <v>7763</v>
      </c>
    </row>
    <row r="5081">
      <c r="A5081" s="9" t="s">
        <v>18930</v>
      </c>
      <c r="B5081" s="9" t="s">
        <v>18931</v>
      </c>
      <c r="G5081" s="9" t="s">
        <v>18932</v>
      </c>
      <c r="O5081" s="10">
        <f>IFERROR(__xludf.DUMMYFUNCTION("VALUE(REGEXEXTRACT(A5081, ""\d+""))"),7764.0)</f>
        <v>7764</v>
      </c>
    </row>
    <row r="5082">
      <c r="A5082" s="9" t="s">
        <v>18933</v>
      </c>
      <c r="B5082" s="9" t="s">
        <v>16659</v>
      </c>
      <c r="G5082" s="9" t="s">
        <v>16660</v>
      </c>
      <c r="O5082" s="10">
        <f>IFERROR(__xludf.DUMMYFUNCTION("VALUE(REGEXEXTRACT(A5082, ""\d+""))"),7765.0)</f>
        <v>7765</v>
      </c>
    </row>
    <row r="5083">
      <c r="A5083" s="9" t="s">
        <v>18934</v>
      </c>
      <c r="B5083" s="9" t="s">
        <v>18935</v>
      </c>
      <c r="G5083" s="9" t="s">
        <v>18936</v>
      </c>
      <c r="O5083" s="10">
        <f>IFERROR(__xludf.DUMMYFUNCTION("VALUE(REGEXEXTRACT(A5083, ""\d+""))"),7766.0)</f>
        <v>7766</v>
      </c>
    </row>
    <row r="5084">
      <c r="A5084" s="9" t="s">
        <v>18937</v>
      </c>
      <c r="B5084" s="9" t="s">
        <v>18938</v>
      </c>
      <c r="G5084" s="9" t="s">
        <v>18939</v>
      </c>
      <c r="O5084" s="10">
        <f>IFERROR(__xludf.DUMMYFUNCTION("VALUE(REGEXEXTRACT(A5084, ""\d+""))"),7767.0)</f>
        <v>7767</v>
      </c>
    </row>
    <row r="5085">
      <c r="A5085" s="9" t="s">
        <v>18940</v>
      </c>
      <c r="B5085" s="9" t="s">
        <v>18941</v>
      </c>
      <c r="G5085" s="9" t="s">
        <v>18942</v>
      </c>
      <c r="O5085" s="10">
        <f>IFERROR(__xludf.DUMMYFUNCTION("VALUE(REGEXEXTRACT(A5085, ""\d+""))"),7769.0)</f>
        <v>7769</v>
      </c>
    </row>
    <row r="5086">
      <c r="A5086" s="9" t="s">
        <v>18943</v>
      </c>
      <c r="B5086" s="9" t="s">
        <v>18944</v>
      </c>
      <c r="G5086" s="9" t="s">
        <v>18945</v>
      </c>
      <c r="O5086" s="10">
        <f>IFERROR(__xludf.DUMMYFUNCTION("VALUE(REGEXEXTRACT(A5086, ""\d+""))"),7770.0)</f>
        <v>7770</v>
      </c>
    </row>
    <row r="5087">
      <c r="A5087" s="9" t="s">
        <v>18946</v>
      </c>
      <c r="B5087" s="9" t="s">
        <v>18947</v>
      </c>
      <c r="G5087" s="9" t="s">
        <v>18948</v>
      </c>
      <c r="O5087" s="10">
        <f>IFERROR(__xludf.DUMMYFUNCTION("VALUE(REGEXEXTRACT(A5087, ""\d+""))"),7771.0)</f>
        <v>7771</v>
      </c>
    </row>
    <row r="5088">
      <c r="A5088" s="9" t="s">
        <v>18949</v>
      </c>
      <c r="B5088" s="9" t="s">
        <v>18950</v>
      </c>
      <c r="G5088" s="9" t="s">
        <v>18951</v>
      </c>
      <c r="O5088" s="10">
        <f>IFERROR(__xludf.DUMMYFUNCTION("VALUE(REGEXEXTRACT(A5088, ""\d+""))"),7772.0)</f>
        <v>7772</v>
      </c>
    </row>
    <row r="5089">
      <c r="A5089" s="9" t="s">
        <v>18952</v>
      </c>
      <c r="B5089" s="9" t="s">
        <v>18953</v>
      </c>
      <c r="G5089" s="9" t="s">
        <v>18954</v>
      </c>
      <c r="O5089" s="10">
        <f>IFERROR(__xludf.DUMMYFUNCTION("VALUE(REGEXEXTRACT(A5089, ""\d+""))"),7773.0)</f>
        <v>7773</v>
      </c>
    </row>
    <row r="5090">
      <c r="A5090" s="9" t="s">
        <v>18955</v>
      </c>
      <c r="B5090" s="9" t="s">
        <v>18956</v>
      </c>
      <c r="G5090" s="9" t="s">
        <v>18957</v>
      </c>
      <c r="O5090" s="10">
        <f>IFERROR(__xludf.DUMMYFUNCTION("VALUE(REGEXEXTRACT(A5090, ""\d+""))"),7774.0)</f>
        <v>7774</v>
      </c>
    </row>
    <row r="5091">
      <c r="A5091" s="9" t="s">
        <v>18958</v>
      </c>
      <c r="B5091" s="9" t="s">
        <v>18959</v>
      </c>
      <c r="G5091" s="9" t="s">
        <v>18960</v>
      </c>
      <c r="O5091" s="10">
        <f>IFERROR(__xludf.DUMMYFUNCTION("VALUE(REGEXEXTRACT(A5091, ""\d+""))"),7775.0)</f>
        <v>7775</v>
      </c>
    </row>
    <row r="5092">
      <c r="A5092" s="9" t="s">
        <v>18961</v>
      </c>
      <c r="B5092" s="9" t="s">
        <v>18962</v>
      </c>
      <c r="G5092" s="9" t="s">
        <v>18963</v>
      </c>
      <c r="O5092" s="10">
        <f>IFERROR(__xludf.DUMMYFUNCTION("VALUE(REGEXEXTRACT(A5092, ""\d+""))"),7779.0)</f>
        <v>7779</v>
      </c>
    </row>
    <row r="5093">
      <c r="A5093" s="9" t="s">
        <v>18964</v>
      </c>
      <c r="B5093" s="9" t="s">
        <v>18965</v>
      </c>
      <c r="G5093" s="9" t="s">
        <v>18966</v>
      </c>
      <c r="O5093" s="10">
        <f>IFERROR(__xludf.DUMMYFUNCTION("VALUE(REGEXEXTRACT(A5093, ""\d+""))"),7780.0)</f>
        <v>7780</v>
      </c>
    </row>
    <row r="5094">
      <c r="A5094" s="9" t="s">
        <v>18967</v>
      </c>
      <c r="B5094" s="9" t="s">
        <v>18968</v>
      </c>
      <c r="G5094" s="9" t="s">
        <v>18969</v>
      </c>
      <c r="O5094" s="10">
        <f>IFERROR(__xludf.DUMMYFUNCTION("VALUE(REGEXEXTRACT(A5094, ""\d+""))"),7781.0)</f>
        <v>7781</v>
      </c>
    </row>
    <row r="5095">
      <c r="A5095" s="9" t="s">
        <v>18970</v>
      </c>
      <c r="B5095" s="9" t="s">
        <v>18971</v>
      </c>
      <c r="G5095" s="9" t="s">
        <v>18972</v>
      </c>
      <c r="O5095" s="10">
        <f>IFERROR(__xludf.DUMMYFUNCTION("VALUE(REGEXEXTRACT(A5095, ""\d+""))"),7782.0)</f>
        <v>7782</v>
      </c>
    </row>
    <row r="5096">
      <c r="A5096" s="9" t="s">
        <v>18973</v>
      </c>
      <c r="B5096" s="9" t="s">
        <v>18974</v>
      </c>
      <c r="G5096" s="9" t="s">
        <v>18975</v>
      </c>
      <c r="O5096" s="10">
        <f>IFERROR(__xludf.DUMMYFUNCTION("VALUE(REGEXEXTRACT(A5096, ""\d+""))"),7783.0)</f>
        <v>7783</v>
      </c>
    </row>
    <row r="5097">
      <c r="A5097" s="9" t="s">
        <v>18976</v>
      </c>
      <c r="B5097" s="9" t="s">
        <v>18977</v>
      </c>
      <c r="G5097" s="9" t="s">
        <v>18978</v>
      </c>
      <c r="O5097" s="10">
        <f>IFERROR(__xludf.DUMMYFUNCTION("VALUE(REGEXEXTRACT(A5097, ""\d+""))"),7784.0)</f>
        <v>7784</v>
      </c>
    </row>
    <row r="5098">
      <c r="A5098" s="9" t="s">
        <v>18979</v>
      </c>
      <c r="B5098" s="9" t="s">
        <v>18980</v>
      </c>
      <c r="G5098" s="9" t="s">
        <v>18981</v>
      </c>
      <c r="O5098" s="10">
        <f>IFERROR(__xludf.DUMMYFUNCTION("VALUE(REGEXEXTRACT(A5098, ""\d+""))"),7785.0)</f>
        <v>7785</v>
      </c>
    </row>
    <row r="5099">
      <c r="A5099" s="9" t="s">
        <v>18982</v>
      </c>
      <c r="B5099" s="9" t="s">
        <v>18983</v>
      </c>
      <c r="G5099" s="9" t="s">
        <v>18984</v>
      </c>
      <c r="O5099" s="10">
        <f>IFERROR(__xludf.DUMMYFUNCTION("VALUE(REGEXEXTRACT(A5099, ""\d+""))"),7786.0)</f>
        <v>7786</v>
      </c>
    </row>
    <row r="5100">
      <c r="A5100" s="9" t="s">
        <v>18985</v>
      </c>
      <c r="B5100" s="9" t="s">
        <v>18986</v>
      </c>
      <c r="G5100" s="9" t="s">
        <v>18987</v>
      </c>
      <c r="O5100" s="10">
        <f>IFERROR(__xludf.DUMMYFUNCTION("VALUE(REGEXEXTRACT(A5100, ""\d+""))"),7787.0)</f>
        <v>7787</v>
      </c>
    </row>
    <row r="5101">
      <c r="A5101" s="9" t="s">
        <v>18988</v>
      </c>
      <c r="B5101" s="9" t="s">
        <v>18989</v>
      </c>
      <c r="G5101" s="9" t="s">
        <v>18990</v>
      </c>
      <c r="O5101" s="10">
        <f>IFERROR(__xludf.DUMMYFUNCTION("VALUE(REGEXEXTRACT(A5101, ""\d+""))"),7788.0)</f>
        <v>7788</v>
      </c>
    </row>
    <row r="5102">
      <c r="A5102" s="9" t="s">
        <v>18991</v>
      </c>
      <c r="B5102" s="9" t="s">
        <v>18992</v>
      </c>
      <c r="G5102" s="9" t="s">
        <v>18993</v>
      </c>
      <c r="O5102" s="10">
        <f>IFERROR(__xludf.DUMMYFUNCTION("VALUE(REGEXEXTRACT(A5102, ""\d+""))"),7789.0)</f>
        <v>7789</v>
      </c>
    </row>
    <row r="5103">
      <c r="A5103" s="9" t="s">
        <v>18994</v>
      </c>
      <c r="B5103" s="9" t="s">
        <v>18995</v>
      </c>
      <c r="G5103" s="9" t="s">
        <v>18996</v>
      </c>
      <c r="O5103" s="10">
        <f>IFERROR(__xludf.DUMMYFUNCTION("VALUE(REGEXEXTRACT(A5103, ""\d+""))"),7790.0)</f>
        <v>7790</v>
      </c>
    </row>
    <row r="5104">
      <c r="A5104" s="9" t="s">
        <v>18997</v>
      </c>
      <c r="B5104" s="9" t="s">
        <v>18708</v>
      </c>
      <c r="G5104" s="9" t="s">
        <v>18708</v>
      </c>
      <c r="O5104" s="10">
        <f>IFERROR(__xludf.DUMMYFUNCTION("VALUE(REGEXEXTRACT(A5104, ""\d+""))"),7791.0)</f>
        <v>7791</v>
      </c>
    </row>
    <row r="5105">
      <c r="A5105" s="9" t="s">
        <v>18998</v>
      </c>
      <c r="B5105" s="9" t="s">
        <v>18716</v>
      </c>
      <c r="G5105" s="9" t="s">
        <v>18716</v>
      </c>
      <c r="O5105" s="10">
        <f>IFERROR(__xludf.DUMMYFUNCTION("VALUE(REGEXEXTRACT(A5105, ""\d+""))"),7792.0)</f>
        <v>7792</v>
      </c>
    </row>
    <row r="5106">
      <c r="A5106" s="9" t="s">
        <v>18999</v>
      </c>
      <c r="B5106" s="9" t="s">
        <v>19000</v>
      </c>
      <c r="G5106" s="9" t="s">
        <v>19001</v>
      </c>
      <c r="O5106" s="10">
        <f>IFERROR(__xludf.DUMMYFUNCTION("VALUE(REGEXEXTRACT(A5106, ""\d+""))"),7793.0)</f>
        <v>7793</v>
      </c>
    </row>
    <row r="5107">
      <c r="A5107" s="9" t="s">
        <v>19002</v>
      </c>
      <c r="B5107" s="9" t="s">
        <v>19003</v>
      </c>
      <c r="G5107" s="9" t="s">
        <v>19004</v>
      </c>
      <c r="O5107" s="10">
        <f>IFERROR(__xludf.DUMMYFUNCTION("VALUE(REGEXEXTRACT(A5107, ""\d+""))"),7794.0)</f>
        <v>7794</v>
      </c>
    </row>
    <row r="5108">
      <c r="A5108" s="9" t="s">
        <v>19005</v>
      </c>
      <c r="B5108" s="9" t="s">
        <v>19006</v>
      </c>
      <c r="G5108" s="9" t="s">
        <v>19007</v>
      </c>
      <c r="O5108" s="10">
        <f>IFERROR(__xludf.DUMMYFUNCTION("VALUE(REGEXEXTRACT(A5108, ""\d+""))"),7795.0)</f>
        <v>7795</v>
      </c>
    </row>
    <row r="5109">
      <c r="A5109" s="9" t="s">
        <v>19008</v>
      </c>
      <c r="B5109" s="9" t="s">
        <v>19009</v>
      </c>
      <c r="G5109" s="9" t="s">
        <v>19010</v>
      </c>
      <c r="O5109" s="10">
        <f>IFERROR(__xludf.DUMMYFUNCTION("VALUE(REGEXEXTRACT(A5109, ""\d+""))"),7798.0)</f>
        <v>7798</v>
      </c>
    </row>
    <row r="5110">
      <c r="A5110" s="9" t="s">
        <v>19011</v>
      </c>
      <c r="B5110" s="9" t="s">
        <v>19012</v>
      </c>
      <c r="G5110" s="9" t="s">
        <v>19013</v>
      </c>
      <c r="O5110" s="10">
        <f>IFERROR(__xludf.DUMMYFUNCTION("VALUE(REGEXEXTRACT(A5110, ""\d+""))"),7799.0)</f>
        <v>7799</v>
      </c>
    </row>
    <row r="5111">
      <c r="A5111" s="9" t="s">
        <v>19014</v>
      </c>
      <c r="B5111" s="9" t="s">
        <v>19015</v>
      </c>
      <c r="G5111" s="9" t="s">
        <v>19016</v>
      </c>
      <c r="O5111" s="10">
        <f>IFERROR(__xludf.DUMMYFUNCTION("VALUE(REGEXEXTRACT(A5111, ""\d+""))"),7800.0)</f>
        <v>7800</v>
      </c>
    </row>
    <row r="5112">
      <c r="A5112" s="9" t="s">
        <v>19017</v>
      </c>
      <c r="B5112" s="9" t="s">
        <v>19018</v>
      </c>
      <c r="G5112" s="9" t="s">
        <v>19019</v>
      </c>
      <c r="O5112" s="10">
        <f>IFERROR(__xludf.DUMMYFUNCTION("VALUE(REGEXEXTRACT(A5112, ""\d+""))"),7801.0)</f>
        <v>7801</v>
      </c>
    </row>
    <row r="5113">
      <c r="A5113" s="9" t="s">
        <v>19020</v>
      </c>
      <c r="B5113" s="9" t="s">
        <v>19021</v>
      </c>
      <c r="G5113" s="9" t="s">
        <v>19022</v>
      </c>
      <c r="O5113" s="10">
        <f>IFERROR(__xludf.DUMMYFUNCTION("VALUE(REGEXEXTRACT(A5113, ""\d+""))"),7802.0)</f>
        <v>7802</v>
      </c>
    </row>
    <row r="5114">
      <c r="A5114" s="9" t="s">
        <v>19023</v>
      </c>
      <c r="B5114" s="9" t="s">
        <v>19024</v>
      </c>
      <c r="G5114" s="9" t="s">
        <v>19025</v>
      </c>
      <c r="O5114" s="10">
        <f>IFERROR(__xludf.DUMMYFUNCTION("VALUE(REGEXEXTRACT(A5114, ""\d+""))"),7803.0)</f>
        <v>7803</v>
      </c>
    </row>
    <row r="5115">
      <c r="A5115" s="9" t="s">
        <v>19026</v>
      </c>
      <c r="B5115" s="9" t="s">
        <v>19027</v>
      </c>
      <c r="G5115" s="9" t="s">
        <v>19028</v>
      </c>
      <c r="O5115" s="10">
        <f>IFERROR(__xludf.DUMMYFUNCTION("VALUE(REGEXEXTRACT(A5115, ""\d+""))"),7804.0)</f>
        <v>7804</v>
      </c>
    </row>
    <row r="5116">
      <c r="A5116" s="9" t="s">
        <v>19029</v>
      </c>
      <c r="B5116" s="9" t="s">
        <v>19030</v>
      </c>
      <c r="G5116" s="9" t="s">
        <v>19031</v>
      </c>
      <c r="O5116" s="10">
        <f>IFERROR(__xludf.DUMMYFUNCTION("VALUE(REGEXEXTRACT(A5116, ""\d+""))"),7805.0)</f>
        <v>7805</v>
      </c>
    </row>
    <row r="5117">
      <c r="A5117" s="9" t="s">
        <v>19032</v>
      </c>
      <c r="B5117" s="9" t="s">
        <v>19033</v>
      </c>
      <c r="G5117" s="9" t="s">
        <v>19034</v>
      </c>
      <c r="O5117" s="10">
        <f>IFERROR(__xludf.DUMMYFUNCTION("VALUE(REGEXEXTRACT(A5117, ""\d+""))"),7806.0)</f>
        <v>7806</v>
      </c>
    </row>
    <row r="5118">
      <c r="A5118" s="9" t="s">
        <v>19035</v>
      </c>
      <c r="B5118" s="9" t="s">
        <v>19036</v>
      </c>
      <c r="G5118" s="9" t="s">
        <v>19037</v>
      </c>
      <c r="O5118" s="10">
        <f>IFERROR(__xludf.DUMMYFUNCTION("VALUE(REGEXEXTRACT(A5118, ""\d+""))"),7807.0)</f>
        <v>7807</v>
      </c>
    </row>
    <row r="5119">
      <c r="A5119" s="9" t="s">
        <v>19038</v>
      </c>
      <c r="B5119" s="9" t="s">
        <v>19039</v>
      </c>
      <c r="G5119" s="9" t="s">
        <v>19040</v>
      </c>
      <c r="O5119" s="10">
        <f>IFERROR(__xludf.DUMMYFUNCTION("VALUE(REGEXEXTRACT(A5119, ""\d+""))"),7808.0)</f>
        <v>7808</v>
      </c>
    </row>
    <row r="5120">
      <c r="A5120" s="9" t="s">
        <v>19041</v>
      </c>
      <c r="B5120" s="9" t="s">
        <v>19042</v>
      </c>
      <c r="G5120" s="9" t="s">
        <v>19043</v>
      </c>
      <c r="O5120" s="10">
        <f>IFERROR(__xludf.DUMMYFUNCTION("VALUE(REGEXEXTRACT(A5120, ""\d+""))"),7809.0)</f>
        <v>7809</v>
      </c>
    </row>
    <row r="5121">
      <c r="A5121" s="9" t="s">
        <v>19044</v>
      </c>
      <c r="B5121" s="9" t="s">
        <v>19045</v>
      </c>
      <c r="G5121" s="9" t="s">
        <v>19046</v>
      </c>
      <c r="O5121" s="10">
        <f>IFERROR(__xludf.DUMMYFUNCTION("VALUE(REGEXEXTRACT(A5121, ""\d+""))"),7810.0)</f>
        <v>7810</v>
      </c>
    </row>
    <row r="5122">
      <c r="A5122" s="9" t="s">
        <v>19047</v>
      </c>
      <c r="B5122" s="9" t="s">
        <v>19048</v>
      </c>
      <c r="G5122" s="9" t="s">
        <v>19049</v>
      </c>
      <c r="O5122" s="10">
        <f>IFERROR(__xludf.DUMMYFUNCTION("VALUE(REGEXEXTRACT(A5122, ""\d+""))"),7811.0)</f>
        <v>7811</v>
      </c>
    </row>
    <row r="5123">
      <c r="A5123" s="9" t="s">
        <v>19050</v>
      </c>
      <c r="B5123" s="9" t="s">
        <v>19051</v>
      </c>
      <c r="G5123" s="9" t="s">
        <v>19052</v>
      </c>
      <c r="O5123" s="10">
        <f>IFERROR(__xludf.DUMMYFUNCTION("VALUE(REGEXEXTRACT(A5123, ""\d+""))"),7812.0)</f>
        <v>7812</v>
      </c>
    </row>
    <row r="5124">
      <c r="A5124" s="9" t="s">
        <v>19053</v>
      </c>
      <c r="B5124" s="9" t="s">
        <v>19054</v>
      </c>
      <c r="G5124" s="9" t="s">
        <v>19055</v>
      </c>
      <c r="O5124" s="10">
        <f>IFERROR(__xludf.DUMMYFUNCTION("VALUE(REGEXEXTRACT(A5124, ""\d+""))"),7813.0)</f>
        <v>7813</v>
      </c>
    </row>
    <row r="5125">
      <c r="A5125" s="9" t="s">
        <v>19056</v>
      </c>
      <c r="B5125" s="9" t="s">
        <v>19057</v>
      </c>
      <c r="G5125" s="9" t="s">
        <v>19058</v>
      </c>
      <c r="O5125" s="10">
        <f>IFERROR(__xludf.DUMMYFUNCTION("VALUE(REGEXEXTRACT(A5125, ""\d+""))"),7814.0)</f>
        <v>7814</v>
      </c>
    </row>
    <row r="5126">
      <c r="A5126" s="9" t="s">
        <v>19059</v>
      </c>
      <c r="B5126" s="9" t="s">
        <v>19060</v>
      </c>
      <c r="G5126" s="9" t="s">
        <v>19061</v>
      </c>
      <c r="O5126" s="10">
        <f>IFERROR(__xludf.DUMMYFUNCTION("VALUE(REGEXEXTRACT(A5126, ""\d+""))"),7815.0)</f>
        <v>7815</v>
      </c>
    </row>
    <row r="5127">
      <c r="A5127" s="9" t="s">
        <v>19062</v>
      </c>
      <c r="B5127" s="9" t="s">
        <v>19063</v>
      </c>
      <c r="G5127" s="9" t="s">
        <v>19064</v>
      </c>
      <c r="O5127" s="10">
        <f>IFERROR(__xludf.DUMMYFUNCTION("VALUE(REGEXEXTRACT(A5127, ""\d+""))"),7816.0)</f>
        <v>7816</v>
      </c>
    </row>
    <row r="5128">
      <c r="A5128" s="9" t="s">
        <v>19065</v>
      </c>
      <c r="B5128" s="9" t="s">
        <v>19066</v>
      </c>
      <c r="G5128" s="9" t="s">
        <v>19067</v>
      </c>
      <c r="O5128" s="10">
        <f>IFERROR(__xludf.DUMMYFUNCTION("VALUE(REGEXEXTRACT(A5128, ""\d+""))"),7817.0)</f>
        <v>7817</v>
      </c>
    </row>
    <row r="5129">
      <c r="A5129" s="9" t="s">
        <v>19068</v>
      </c>
      <c r="B5129" s="9" t="s">
        <v>19069</v>
      </c>
      <c r="G5129" s="9" t="s">
        <v>19070</v>
      </c>
      <c r="O5129" s="10">
        <f>IFERROR(__xludf.DUMMYFUNCTION("VALUE(REGEXEXTRACT(A5129, ""\d+""))"),7818.0)</f>
        <v>7818</v>
      </c>
    </row>
    <row r="5130">
      <c r="A5130" s="9" t="s">
        <v>19071</v>
      </c>
      <c r="B5130" s="9" t="s">
        <v>19072</v>
      </c>
      <c r="G5130" s="9" t="s">
        <v>19073</v>
      </c>
      <c r="O5130" s="10">
        <f>IFERROR(__xludf.DUMMYFUNCTION("VALUE(REGEXEXTRACT(A5130, ""\d+""))"),7819.0)</f>
        <v>7819</v>
      </c>
    </row>
    <row r="5131">
      <c r="A5131" s="9" t="s">
        <v>19074</v>
      </c>
      <c r="B5131" s="9" t="s">
        <v>19075</v>
      </c>
      <c r="G5131" s="9" t="s">
        <v>19076</v>
      </c>
      <c r="O5131" s="10">
        <f>IFERROR(__xludf.DUMMYFUNCTION("VALUE(REGEXEXTRACT(A5131, ""\d+""))"),7820.0)</f>
        <v>7820</v>
      </c>
    </row>
    <row r="5132">
      <c r="A5132" s="9" t="s">
        <v>19077</v>
      </c>
      <c r="B5132" s="9" t="s">
        <v>19078</v>
      </c>
      <c r="G5132" s="9" t="s">
        <v>19079</v>
      </c>
      <c r="O5132" s="10">
        <f>IFERROR(__xludf.DUMMYFUNCTION("VALUE(REGEXEXTRACT(A5132, ""\d+""))"),7821.0)</f>
        <v>7821</v>
      </c>
    </row>
    <row r="5133">
      <c r="A5133" s="9" t="s">
        <v>19080</v>
      </c>
      <c r="B5133" s="9" t="s">
        <v>19081</v>
      </c>
      <c r="G5133" s="9" t="s">
        <v>19082</v>
      </c>
      <c r="O5133" s="10">
        <f>IFERROR(__xludf.DUMMYFUNCTION("VALUE(REGEXEXTRACT(A5133, ""\d+""))"),7822.0)</f>
        <v>7822</v>
      </c>
    </row>
    <row r="5134">
      <c r="A5134" s="9" t="s">
        <v>19083</v>
      </c>
      <c r="B5134" s="9" t="s">
        <v>19084</v>
      </c>
      <c r="G5134" s="9" t="s">
        <v>19085</v>
      </c>
      <c r="O5134" s="10">
        <f>IFERROR(__xludf.DUMMYFUNCTION("VALUE(REGEXEXTRACT(A5134, ""\d+""))"),7823.0)</f>
        <v>7823</v>
      </c>
    </row>
    <row r="5135">
      <c r="A5135" s="9" t="s">
        <v>19086</v>
      </c>
      <c r="B5135" s="9" t="s">
        <v>19087</v>
      </c>
      <c r="G5135" s="9" t="s">
        <v>19088</v>
      </c>
      <c r="O5135" s="10">
        <f>IFERROR(__xludf.DUMMYFUNCTION("VALUE(REGEXEXTRACT(A5135, ""\d+""))"),7825.0)</f>
        <v>7825</v>
      </c>
    </row>
    <row r="5136">
      <c r="A5136" s="9" t="s">
        <v>19089</v>
      </c>
      <c r="B5136" s="9" t="s">
        <v>19090</v>
      </c>
      <c r="G5136" s="9" t="s">
        <v>19091</v>
      </c>
      <c r="O5136" s="10">
        <f>IFERROR(__xludf.DUMMYFUNCTION("VALUE(REGEXEXTRACT(A5136, ""\d+""))"),7826.0)</f>
        <v>7826</v>
      </c>
    </row>
    <row r="5137">
      <c r="A5137" s="9" t="s">
        <v>19092</v>
      </c>
      <c r="B5137" s="9" t="s">
        <v>19093</v>
      </c>
      <c r="G5137" s="9" t="s">
        <v>19094</v>
      </c>
      <c r="O5137" s="10">
        <f>IFERROR(__xludf.DUMMYFUNCTION("VALUE(REGEXEXTRACT(A5137, ""\d+""))"),7827.0)</f>
        <v>7827</v>
      </c>
    </row>
    <row r="5138">
      <c r="A5138" s="9" t="s">
        <v>19095</v>
      </c>
      <c r="B5138" s="9" t="s">
        <v>19096</v>
      </c>
      <c r="G5138" s="9" t="s">
        <v>19097</v>
      </c>
      <c r="O5138" s="10">
        <f>IFERROR(__xludf.DUMMYFUNCTION("VALUE(REGEXEXTRACT(A5138, ""\d+""))"),7828.0)</f>
        <v>7828</v>
      </c>
    </row>
    <row r="5139">
      <c r="A5139" s="9" t="s">
        <v>19098</v>
      </c>
      <c r="B5139" s="9" t="s">
        <v>19099</v>
      </c>
      <c r="G5139" s="9" t="s">
        <v>19100</v>
      </c>
      <c r="O5139" s="10">
        <f>IFERROR(__xludf.DUMMYFUNCTION("VALUE(REGEXEXTRACT(A5139, ""\d+""))"),7829.0)</f>
        <v>7829</v>
      </c>
    </row>
    <row r="5140">
      <c r="A5140" s="9" t="s">
        <v>19101</v>
      </c>
      <c r="B5140" s="9" t="s">
        <v>19102</v>
      </c>
      <c r="G5140" s="9" t="s">
        <v>19103</v>
      </c>
      <c r="O5140" s="10">
        <f>IFERROR(__xludf.DUMMYFUNCTION("VALUE(REGEXEXTRACT(A5140, ""\d+""))"),7830.0)</f>
        <v>7830</v>
      </c>
    </row>
    <row r="5141">
      <c r="A5141" s="9" t="s">
        <v>19104</v>
      </c>
      <c r="B5141" s="9" t="s">
        <v>19105</v>
      </c>
      <c r="G5141" s="9" t="s">
        <v>19106</v>
      </c>
      <c r="O5141" s="10">
        <f>IFERROR(__xludf.DUMMYFUNCTION("VALUE(REGEXEXTRACT(A5141, ""\d+""))"),7831.0)</f>
        <v>7831</v>
      </c>
    </row>
    <row r="5142">
      <c r="A5142" s="9" t="s">
        <v>19107</v>
      </c>
      <c r="B5142" s="9" t="s">
        <v>19108</v>
      </c>
      <c r="G5142" s="9" t="s">
        <v>19109</v>
      </c>
      <c r="O5142" s="10">
        <f>IFERROR(__xludf.DUMMYFUNCTION("VALUE(REGEXEXTRACT(A5142, ""\d+""))"),7832.0)</f>
        <v>7832</v>
      </c>
    </row>
    <row r="5143">
      <c r="A5143" s="9" t="s">
        <v>19110</v>
      </c>
      <c r="B5143" s="9" t="s">
        <v>19111</v>
      </c>
      <c r="G5143" s="9" t="s">
        <v>19112</v>
      </c>
      <c r="O5143" s="10">
        <f>IFERROR(__xludf.DUMMYFUNCTION("VALUE(REGEXEXTRACT(A5143, ""\d+""))"),7833.0)</f>
        <v>7833</v>
      </c>
    </row>
    <row r="5144">
      <c r="A5144" s="9" t="s">
        <v>19113</v>
      </c>
      <c r="B5144" s="9" t="s">
        <v>19114</v>
      </c>
      <c r="G5144" s="9" t="s">
        <v>19115</v>
      </c>
      <c r="O5144" s="10">
        <f>IFERROR(__xludf.DUMMYFUNCTION("VALUE(REGEXEXTRACT(A5144, ""\d+""))"),7834.0)</f>
        <v>7834</v>
      </c>
    </row>
    <row r="5145">
      <c r="A5145" s="9" t="s">
        <v>19116</v>
      </c>
      <c r="B5145" s="9" t="s">
        <v>19117</v>
      </c>
      <c r="G5145" s="9" t="s">
        <v>19118</v>
      </c>
      <c r="O5145" s="10">
        <f>IFERROR(__xludf.DUMMYFUNCTION("VALUE(REGEXEXTRACT(A5145, ""\d+""))"),7835.0)</f>
        <v>7835</v>
      </c>
    </row>
    <row r="5146">
      <c r="A5146" s="9" t="s">
        <v>19119</v>
      </c>
      <c r="B5146" s="9" t="s">
        <v>19120</v>
      </c>
      <c r="G5146" s="9" t="s">
        <v>19121</v>
      </c>
      <c r="O5146" s="10">
        <f>IFERROR(__xludf.DUMMYFUNCTION("VALUE(REGEXEXTRACT(A5146, ""\d+""))"),7836.0)</f>
        <v>7836</v>
      </c>
    </row>
    <row r="5147">
      <c r="A5147" s="9" t="s">
        <v>19122</v>
      </c>
      <c r="B5147" s="9" t="s">
        <v>19123</v>
      </c>
      <c r="G5147" s="9" t="s">
        <v>19124</v>
      </c>
      <c r="O5147" s="10">
        <f>IFERROR(__xludf.DUMMYFUNCTION("VALUE(REGEXEXTRACT(A5147, ""\d+""))"),7837.0)</f>
        <v>7837</v>
      </c>
    </row>
    <row r="5148">
      <c r="A5148" s="9" t="s">
        <v>19125</v>
      </c>
      <c r="B5148" s="9" t="s">
        <v>19126</v>
      </c>
      <c r="G5148" s="9" t="s">
        <v>19127</v>
      </c>
      <c r="O5148" s="10">
        <f>IFERROR(__xludf.DUMMYFUNCTION("VALUE(REGEXEXTRACT(A5148, ""\d+""))"),7838.0)</f>
        <v>7838</v>
      </c>
    </row>
    <row r="5149">
      <c r="A5149" s="9" t="s">
        <v>19128</v>
      </c>
      <c r="B5149" s="9" t="s">
        <v>19129</v>
      </c>
      <c r="G5149" s="9" t="s">
        <v>19130</v>
      </c>
      <c r="O5149" s="10">
        <f>IFERROR(__xludf.DUMMYFUNCTION("VALUE(REGEXEXTRACT(A5149, ""\d+""))"),7839.0)</f>
        <v>7839</v>
      </c>
    </row>
    <row r="5150">
      <c r="A5150" s="9" t="s">
        <v>19131</v>
      </c>
      <c r="B5150" s="9" t="s">
        <v>19132</v>
      </c>
      <c r="G5150" s="9" t="s">
        <v>19133</v>
      </c>
      <c r="O5150" s="10">
        <f>IFERROR(__xludf.DUMMYFUNCTION("VALUE(REGEXEXTRACT(A5150, ""\d+""))"),7840.0)</f>
        <v>7840</v>
      </c>
    </row>
    <row r="5151">
      <c r="A5151" s="9" t="s">
        <v>19134</v>
      </c>
      <c r="B5151" s="9" t="s">
        <v>19135</v>
      </c>
      <c r="G5151" s="9" t="s">
        <v>19136</v>
      </c>
      <c r="O5151" s="10">
        <f>IFERROR(__xludf.DUMMYFUNCTION("VALUE(REGEXEXTRACT(A5151, ""\d+""))"),7841.0)</f>
        <v>7841</v>
      </c>
    </row>
    <row r="5152">
      <c r="A5152" s="9" t="s">
        <v>19137</v>
      </c>
      <c r="B5152" s="9" t="s">
        <v>19138</v>
      </c>
      <c r="G5152" s="9" t="s">
        <v>19139</v>
      </c>
      <c r="O5152" s="10">
        <f>IFERROR(__xludf.DUMMYFUNCTION("VALUE(REGEXEXTRACT(A5152, ""\d+""))"),7842.0)</f>
        <v>7842</v>
      </c>
    </row>
    <row r="5153">
      <c r="A5153" s="9" t="s">
        <v>19140</v>
      </c>
      <c r="B5153" s="9" t="s">
        <v>19141</v>
      </c>
      <c r="G5153" s="9" t="s">
        <v>19142</v>
      </c>
      <c r="O5153" s="10">
        <f>IFERROR(__xludf.DUMMYFUNCTION("VALUE(REGEXEXTRACT(A5153, ""\d+""))"),7843.0)</f>
        <v>7843</v>
      </c>
    </row>
    <row r="5154">
      <c r="A5154" s="9" t="s">
        <v>19143</v>
      </c>
      <c r="B5154" s="9" t="s">
        <v>19144</v>
      </c>
      <c r="G5154" s="9" t="s">
        <v>19145</v>
      </c>
      <c r="O5154" s="10">
        <f>IFERROR(__xludf.DUMMYFUNCTION("VALUE(REGEXEXTRACT(A5154, ""\d+""))"),7844.0)</f>
        <v>7844</v>
      </c>
    </row>
    <row r="5155">
      <c r="A5155" s="9" t="s">
        <v>19146</v>
      </c>
      <c r="B5155" s="9" t="s">
        <v>19147</v>
      </c>
      <c r="G5155" s="9" t="s">
        <v>19148</v>
      </c>
      <c r="O5155" s="10">
        <f>IFERROR(__xludf.DUMMYFUNCTION("VALUE(REGEXEXTRACT(A5155, ""\d+""))"),7845.0)</f>
        <v>7845</v>
      </c>
    </row>
    <row r="5156">
      <c r="A5156" s="9" t="s">
        <v>19149</v>
      </c>
      <c r="B5156" s="9" t="s">
        <v>19150</v>
      </c>
      <c r="G5156" s="9" t="s">
        <v>19151</v>
      </c>
      <c r="O5156" s="10">
        <f>IFERROR(__xludf.DUMMYFUNCTION("VALUE(REGEXEXTRACT(A5156, ""\d+""))"),7846.0)</f>
        <v>7846</v>
      </c>
    </row>
    <row r="5157">
      <c r="A5157" s="9" t="s">
        <v>19152</v>
      </c>
      <c r="B5157" s="9" t="s">
        <v>19153</v>
      </c>
      <c r="G5157" s="9" t="s">
        <v>19154</v>
      </c>
      <c r="O5157" s="10">
        <f>IFERROR(__xludf.DUMMYFUNCTION("VALUE(REGEXEXTRACT(A5157, ""\d+""))"),7847.0)</f>
        <v>7847</v>
      </c>
    </row>
    <row r="5158">
      <c r="A5158" s="9" t="s">
        <v>19155</v>
      </c>
      <c r="B5158" s="9" t="s">
        <v>19156</v>
      </c>
      <c r="G5158" s="9" t="s">
        <v>19157</v>
      </c>
      <c r="O5158" s="10">
        <f>IFERROR(__xludf.DUMMYFUNCTION("VALUE(REGEXEXTRACT(A5158, ""\d+""))"),7848.0)</f>
        <v>7848</v>
      </c>
    </row>
    <row r="5159">
      <c r="A5159" s="9" t="s">
        <v>19158</v>
      </c>
      <c r="B5159" s="9" t="s">
        <v>19159</v>
      </c>
      <c r="G5159" s="9" t="s">
        <v>19160</v>
      </c>
      <c r="O5159" s="10">
        <f>IFERROR(__xludf.DUMMYFUNCTION("VALUE(REGEXEXTRACT(A5159, ""\d+""))"),7849.0)</f>
        <v>7849</v>
      </c>
    </row>
    <row r="5160">
      <c r="A5160" s="9" t="s">
        <v>19161</v>
      </c>
      <c r="B5160" s="9" t="s">
        <v>19162</v>
      </c>
      <c r="G5160" s="9" t="s">
        <v>19163</v>
      </c>
      <c r="O5160" s="10">
        <f>IFERROR(__xludf.DUMMYFUNCTION("VALUE(REGEXEXTRACT(A5160, ""\d+""))"),7850.0)</f>
        <v>7850</v>
      </c>
    </row>
    <row r="5161">
      <c r="A5161" s="9" t="s">
        <v>19164</v>
      </c>
      <c r="B5161" s="9" t="s">
        <v>19165</v>
      </c>
      <c r="G5161" s="9" t="s">
        <v>19166</v>
      </c>
      <c r="O5161" s="10">
        <f>IFERROR(__xludf.DUMMYFUNCTION("VALUE(REGEXEXTRACT(A5161, ""\d+""))"),7851.0)</f>
        <v>7851</v>
      </c>
    </row>
    <row r="5162">
      <c r="A5162" s="9" t="s">
        <v>19167</v>
      </c>
      <c r="B5162" s="9" t="s">
        <v>19168</v>
      </c>
      <c r="G5162" s="9" t="s">
        <v>19169</v>
      </c>
      <c r="O5162" s="10">
        <f>IFERROR(__xludf.DUMMYFUNCTION("VALUE(REGEXEXTRACT(A5162, ""\d+""))"),7852.0)</f>
        <v>7852</v>
      </c>
    </row>
    <row r="5163">
      <c r="A5163" s="9" t="s">
        <v>19170</v>
      </c>
      <c r="B5163" s="9" t="s">
        <v>19171</v>
      </c>
      <c r="G5163" s="9" t="s">
        <v>19172</v>
      </c>
      <c r="O5163" s="10">
        <f>IFERROR(__xludf.DUMMYFUNCTION("VALUE(REGEXEXTRACT(A5163, ""\d+""))"),7853.0)</f>
        <v>7853</v>
      </c>
    </row>
    <row r="5164">
      <c r="A5164" s="9" t="s">
        <v>19173</v>
      </c>
      <c r="B5164" s="9" t="s">
        <v>19174</v>
      </c>
      <c r="G5164" s="9" t="s">
        <v>19175</v>
      </c>
      <c r="O5164" s="10">
        <f>IFERROR(__xludf.DUMMYFUNCTION("VALUE(REGEXEXTRACT(A5164, ""\d+""))"),7854.0)</f>
        <v>7854</v>
      </c>
    </row>
    <row r="5165">
      <c r="A5165" s="9" t="s">
        <v>19176</v>
      </c>
      <c r="B5165" s="9" t="s">
        <v>19177</v>
      </c>
      <c r="G5165" s="9" t="s">
        <v>19178</v>
      </c>
      <c r="O5165" s="10">
        <f>IFERROR(__xludf.DUMMYFUNCTION("VALUE(REGEXEXTRACT(A5165, ""\d+""))"),7855.0)</f>
        <v>7855</v>
      </c>
    </row>
    <row r="5166">
      <c r="A5166" s="9" t="s">
        <v>19179</v>
      </c>
      <c r="B5166" s="9" t="s">
        <v>19180</v>
      </c>
      <c r="G5166" s="9" t="s">
        <v>19181</v>
      </c>
      <c r="O5166" s="10">
        <f>IFERROR(__xludf.DUMMYFUNCTION("VALUE(REGEXEXTRACT(A5166, ""\d+""))"),7856.0)</f>
        <v>7856</v>
      </c>
    </row>
    <row r="5167">
      <c r="A5167" s="9" t="s">
        <v>19182</v>
      </c>
      <c r="B5167" s="9" t="s">
        <v>19183</v>
      </c>
      <c r="G5167" s="9" t="s">
        <v>19184</v>
      </c>
      <c r="O5167" s="10">
        <f>IFERROR(__xludf.DUMMYFUNCTION("VALUE(REGEXEXTRACT(A5167, ""\d+""))"),7857.0)</f>
        <v>7857</v>
      </c>
    </row>
    <row r="5168">
      <c r="A5168" s="9" t="s">
        <v>19185</v>
      </c>
      <c r="B5168" s="9" t="s">
        <v>19186</v>
      </c>
      <c r="G5168" s="9" t="s">
        <v>19187</v>
      </c>
      <c r="O5168" s="10">
        <f>IFERROR(__xludf.DUMMYFUNCTION("VALUE(REGEXEXTRACT(A5168, ""\d+""))"),7858.0)</f>
        <v>7858</v>
      </c>
    </row>
    <row r="5169">
      <c r="A5169" s="9" t="s">
        <v>19188</v>
      </c>
      <c r="B5169" s="9" t="s">
        <v>19189</v>
      </c>
      <c r="G5169" s="9" t="s">
        <v>19190</v>
      </c>
      <c r="O5169" s="10">
        <f>IFERROR(__xludf.DUMMYFUNCTION("VALUE(REGEXEXTRACT(A5169, ""\d+""))"),7859.0)</f>
        <v>7859</v>
      </c>
    </row>
    <row r="5170">
      <c r="A5170" s="9" t="s">
        <v>19191</v>
      </c>
      <c r="B5170" s="9" t="s">
        <v>19192</v>
      </c>
      <c r="G5170" s="9" t="s">
        <v>19193</v>
      </c>
      <c r="O5170" s="10">
        <f>IFERROR(__xludf.DUMMYFUNCTION("VALUE(REGEXEXTRACT(A5170, ""\d+""))"),7861.0)</f>
        <v>7861</v>
      </c>
    </row>
    <row r="5171">
      <c r="A5171" s="9" t="s">
        <v>19194</v>
      </c>
      <c r="B5171" s="9" t="s">
        <v>19195</v>
      </c>
      <c r="G5171" s="9" t="s">
        <v>19196</v>
      </c>
      <c r="O5171" s="10">
        <f>IFERROR(__xludf.DUMMYFUNCTION("VALUE(REGEXEXTRACT(A5171, ""\d+""))"),7869.0)</f>
        <v>7869</v>
      </c>
    </row>
    <row r="5172">
      <c r="A5172" s="9" t="s">
        <v>19197</v>
      </c>
      <c r="B5172" s="9" t="s">
        <v>19198</v>
      </c>
      <c r="G5172" s="9" t="s">
        <v>19199</v>
      </c>
      <c r="O5172" s="10">
        <f>IFERROR(__xludf.DUMMYFUNCTION("VALUE(REGEXEXTRACT(A5172, ""\d+""))"),7870.0)</f>
        <v>7870</v>
      </c>
    </row>
    <row r="5173">
      <c r="A5173" s="9" t="s">
        <v>19200</v>
      </c>
      <c r="B5173" s="9" t="s">
        <v>19201</v>
      </c>
      <c r="G5173" s="9" t="s">
        <v>19202</v>
      </c>
      <c r="O5173" s="10">
        <f>IFERROR(__xludf.DUMMYFUNCTION("VALUE(REGEXEXTRACT(A5173, ""\d+""))"),7871.0)</f>
        <v>7871</v>
      </c>
    </row>
    <row r="5174">
      <c r="A5174" s="9" t="s">
        <v>19203</v>
      </c>
      <c r="B5174" s="9" t="s">
        <v>19204</v>
      </c>
      <c r="G5174" s="9" t="s">
        <v>19205</v>
      </c>
      <c r="O5174" s="10">
        <f>IFERROR(__xludf.DUMMYFUNCTION("VALUE(REGEXEXTRACT(A5174, ""\d+""))"),7872.0)</f>
        <v>7872</v>
      </c>
    </row>
    <row r="5175">
      <c r="A5175" s="9" t="s">
        <v>19206</v>
      </c>
      <c r="B5175" s="9" t="s">
        <v>19207</v>
      </c>
      <c r="G5175" s="9" t="s">
        <v>19208</v>
      </c>
      <c r="O5175" s="10">
        <f>IFERROR(__xludf.DUMMYFUNCTION("VALUE(REGEXEXTRACT(A5175, ""\d+""))"),7873.0)</f>
        <v>7873</v>
      </c>
    </row>
    <row r="5176">
      <c r="A5176" s="9" t="s">
        <v>19209</v>
      </c>
      <c r="B5176" s="9" t="s">
        <v>19210</v>
      </c>
      <c r="G5176" s="9" t="s">
        <v>19211</v>
      </c>
      <c r="O5176" s="10">
        <f>IFERROR(__xludf.DUMMYFUNCTION("VALUE(REGEXEXTRACT(A5176, ""\d+""))"),7874.0)</f>
        <v>7874</v>
      </c>
    </row>
    <row r="5177">
      <c r="A5177" s="9" t="s">
        <v>19212</v>
      </c>
      <c r="B5177" s="9" t="s">
        <v>19213</v>
      </c>
      <c r="G5177" s="9" t="s">
        <v>19214</v>
      </c>
      <c r="O5177" s="10">
        <f>IFERROR(__xludf.DUMMYFUNCTION("VALUE(REGEXEXTRACT(A5177, ""\d+""))"),7875.0)</f>
        <v>7875</v>
      </c>
    </row>
    <row r="5178">
      <c r="A5178" s="9" t="s">
        <v>19215</v>
      </c>
      <c r="B5178" s="9" t="s">
        <v>19216</v>
      </c>
      <c r="G5178" s="9" t="s">
        <v>19217</v>
      </c>
      <c r="O5178" s="10">
        <f>IFERROR(__xludf.DUMMYFUNCTION("VALUE(REGEXEXTRACT(A5178, ""\d+""))"),7876.0)</f>
        <v>7876</v>
      </c>
    </row>
    <row r="5179">
      <c r="A5179" s="9" t="s">
        <v>19218</v>
      </c>
      <c r="B5179" s="9" t="s">
        <v>19219</v>
      </c>
      <c r="G5179" s="9" t="s">
        <v>19220</v>
      </c>
      <c r="O5179" s="10">
        <f>IFERROR(__xludf.DUMMYFUNCTION("VALUE(REGEXEXTRACT(A5179, ""\d+""))"),7877.0)</f>
        <v>7877</v>
      </c>
    </row>
    <row r="5180">
      <c r="A5180" s="9" t="s">
        <v>19221</v>
      </c>
      <c r="B5180" s="9" t="s">
        <v>19222</v>
      </c>
      <c r="G5180" s="9" t="s">
        <v>19223</v>
      </c>
      <c r="O5180" s="10">
        <f>IFERROR(__xludf.DUMMYFUNCTION("VALUE(REGEXEXTRACT(A5180, ""\d+""))"),7878.0)</f>
        <v>7878</v>
      </c>
    </row>
    <row r="5181">
      <c r="A5181" s="9" t="s">
        <v>19224</v>
      </c>
      <c r="B5181" s="9" t="s">
        <v>19225</v>
      </c>
      <c r="G5181" s="9" t="s">
        <v>19225</v>
      </c>
      <c r="O5181" s="10">
        <f>IFERROR(__xludf.DUMMYFUNCTION("VALUE(REGEXEXTRACT(A5181, ""\d+""))"),7880.0)</f>
        <v>7880</v>
      </c>
    </row>
    <row r="5182">
      <c r="A5182" s="9" t="s">
        <v>19226</v>
      </c>
      <c r="B5182" s="9" t="s">
        <v>19227</v>
      </c>
      <c r="G5182" s="9" t="s">
        <v>19227</v>
      </c>
      <c r="O5182" s="10">
        <f>IFERROR(__xludf.DUMMYFUNCTION("VALUE(REGEXEXTRACT(A5182, ""\d+""))"),7881.0)</f>
        <v>7881</v>
      </c>
    </row>
    <row r="5183">
      <c r="A5183" s="9" t="s">
        <v>19228</v>
      </c>
      <c r="B5183" s="9" t="s">
        <v>19229</v>
      </c>
      <c r="G5183" s="9" t="s">
        <v>19229</v>
      </c>
      <c r="O5183" s="10">
        <f>IFERROR(__xludf.DUMMYFUNCTION("VALUE(REGEXEXTRACT(A5183, ""\d+""))"),7883.0)</f>
        <v>7883</v>
      </c>
    </row>
    <row r="5184">
      <c r="A5184" s="9" t="s">
        <v>19230</v>
      </c>
      <c r="B5184" s="9" t="s">
        <v>19231</v>
      </c>
      <c r="G5184" s="9" t="s">
        <v>19232</v>
      </c>
      <c r="O5184" s="10">
        <f>IFERROR(__xludf.DUMMYFUNCTION("VALUE(REGEXEXTRACT(A5184, ""\d+""))"),7884.0)</f>
        <v>7884</v>
      </c>
    </row>
    <row r="5185">
      <c r="A5185" s="9" t="s">
        <v>19233</v>
      </c>
      <c r="B5185" s="9" t="s">
        <v>19234</v>
      </c>
      <c r="G5185" s="9" t="s">
        <v>19235</v>
      </c>
      <c r="O5185" s="10">
        <f>IFERROR(__xludf.DUMMYFUNCTION("VALUE(REGEXEXTRACT(A5185, ""\d+""))"),7885.0)</f>
        <v>7885</v>
      </c>
    </row>
    <row r="5186">
      <c r="A5186" s="9" t="s">
        <v>19236</v>
      </c>
      <c r="B5186" s="9" t="s">
        <v>19237</v>
      </c>
      <c r="G5186" s="9" t="s">
        <v>19238</v>
      </c>
      <c r="O5186" s="10">
        <f>IFERROR(__xludf.DUMMYFUNCTION("VALUE(REGEXEXTRACT(A5186, ""\d+""))"),7886.0)</f>
        <v>7886</v>
      </c>
    </row>
    <row r="5187">
      <c r="A5187" s="9" t="s">
        <v>19239</v>
      </c>
      <c r="B5187" s="9" t="s">
        <v>19240</v>
      </c>
      <c r="G5187" s="9" t="s">
        <v>19241</v>
      </c>
      <c r="O5187" s="10">
        <f>IFERROR(__xludf.DUMMYFUNCTION("VALUE(REGEXEXTRACT(A5187, ""\d+""))"),7887.0)</f>
        <v>7887</v>
      </c>
    </row>
    <row r="5188">
      <c r="A5188" s="9" t="s">
        <v>19242</v>
      </c>
      <c r="B5188" s="9" t="s">
        <v>19243</v>
      </c>
      <c r="G5188" s="9" t="s">
        <v>19244</v>
      </c>
      <c r="O5188" s="10">
        <f>IFERROR(__xludf.DUMMYFUNCTION("VALUE(REGEXEXTRACT(A5188, ""\d+""))"),7888.0)</f>
        <v>7888</v>
      </c>
    </row>
    <row r="5189">
      <c r="A5189" s="9" t="s">
        <v>19245</v>
      </c>
      <c r="B5189" s="9" t="s">
        <v>19246</v>
      </c>
      <c r="G5189" s="9" t="s">
        <v>19247</v>
      </c>
      <c r="O5189" s="10">
        <f>IFERROR(__xludf.DUMMYFUNCTION("VALUE(REGEXEXTRACT(A5189, ""\d+""))"),7900.0)</f>
        <v>7900</v>
      </c>
    </row>
    <row r="5190">
      <c r="A5190" s="9" t="s">
        <v>19248</v>
      </c>
      <c r="B5190" s="9" t="s">
        <v>19249</v>
      </c>
      <c r="G5190" s="9" t="s">
        <v>19250</v>
      </c>
      <c r="O5190" s="10">
        <f>IFERROR(__xludf.DUMMYFUNCTION("VALUE(REGEXEXTRACT(A5190, ""\d+""))"),7902.0)</f>
        <v>7902</v>
      </c>
    </row>
    <row r="5191">
      <c r="A5191" s="9" t="s">
        <v>19251</v>
      </c>
      <c r="B5191" s="9" t="s">
        <v>19252</v>
      </c>
      <c r="G5191" s="9" t="s">
        <v>19253</v>
      </c>
      <c r="O5191" s="10">
        <f>IFERROR(__xludf.DUMMYFUNCTION("VALUE(REGEXEXTRACT(A5191, ""\d+""))"),7903.0)</f>
        <v>7903</v>
      </c>
    </row>
    <row r="5192">
      <c r="A5192" s="9" t="s">
        <v>19254</v>
      </c>
      <c r="B5192" s="9" t="s">
        <v>19255</v>
      </c>
      <c r="G5192" s="9" t="s">
        <v>19010</v>
      </c>
      <c r="O5192" s="10">
        <f>IFERROR(__xludf.DUMMYFUNCTION("VALUE(REGEXEXTRACT(A5192, ""\d+""))"),7905.0)</f>
        <v>7905</v>
      </c>
    </row>
    <row r="5193">
      <c r="A5193" s="9" t="s">
        <v>19256</v>
      </c>
      <c r="B5193" s="9" t="s">
        <v>19257</v>
      </c>
      <c r="G5193" s="9" t="s">
        <v>19258</v>
      </c>
      <c r="O5193" s="10">
        <f>IFERROR(__xludf.DUMMYFUNCTION("VALUE(REGEXEXTRACT(A5193, ""\d+""))"),7906.0)</f>
        <v>7906</v>
      </c>
    </row>
    <row r="5194">
      <c r="A5194" s="9" t="s">
        <v>19259</v>
      </c>
      <c r="B5194" s="9" t="s">
        <v>19260</v>
      </c>
      <c r="G5194" s="9" t="s">
        <v>19261</v>
      </c>
      <c r="O5194" s="10">
        <f>IFERROR(__xludf.DUMMYFUNCTION("VALUE(REGEXEXTRACT(A5194, ""\d+""))"),7907.0)</f>
        <v>7907</v>
      </c>
    </row>
    <row r="5195">
      <c r="A5195" s="9" t="s">
        <v>19262</v>
      </c>
      <c r="B5195" s="9" t="s">
        <v>6952</v>
      </c>
      <c r="G5195" s="9" t="s">
        <v>6953</v>
      </c>
      <c r="O5195" s="10">
        <f>IFERROR(__xludf.DUMMYFUNCTION("VALUE(REGEXEXTRACT(A5195, ""\d+""))"),7908.0)</f>
        <v>7908</v>
      </c>
    </row>
    <row r="5196">
      <c r="A5196" s="9" t="s">
        <v>19263</v>
      </c>
      <c r="B5196" s="9" t="s">
        <v>19264</v>
      </c>
      <c r="G5196" s="9" t="s">
        <v>19265</v>
      </c>
      <c r="O5196" s="10">
        <f>IFERROR(__xludf.DUMMYFUNCTION("VALUE(REGEXEXTRACT(A5196, ""\d+""))"),7909.0)</f>
        <v>7909</v>
      </c>
    </row>
    <row r="5197">
      <c r="A5197" s="9" t="s">
        <v>19266</v>
      </c>
      <c r="B5197" s="9" t="s">
        <v>19267</v>
      </c>
      <c r="G5197" s="9" t="s">
        <v>19268</v>
      </c>
      <c r="O5197" s="10">
        <f>IFERROR(__xludf.DUMMYFUNCTION("VALUE(REGEXEXTRACT(A5197, ""\d+""))"),7910.0)</f>
        <v>7910</v>
      </c>
    </row>
    <row r="5198">
      <c r="A5198" s="9" t="s">
        <v>19269</v>
      </c>
      <c r="B5198" s="9" t="s">
        <v>19270</v>
      </c>
      <c r="G5198" s="9" t="s">
        <v>19271</v>
      </c>
      <c r="O5198" s="10">
        <f>IFERROR(__xludf.DUMMYFUNCTION("VALUE(REGEXEXTRACT(A5198, ""\d+""))"),7911.0)</f>
        <v>7911</v>
      </c>
    </row>
    <row r="5199">
      <c r="A5199" s="9" t="s">
        <v>19272</v>
      </c>
      <c r="B5199" s="9" t="s">
        <v>19273</v>
      </c>
      <c r="G5199" s="9" t="s">
        <v>19274</v>
      </c>
      <c r="O5199" s="10">
        <f>IFERROR(__xludf.DUMMYFUNCTION("VALUE(REGEXEXTRACT(A5199, ""\d+""))"),7912.0)</f>
        <v>7912</v>
      </c>
    </row>
    <row r="5200">
      <c r="A5200" s="9" t="s">
        <v>19275</v>
      </c>
      <c r="B5200" s="9" t="s">
        <v>19276</v>
      </c>
      <c r="G5200" s="9" t="s">
        <v>19277</v>
      </c>
      <c r="O5200" s="10">
        <f>IFERROR(__xludf.DUMMYFUNCTION("VALUE(REGEXEXTRACT(A5200, ""\d+""))"),7913.0)</f>
        <v>7913</v>
      </c>
    </row>
    <row r="5201">
      <c r="A5201" s="9" t="s">
        <v>19278</v>
      </c>
      <c r="B5201" s="9" t="s">
        <v>19279</v>
      </c>
      <c r="G5201" s="9" t="s">
        <v>19280</v>
      </c>
      <c r="O5201" s="10">
        <f>IFERROR(__xludf.DUMMYFUNCTION("VALUE(REGEXEXTRACT(A5201, ""\d+""))"),7914.0)</f>
        <v>7914</v>
      </c>
    </row>
    <row r="5202">
      <c r="A5202" s="9" t="s">
        <v>19281</v>
      </c>
      <c r="B5202" s="9" t="s">
        <v>19282</v>
      </c>
      <c r="G5202" s="9" t="s">
        <v>19283</v>
      </c>
      <c r="O5202" s="10">
        <f>IFERROR(__xludf.DUMMYFUNCTION("VALUE(REGEXEXTRACT(A5202, ""\d+""))"),7915.0)</f>
        <v>7915</v>
      </c>
    </row>
    <row r="5203">
      <c r="A5203" s="9" t="s">
        <v>19284</v>
      </c>
      <c r="B5203" s="9" t="s">
        <v>19285</v>
      </c>
      <c r="G5203" s="9" t="s">
        <v>19286</v>
      </c>
      <c r="O5203" s="10">
        <f>IFERROR(__xludf.DUMMYFUNCTION("VALUE(REGEXEXTRACT(A5203, ""\d+""))"),7917.0)</f>
        <v>7917</v>
      </c>
    </row>
    <row r="5204">
      <c r="A5204" s="9" t="s">
        <v>19287</v>
      </c>
      <c r="B5204" s="9" t="s">
        <v>19288</v>
      </c>
      <c r="G5204" s="9" t="s">
        <v>19289</v>
      </c>
      <c r="O5204" s="10">
        <f>IFERROR(__xludf.DUMMYFUNCTION("VALUE(REGEXEXTRACT(A5204, ""\d+""))"),7919.0)</f>
        <v>7919</v>
      </c>
    </row>
    <row r="5205">
      <c r="A5205" s="9" t="s">
        <v>19290</v>
      </c>
      <c r="B5205" s="9" t="s">
        <v>19291</v>
      </c>
      <c r="G5205" s="9" t="s">
        <v>19292</v>
      </c>
      <c r="O5205" s="10">
        <f>IFERROR(__xludf.DUMMYFUNCTION("VALUE(REGEXEXTRACT(A5205, ""\d+""))"),7920.0)</f>
        <v>7920</v>
      </c>
    </row>
    <row r="5206">
      <c r="A5206" s="9" t="s">
        <v>19293</v>
      </c>
      <c r="B5206" s="9" t="s">
        <v>19294</v>
      </c>
      <c r="G5206" s="9" t="s">
        <v>19295</v>
      </c>
      <c r="O5206" s="10">
        <f>IFERROR(__xludf.DUMMYFUNCTION("VALUE(REGEXEXTRACT(A5206, ""\d+""))"),7921.0)</f>
        <v>7921</v>
      </c>
    </row>
    <row r="5207">
      <c r="A5207" s="9" t="s">
        <v>19296</v>
      </c>
      <c r="B5207" s="9" t="s">
        <v>19297</v>
      </c>
      <c r="G5207" s="9" t="s">
        <v>19298</v>
      </c>
      <c r="O5207" s="10">
        <f>IFERROR(__xludf.DUMMYFUNCTION("VALUE(REGEXEXTRACT(A5207, ""\d+""))"),7922.0)</f>
        <v>7922</v>
      </c>
    </row>
    <row r="5208">
      <c r="A5208" s="9" t="s">
        <v>19299</v>
      </c>
      <c r="B5208" s="9" t="s">
        <v>19300</v>
      </c>
      <c r="G5208" s="9" t="s">
        <v>19301</v>
      </c>
      <c r="O5208" s="10">
        <f>IFERROR(__xludf.DUMMYFUNCTION("VALUE(REGEXEXTRACT(A5208, ""\d+""))"),7923.0)</f>
        <v>7923</v>
      </c>
    </row>
    <row r="5209">
      <c r="A5209" s="9" t="s">
        <v>19302</v>
      </c>
      <c r="B5209" s="9" t="s">
        <v>19303</v>
      </c>
      <c r="G5209" s="9" t="s">
        <v>19304</v>
      </c>
      <c r="O5209" s="10">
        <f>IFERROR(__xludf.DUMMYFUNCTION("VALUE(REGEXEXTRACT(A5209, ""\d+""))"),7924.0)</f>
        <v>7924</v>
      </c>
    </row>
    <row r="5210">
      <c r="A5210" s="9" t="s">
        <v>19305</v>
      </c>
      <c r="B5210" s="9" t="s">
        <v>19306</v>
      </c>
      <c r="G5210" s="9" t="s">
        <v>19307</v>
      </c>
      <c r="O5210" s="10">
        <f>IFERROR(__xludf.DUMMYFUNCTION("VALUE(REGEXEXTRACT(A5210, ""\d+""))"),7925.0)</f>
        <v>7925</v>
      </c>
    </row>
    <row r="5211">
      <c r="A5211" s="9" t="s">
        <v>19308</v>
      </c>
      <c r="B5211" s="9" t="s">
        <v>19309</v>
      </c>
      <c r="G5211" s="9" t="s">
        <v>19310</v>
      </c>
      <c r="O5211" s="10">
        <f>IFERROR(__xludf.DUMMYFUNCTION("VALUE(REGEXEXTRACT(A5211, ""\d+""))"),7926.0)</f>
        <v>7926</v>
      </c>
    </row>
    <row r="5212">
      <c r="A5212" s="9" t="s">
        <v>19311</v>
      </c>
      <c r="B5212" s="9" t="s">
        <v>19312</v>
      </c>
      <c r="G5212" s="9" t="s">
        <v>19310</v>
      </c>
      <c r="O5212" s="10">
        <f>IFERROR(__xludf.DUMMYFUNCTION("VALUE(REGEXEXTRACT(A5212, ""\d+""))"),7927.0)</f>
        <v>7927</v>
      </c>
    </row>
    <row r="5213">
      <c r="A5213" s="9" t="s">
        <v>19313</v>
      </c>
      <c r="B5213" s="9" t="s">
        <v>19314</v>
      </c>
      <c r="G5213" s="9" t="s">
        <v>19315</v>
      </c>
      <c r="O5213" s="10">
        <f>IFERROR(__xludf.DUMMYFUNCTION("VALUE(REGEXEXTRACT(A5213, ""\d+""))"),7928.0)</f>
        <v>7928</v>
      </c>
    </row>
    <row r="5214">
      <c r="A5214" s="9" t="s">
        <v>19316</v>
      </c>
      <c r="B5214" s="9" t="s">
        <v>19317</v>
      </c>
      <c r="G5214" s="9" t="s">
        <v>19317</v>
      </c>
      <c r="O5214" s="10">
        <f>IFERROR(__xludf.DUMMYFUNCTION("VALUE(REGEXEXTRACT(A5214, ""\d+""))"),7929.0)</f>
        <v>7929</v>
      </c>
    </row>
    <row r="5215">
      <c r="A5215" s="9" t="s">
        <v>19318</v>
      </c>
      <c r="B5215" s="9" t="s">
        <v>19319</v>
      </c>
      <c r="G5215" s="9" t="s">
        <v>19320</v>
      </c>
      <c r="O5215" s="10">
        <f>IFERROR(__xludf.DUMMYFUNCTION("VALUE(REGEXEXTRACT(A5215, ""\d+""))"),7930.0)</f>
        <v>7930</v>
      </c>
    </row>
    <row r="5216">
      <c r="A5216" s="9" t="s">
        <v>19321</v>
      </c>
      <c r="B5216" s="9" t="s">
        <v>19322</v>
      </c>
      <c r="G5216" s="9" t="s">
        <v>19323</v>
      </c>
      <c r="O5216" s="10">
        <f>IFERROR(__xludf.DUMMYFUNCTION("VALUE(REGEXEXTRACT(A5216, ""\d+""))"),7931.0)</f>
        <v>7931</v>
      </c>
    </row>
    <row r="5217">
      <c r="A5217" s="9" t="s">
        <v>19324</v>
      </c>
      <c r="B5217" s="9" t="s">
        <v>19325</v>
      </c>
      <c r="G5217" s="9" t="s">
        <v>19326</v>
      </c>
      <c r="O5217" s="10">
        <f>IFERROR(__xludf.DUMMYFUNCTION("VALUE(REGEXEXTRACT(A5217, ""\d+""))"),7932.0)</f>
        <v>7932</v>
      </c>
    </row>
    <row r="5218">
      <c r="A5218" s="9" t="s">
        <v>19327</v>
      </c>
      <c r="B5218" s="9" t="s">
        <v>19328</v>
      </c>
      <c r="G5218" s="9" t="s">
        <v>19329</v>
      </c>
      <c r="O5218" s="10">
        <f>IFERROR(__xludf.DUMMYFUNCTION("VALUE(REGEXEXTRACT(A5218, ""\d+""))"),7933.0)</f>
        <v>7933</v>
      </c>
    </row>
    <row r="5219">
      <c r="A5219" s="9" t="s">
        <v>19330</v>
      </c>
      <c r="B5219" s="9" t="s">
        <v>19331</v>
      </c>
      <c r="G5219" s="9" t="s">
        <v>19332</v>
      </c>
      <c r="O5219" s="10">
        <f>IFERROR(__xludf.DUMMYFUNCTION("VALUE(REGEXEXTRACT(A5219, ""\d+""))"),7934.0)</f>
        <v>7934</v>
      </c>
    </row>
    <row r="5220">
      <c r="A5220" s="9" t="s">
        <v>19333</v>
      </c>
      <c r="B5220" s="9" t="s">
        <v>13130</v>
      </c>
      <c r="G5220" s="9" t="s">
        <v>13131</v>
      </c>
      <c r="O5220" s="10">
        <f>IFERROR(__xludf.DUMMYFUNCTION("VALUE(REGEXEXTRACT(A5220, ""\d+""))"),7935.0)</f>
        <v>7935</v>
      </c>
    </row>
    <row r="5221">
      <c r="A5221" s="9" t="s">
        <v>19334</v>
      </c>
      <c r="B5221" s="9" t="s">
        <v>19335</v>
      </c>
      <c r="G5221" s="9" t="s">
        <v>19336</v>
      </c>
      <c r="O5221" s="10">
        <f>IFERROR(__xludf.DUMMYFUNCTION("VALUE(REGEXEXTRACT(A5221, ""\d+""))"),7936.0)</f>
        <v>7936</v>
      </c>
    </row>
    <row r="5222">
      <c r="A5222" s="9" t="s">
        <v>19337</v>
      </c>
      <c r="B5222" s="9" t="s">
        <v>19338</v>
      </c>
      <c r="G5222" s="9" t="s">
        <v>19339</v>
      </c>
      <c r="O5222" s="10">
        <f>IFERROR(__xludf.DUMMYFUNCTION("VALUE(REGEXEXTRACT(A5222, ""\d+""))"),7937.0)</f>
        <v>7937</v>
      </c>
    </row>
    <row r="5223">
      <c r="A5223" s="9" t="s">
        <v>19340</v>
      </c>
      <c r="B5223" s="9" t="s">
        <v>19341</v>
      </c>
      <c r="G5223" s="9" t="s">
        <v>19342</v>
      </c>
      <c r="O5223" s="10">
        <f>IFERROR(__xludf.DUMMYFUNCTION("VALUE(REGEXEXTRACT(A5223, ""\d+""))"),7938.0)</f>
        <v>7938</v>
      </c>
    </row>
    <row r="5224">
      <c r="A5224" s="9" t="s">
        <v>19343</v>
      </c>
      <c r="B5224" s="9" t="s">
        <v>19341</v>
      </c>
      <c r="G5224" s="9" t="s">
        <v>19342</v>
      </c>
      <c r="O5224" s="10">
        <f>IFERROR(__xludf.DUMMYFUNCTION("VALUE(REGEXEXTRACT(A5224, ""\d+""))"),7939.0)</f>
        <v>7939</v>
      </c>
    </row>
    <row r="5225">
      <c r="A5225" s="9" t="s">
        <v>19344</v>
      </c>
      <c r="B5225" s="9" t="s">
        <v>19345</v>
      </c>
      <c r="G5225" s="9" t="s">
        <v>19346</v>
      </c>
      <c r="O5225" s="10">
        <f>IFERROR(__xludf.DUMMYFUNCTION("VALUE(REGEXEXTRACT(A5225, ""\d+""))"),7940.0)</f>
        <v>7940</v>
      </c>
    </row>
    <row r="5226">
      <c r="A5226" s="9" t="s">
        <v>19347</v>
      </c>
      <c r="B5226" s="9" t="s">
        <v>19348</v>
      </c>
      <c r="G5226" s="9" t="s">
        <v>19349</v>
      </c>
      <c r="O5226" s="10">
        <f>IFERROR(__xludf.DUMMYFUNCTION("VALUE(REGEXEXTRACT(A5226, ""\d+""))"),7941.0)</f>
        <v>7941</v>
      </c>
    </row>
    <row r="5227">
      <c r="A5227" s="9" t="s">
        <v>19350</v>
      </c>
      <c r="B5227" s="9" t="s">
        <v>19345</v>
      </c>
      <c r="G5227" s="9" t="s">
        <v>19346</v>
      </c>
      <c r="O5227" s="10">
        <f>IFERROR(__xludf.DUMMYFUNCTION("VALUE(REGEXEXTRACT(A5227, ""\d+""))"),7942.0)</f>
        <v>7942</v>
      </c>
    </row>
    <row r="5228">
      <c r="A5228" s="9" t="s">
        <v>19351</v>
      </c>
      <c r="B5228" s="9" t="s">
        <v>19352</v>
      </c>
      <c r="G5228" s="9" t="s">
        <v>19353</v>
      </c>
      <c r="O5228" s="10">
        <f>IFERROR(__xludf.DUMMYFUNCTION("VALUE(REGEXEXTRACT(A5228, ""\d+""))"),7943.0)</f>
        <v>7943</v>
      </c>
    </row>
    <row r="5229">
      <c r="A5229" s="9" t="s">
        <v>19354</v>
      </c>
      <c r="B5229" s="9" t="s">
        <v>19355</v>
      </c>
      <c r="G5229" s="9" t="s">
        <v>19356</v>
      </c>
      <c r="O5229" s="10">
        <f>IFERROR(__xludf.DUMMYFUNCTION("VALUE(REGEXEXTRACT(A5229, ""\d+""))"),7944.0)</f>
        <v>7944</v>
      </c>
    </row>
    <row r="5230">
      <c r="A5230" s="9" t="s">
        <v>19357</v>
      </c>
      <c r="B5230" s="9" t="s">
        <v>19358</v>
      </c>
      <c r="G5230" s="9" t="s">
        <v>19359</v>
      </c>
      <c r="O5230" s="10">
        <f>IFERROR(__xludf.DUMMYFUNCTION("VALUE(REGEXEXTRACT(A5230, ""\d+""))"),7945.0)</f>
        <v>7945</v>
      </c>
    </row>
    <row r="5231">
      <c r="A5231" s="9" t="s">
        <v>19360</v>
      </c>
      <c r="B5231" s="9" t="s">
        <v>19361</v>
      </c>
      <c r="G5231" s="9" t="s">
        <v>19362</v>
      </c>
      <c r="O5231" s="10">
        <f>IFERROR(__xludf.DUMMYFUNCTION("VALUE(REGEXEXTRACT(A5231, ""\d+""))"),7946.0)</f>
        <v>7946</v>
      </c>
    </row>
    <row r="5232">
      <c r="A5232" s="9" t="s">
        <v>19363</v>
      </c>
      <c r="B5232" s="9" t="s">
        <v>19364</v>
      </c>
      <c r="G5232" s="9" t="s">
        <v>19365</v>
      </c>
      <c r="O5232" s="10">
        <f>IFERROR(__xludf.DUMMYFUNCTION("VALUE(REGEXEXTRACT(A5232, ""\d+""))"),7947.0)</f>
        <v>7947</v>
      </c>
    </row>
    <row r="5233">
      <c r="A5233" s="9" t="s">
        <v>19366</v>
      </c>
      <c r="B5233" s="9" t="s">
        <v>19367</v>
      </c>
      <c r="G5233" s="9" t="s">
        <v>19368</v>
      </c>
      <c r="O5233" s="10">
        <f>IFERROR(__xludf.DUMMYFUNCTION("VALUE(REGEXEXTRACT(A5233, ""\d+""))"),7948.0)</f>
        <v>7948</v>
      </c>
    </row>
    <row r="5234">
      <c r="A5234" s="9" t="s">
        <v>19369</v>
      </c>
      <c r="B5234" s="9" t="s">
        <v>19370</v>
      </c>
      <c r="G5234" s="9" t="s">
        <v>19371</v>
      </c>
      <c r="O5234" s="10">
        <f>IFERROR(__xludf.DUMMYFUNCTION("VALUE(REGEXEXTRACT(A5234, ""\d+""))"),7949.0)</f>
        <v>7949</v>
      </c>
    </row>
    <row r="5235">
      <c r="A5235" s="9" t="s">
        <v>19372</v>
      </c>
      <c r="B5235" s="9" t="s">
        <v>19373</v>
      </c>
      <c r="G5235" s="9" t="s">
        <v>19374</v>
      </c>
      <c r="O5235" s="10">
        <f>IFERROR(__xludf.DUMMYFUNCTION("VALUE(REGEXEXTRACT(A5235, ""\d+""))"),7950.0)</f>
        <v>7950</v>
      </c>
    </row>
    <row r="5236">
      <c r="A5236" s="9" t="s">
        <v>19375</v>
      </c>
      <c r="B5236" s="9" t="s">
        <v>19376</v>
      </c>
      <c r="G5236" s="9" t="s">
        <v>19377</v>
      </c>
      <c r="O5236" s="10">
        <f>IFERROR(__xludf.DUMMYFUNCTION("VALUE(REGEXEXTRACT(A5236, ""\d+""))"),7951.0)</f>
        <v>7951</v>
      </c>
    </row>
    <row r="5237">
      <c r="A5237" s="9" t="s">
        <v>19378</v>
      </c>
      <c r="B5237" s="9" t="s">
        <v>19379</v>
      </c>
      <c r="G5237" s="9" t="s">
        <v>19380</v>
      </c>
      <c r="O5237" s="10">
        <f>IFERROR(__xludf.DUMMYFUNCTION("VALUE(REGEXEXTRACT(A5237, ""\d+""))"),7952.0)</f>
        <v>7952</v>
      </c>
    </row>
    <row r="5238">
      <c r="A5238" s="9" t="s">
        <v>19381</v>
      </c>
      <c r="B5238" s="9" t="s">
        <v>19382</v>
      </c>
      <c r="G5238" s="9" t="s">
        <v>19383</v>
      </c>
      <c r="O5238" s="10">
        <f>IFERROR(__xludf.DUMMYFUNCTION("VALUE(REGEXEXTRACT(A5238, ""\d+""))"),7953.0)</f>
        <v>7953</v>
      </c>
    </row>
    <row r="5239">
      <c r="A5239" s="9" t="s">
        <v>19384</v>
      </c>
      <c r="B5239" s="9" t="s">
        <v>19385</v>
      </c>
      <c r="G5239" s="9" t="s">
        <v>19386</v>
      </c>
      <c r="O5239" s="10">
        <f>IFERROR(__xludf.DUMMYFUNCTION("VALUE(REGEXEXTRACT(A5239, ""\d+""))"),7954.0)</f>
        <v>7954</v>
      </c>
    </row>
    <row r="5240">
      <c r="A5240" s="9" t="s">
        <v>19387</v>
      </c>
      <c r="B5240" s="9" t="s">
        <v>19388</v>
      </c>
      <c r="G5240" s="9" t="s">
        <v>19389</v>
      </c>
      <c r="O5240" s="10">
        <f>IFERROR(__xludf.DUMMYFUNCTION("VALUE(REGEXEXTRACT(A5240, ""\d+""))"),7955.0)</f>
        <v>7955</v>
      </c>
    </row>
    <row r="5241">
      <c r="A5241" s="9" t="s">
        <v>19390</v>
      </c>
      <c r="B5241" s="9" t="s">
        <v>19391</v>
      </c>
      <c r="G5241" s="9" t="s">
        <v>19392</v>
      </c>
      <c r="O5241" s="10">
        <f>IFERROR(__xludf.DUMMYFUNCTION("VALUE(REGEXEXTRACT(A5241, ""\d+""))"),7956.0)</f>
        <v>7956</v>
      </c>
    </row>
    <row r="5242">
      <c r="A5242" s="9" t="s">
        <v>19393</v>
      </c>
      <c r="B5242" s="9" t="s">
        <v>19394</v>
      </c>
      <c r="G5242" s="9" t="s">
        <v>18593</v>
      </c>
      <c r="O5242" s="10">
        <f>IFERROR(__xludf.DUMMYFUNCTION("VALUE(REGEXEXTRACT(A5242, ""\d+""))"),7957.0)</f>
        <v>7957</v>
      </c>
    </row>
    <row r="5243">
      <c r="A5243" s="9" t="s">
        <v>19395</v>
      </c>
      <c r="B5243" s="9" t="s">
        <v>19396</v>
      </c>
      <c r="G5243" s="9" t="s">
        <v>19397</v>
      </c>
      <c r="O5243" s="10">
        <f>IFERROR(__xludf.DUMMYFUNCTION("VALUE(REGEXEXTRACT(A5243, ""\d+""))"),7958.0)</f>
        <v>7958</v>
      </c>
    </row>
    <row r="5244">
      <c r="A5244" s="9" t="s">
        <v>19398</v>
      </c>
      <c r="B5244" s="9" t="s">
        <v>19399</v>
      </c>
      <c r="G5244" s="9" t="s">
        <v>19400</v>
      </c>
      <c r="O5244" s="10">
        <f>IFERROR(__xludf.DUMMYFUNCTION("VALUE(REGEXEXTRACT(A5244, ""\d+""))"),7959.0)</f>
        <v>7959</v>
      </c>
    </row>
    <row r="5245">
      <c r="A5245" s="9" t="s">
        <v>19401</v>
      </c>
      <c r="B5245" s="9" t="s">
        <v>19402</v>
      </c>
      <c r="G5245" s="9" t="s">
        <v>19403</v>
      </c>
      <c r="O5245" s="10">
        <f>IFERROR(__xludf.DUMMYFUNCTION("VALUE(REGEXEXTRACT(A5245, ""\d+""))"),7960.0)</f>
        <v>7960</v>
      </c>
    </row>
    <row r="5246">
      <c r="A5246" s="9" t="s">
        <v>19404</v>
      </c>
      <c r="B5246" s="9" t="s">
        <v>16026</v>
      </c>
      <c r="G5246" s="9" t="s">
        <v>16027</v>
      </c>
      <c r="O5246" s="10">
        <f>IFERROR(__xludf.DUMMYFUNCTION("VALUE(REGEXEXTRACT(A5246, ""\d+""))"),7961.0)</f>
        <v>7961</v>
      </c>
    </row>
    <row r="5247">
      <c r="A5247" s="9" t="s">
        <v>19405</v>
      </c>
      <c r="B5247" s="9" t="s">
        <v>16026</v>
      </c>
      <c r="G5247" s="9" t="s">
        <v>16027</v>
      </c>
      <c r="O5247" s="10">
        <f>IFERROR(__xludf.DUMMYFUNCTION("VALUE(REGEXEXTRACT(A5247, ""\d+""))"),7962.0)</f>
        <v>7962</v>
      </c>
    </row>
    <row r="5248">
      <c r="A5248" s="9" t="s">
        <v>19406</v>
      </c>
      <c r="B5248" s="9" t="s">
        <v>19407</v>
      </c>
      <c r="G5248" s="9" t="s">
        <v>19408</v>
      </c>
      <c r="O5248" s="10">
        <f>IFERROR(__xludf.DUMMYFUNCTION("VALUE(REGEXEXTRACT(A5248, ""\d+""))"),7963.0)</f>
        <v>7963</v>
      </c>
    </row>
    <row r="5249">
      <c r="A5249" s="9" t="s">
        <v>19409</v>
      </c>
      <c r="B5249" s="9" t="s">
        <v>19410</v>
      </c>
      <c r="G5249" s="9" t="s">
        <v>19411</v>
      </c>
      <c r="O5249" s="10">
        <f>IFERROR(__xludf.DUMMYFUNCTION("VALUE(REGEXEXTRACT(A5249, ""\d+""))"),7964.0)</f>
        <v>7964</v>
      </c>
    </row>
    <row r="5250">
      <c r="A5250" s="9" t="s">
        <v>19412</v>
      </c>
      <c r="B5250" s="9" t="s">
        <v>19410</v>
      </c>
      <c r="G5250" s="9" t="s">
        <v>19411</v>
      </c>
      <c r="O5250" s="10">
        <f>IFERROR(__xludf.DUMMYFUNCTION("VALUE(REGEXEXTRACT(A5250, ""\d+""))"),7965.0)</f>
        <v>7965</v>
      </c>
    </row>
    <row r="5251">
      <c r="A5251" s="9" t="s">
        <v>19413</v>
      </c>
      <c r="B5251" s="9" t="s">
        <v>19407</v>
      </c>
      <c r="G5251" s="9" t="s">
        <v>19408</v>
      </c>
      <c r="O5251" s="10">
        <f>IFERROR(__xludf.DUMMYFUNCTION("VALUE(REGEXEXTRACT(A5251, ""\d+""))"),7966.0)</f>
        <v>7966</v>
      </c>
    </row>
    <row r="5252">
      <c r="A5252" s="9" t="s">
        <v>19414</v>
      </c>
      <c r="B5252" s="9" t="s">
        <v>19415</v>
      </c>
      <c r="G5252" s="9" t="s">
        <v>19416</v>
      </c>
      <c r="O5252" s="10">
        <f>IFERROR(__xludf.DUMMYFUNCTION("VALUE(REGEXEXTRACT(A5252, ""\d+""))"),7967.0)</f>
        <v>7967</v>
      </c>
    </row>
    <row r="5253">
      <c r="A5253" s="9" t="s">
        <v>19417</v>
      </c>
      <c r="B5253" s="9" t="s">
        <v>19418</v>
      </c>
      <c r="G5253" s="9" t="s">
        <v>19419</v>
      </c>
      <c r="O5253" s="10">
        <f>IFERROR(__xludf.DUMMYFUNCTION("VALUE(REGEXEXTRACT(A5253, ""\d+""))"),7968.0)</f>
        <v>7968</v>
      </c>
    </row>
    <row r="5254">
      <c r="A5254" s="9" t="s">
        <v>19420</v>
      </c>
      <c r="B5254" s="9" t="s">
        <v>19421</v>
      </c>
      <c r="G5254" s="9" t="s">
        <v>19422</v>
      </c>
      <c r="O5254" s="10">
        <f>IFERROR(__xludf.DUMMYFUNCTION("VALUE(REGEXEXTRACT(A5254, ""\d+""))"),7969.0)</f>
        <v>7969</v>
      </c>
    </row>
    <row r="5255">
      <c r="A5255" s="9" t="s">
        <v>19423</v>
      </c>
      <c r="B5255" s="9" t="s">
        <v>18748</v>
      </c>
      <c r="G5255" s="9" t="s">
        <v>18749</v>
      </c>
      <c r="O5255" s="10">
        <f>IFERROR(__xludf.DUMMYFUNCTION("VALUE(REGEXEXTRACT(A5255, ""\d+""))"),7970.0)</f>
        <v>7970</v>
      </c>
    </row>
    <row r="5256">
      <c r="A5256" s="9" t="s">
        <v>19424</v>
      </c>
      <c r="B5256" s="9" t="s">
        <v>18748</v>
      </c>
      <c r="G5256" s="9" t="s">
        <v>18749</v>
      </c>
      <c r="O5256" s="10">
        <f>IFERROR(__xludf.DUMMYFUNCTION("VALUE(REGEXEXTRACT(A5256, ""\d+""))"),7971.0)</f>
        <v>7971</v>
      </c>
    </row>
    <row r="5257">
      <c r="A5257" s="9" t="s">
        <v>19425</v>
      </c>
      <c r="B5257" s="9" t="s">
        <v>19426</v>
      </c>
      <c r="G5257" s="9" t="s">
        <v>19427</v>
      </c>
      <c r="O5257" s="10">
        <f>IFERROR(__xludf.DUMMYFUNCTION("VALUE(REGEXEXTRACT(A5257, ""\d+""))"),7972.0)</f>
        <v>7972</v>
      </c>
    </row>
    <row r="5258">
      <c r="A5258" s="9" t="s">
        <v>19428</v>
      </c>
      <c r="B5258" s="9" t="s">
        <v>19429</v>
      </c>
      <c r="G5258" s="9" t="s">
        <v>19430</v>
      </c>
      <c r="O5258" s="10">
        <f>IFERROR(__xludf.DUMMYFUNCTION("VALUE(REGEXEXTRACT(A5258, ""\d+""))"),7973.0)</f>
        <v>7973</v>
      </c>
    </row>
    <row r="5259">
      <c r="A5259" s="9" t="s">
        <v>19431</v>
      </c>
      <c r="B5259" s="9" t="s">
        <v>19432</v>
      </c>
      <c r="G5259" s="9" t="s">
        <v>19433</v>
      </c>
      <c r="O5259" s="10">
        <f>IFERROR(__xludf.DUMMYFUNCTION("VALUE(REGEXEXTRACT(A5259, ""\d+""))"),7974.0)</f>
        <v>7974</v>
      </c>
    </row>
    <row r="5260">
      <c r="A5260" s="9" t="s">
        <v>19434</v>
      </c>
      <c r="B5260" s="9" t="s">
        <v>19435</v>
      </c>
      <c r="G5260" s="9" t="s">
        <v>19436</v>
      </c>
      <c r="O5260" s="10">
        <f>IFERROR(__xludf.DUMMYFUNCTION("VALUE(REGEXEXTRACT(A5260, ""\d+""))"),7975.0)</f>
        <v>7975</v>
      </c>
    </row>
    <row r="5261">
      <c r="A5261" s="9" t="s">
        <v>19437</v>
      </c>
      <c r="B5261" s="9" t="s">
        <v>19438</v>
      </c>
      <c r="G5261" s="9" t="s">
        <v>19439</v>
      </c>
      <c r="O5261" s="10">
        <f>IFERROR(__xludf.DUMMYFUNCTION("VALUE(REGEXEXTRACT(A5261, ""\d+""))"),7976.0)</f>
        <v>7976</v>
      </c>
    </row>
    <row r="5262">
      <c r="A5262" s="9" t="s">
        <v>19440</v>
      </c>
      <c r="B5262" s="9" t="s">
        <v>19441</v>
      </c>
      <c r="G5262" s="9" t="s">
        <v>19442</v>
      </c>
      <c r="O5262" s="10">
        <f>IFERROR(__xludf.DUMMYFUNCTION("VALUE(REGEXEXTRACT(A5262, ""\d+""))"),7977.0)</f>
        <v>7977</v>
      </c>
    </row>
    <row r="5263">
      <c r="A5263" s="9" t="s">
        <v>19443</v>
      </c>
      <c r="B5263" s="9" t="s">
        <v>19444</v>
      </c>
      <c r="G5263" s="9" t="s">
        <v>19445</v>
      </c>
      <c r="O5263" s="10">
        <f>IFERROR(__xludf.DUMMYFUNCTION("VALUE(REGEXEXTRACT(A5263, ""\d+""))"),7978.0)</f>
        <v>7978</v>
      </c>
    </row>
    <row r="5264">
      <c r="A5264" s="9" t="s">
        <v>19446</v>
      </c>
      <c r="B5264" s="9" t="s">
        <v>19447</v>
      </c>
      <c r="G5264" s="9" t="s">
        <v>19448</v>
      </c>
      <c r="O5264" s="10">
        <f>IFERROR(__xludf.DUMMYFUNCTION("VALUE(REGEXEXTRACT(A5264, ""\d+""))"),7979.0)</f>
        <v>7979</v>
      </c>
    </row>
    <row r="5265">
      <c r="A5265" s="9" t="s">
        <v>19449</v>
      </c>
      <c r="B5265" s="9" t="s">
        <v>19450</v>
      </c>
      <c r="G5265" s="9" t="s">
        <v>19451</v>
      </c>
      <c r="O5265" s="10">
        <f>IFERROR(__xludf.DUMMYFUNCTION("VALUE(REGEXEXTRACT(A5265, ""\d+""))"),7980.0)</f>
        <v>7980</v>
      </c>
    </row>
    <row r="5266">
      <c r="A5266" s="9" t="s">
        <v>19452</v>
      </c>
      <c r="B5266" s="9" t="s">
        <v>19453</v>
      </c>
      <c r="G5266" s="9" t="s">
        <v>19454</v>
      </c>
      <c r="O5266" s="10">
        <f>IFERROR(__xludf.DUMMYFUNCTION("VALUE(REGEXEXTRACT(A5266, ""\d+""))"),7982.0)</f>
        <v>7982</v>
      </c>
    </row>
    <row r="5267">
      <c r="A5267" s="9" t="s">
        <v>19455</v>
      </c>
      <c r="B5267" s="9" t="s">
        <v>19456</v>
      </c>
      <c r="G5267" s="9" t="s">
        <v>19457</v>
      </c>
      <c r="O5267" s="10">
        <f>IFERROR(__xludf.DUMMYFUNCTION("VALUE(REGEXEXTRACT(A5267, ""\d+""))"),7983.0)</f>
        <v>7983</v>
      </c>
    </row>
    <row r="5268">
      <c r="A5268" s="9" t="s">
        <v>19458</v>
      </c>
      <c r="B5268" s="9" t="s">
        <v>19459</v>
      </c>
      <c r="G5268" s="9" t="s">
        <v>19460</v>
      </c>
      <c r="O5268" s="10">
        <f>IFERROR(__xludf.DUMMYFUNCTION("VALUE(REGEXEXTRACT(A5268, ""\d+""))"),7984.0)</f>
        <v>7984</v>
      </c>
    </row>
    <row r="5269">
      <c r="A5269" s="9" t="s">
        <v>19461</v>
      </c>
      <c r="B5269" s="9" t="s">
        <v>19462</v>
      </c>
      <c r="G5269" s="9" t="s">
        <v>19463</v>
      </c>
      <c r="O5269" s="10">
        <f>IFERROR(__xludf.DUMMYFUNCTION("VALUE(REGEXEXTRACT(A5269, ""\d+""))"),7985.0)</f>
        <v>7985</v>
      </c>
    </row>
    <row r="5270">
      <c r="A5270" s="9" t="s">
        <v>19464</v>
      </c>
      <c r="B5270" s="9" t="s">
        <v>19465</v>
      </c>
      <c r="G5270" s="9" t="s">
        <v>19466</v>
      </c>
      <c r="O5270" s="10">
        <f>IFERROR(__xludf.DUMMYFUNCTION("VALUE(REGEXEXTRACT(A5270, ""\d+""))"),7986.0)</f>
        <v>7986</v>
      </c>
    </row>
    <row r="5271">
      <c r="A5271" s="9" t="s">
        <v>19467</v>
      </c>
      <c r="B5271" s="9" t="s">
        <v>19468</v>
      </c>
      <c r="G5271" s="9" t="s">
        <v>19469</v>
      </c>
      <c r="O5271" s="10">
        <f>IFERROR(__xludf.DUMMYFUNCTION("VALUE(REGEXEXTRACT(A5271, ""\d+""))"),7987.0)</f>
        <v>7987</v>
      </c>
    </row>
    <row r="5272">
      <c r="A5272" s="9" t="s">
        <v>19470</v>
      </c>
      <c r="B5272" s="9" t="s">
        <v>19471</v>
      </c>
      <c r="G5272" s="9" t="s">
        <v>19472</v>
      </c>
      <c r="O5272" s="10">
        <f>IFERROR(__xludf.DUMMYFUNCTION("VALUE(REGEXEXTRACT(A5272, ""\d+""))"),7988.0)</f>
        <v>7988</v>
      </c>
    </row>
    <row r="5273">
      <c r="A5273" s="9" t="s">
        <v>19473</v>
      </c>
      <c r="B5273" s="9" t="s">
        <v>19474</v>
      </c>
      <c r="G5273" s="9" t="s">
        <v>19475</v>
      </c>
      <c r="O5273" s="10">
        <f>IFERROR(__xludf.DUMMYFUNCTION("VALUE(REGEXEXTRACT(A5273, ""\d+""))"),7989.0)</f>
        <v>7989</v>
      </c>
    </row>
    <row r="5274">
      <c r="A5274" s="9" t="s">
        <v>19476</v>
      </c>
      <c r="B5274" s="9" t="s">
        <v>19477</v>
      </c>
      <c r="G5274" s="9" t="s">
        <v>19478</v>
      </c>
      <c r="O5274" s="10">
        <f>IFERROR(__xludf.DUMMYFUNCTION("VALUE(REGEXEXTRACT(A5274, ""\d+""))"),7990.0)</f>
        <v>7990</v>
      </c>
    </row>
    <row r="5275">
      <c r="A5275" s="9" t="s">
        <v>19479</v>
      </c>
      <c r="B5275" s="9" t="s">
        <v>19480</v>
      </c>
      <c r="G5275" s="9" t="s">
        <v>19481</v>
      </c>
      <c r="O5275" s="10">
        <f>IFERROR(__xludf.DUMMYFUNCTION("VALUE(REGEXEXTRACT(A5275, ""\d+""))"),7991.0)</f>
        <v>7991</v>
      </c>
    </row>
    <row r="5276">
      <c r="A5276" s="9" t="s">
        <v>19482</v>
      </c>
      <c r="B5276" s="9" t="s">
        <v>19483</v>
      </c>
      <c r="G5276" s="9" t="s">
        <v>19484</v>
      </c>
      <c r="O5276" s="10">
        <f>IFERROR(__xludf.DUMMYFUNCTION("VALUE(REGEXEXTRACT(A5276, ""\d+""))"),7992.0)</f>
        <v>7992</v>
      </c>
    </row>
    <row r="5277">
      <c r="A5277" s="9" t="s">
        <v>19485</v>
      </c>
      <c r="B5277" s="9" t="s">
        <v>19486</v>
      </c>
      <c r="G5277" s="9" t="s">
        <v>19487</v>
      </c>
      <c r="O5277" s="10">
        <f>IFERROR(__xludf.DUMMYFUNCTION("VALUE(REGEXEXTRACT(A5277, ""\d+""))"),7993.0)</f>
        <v>7993</v>
      </c>
    </row>
    <row r="5278">
      <c r="A5278" s="9" t="s">
        <v>19488</v>
      </c>
      <c r="B5278" s="9" t="s">
        <v>19489</v>
      </c>
      <c r="G5278" s="9" t="s">
        <v>19490</v>
      </c>
      <c r="O5278" s="10">
        <f>IFERROR(__xludf.DUMMYFUNCTION("VALUE(REGEXEXTRACT(A5278, ""\d+""))"),7995.0)</f>
        <v>7995</v>
      </c>
    </row>
    <row r="5279">
      <c r="A5279" s="9" t="s">
        <v>19491</v>
      </c>
      <c r="B5279" s="9" t="s">
        <v>19492</v>
      </c>
      <c r="G5279" s="9" t="s">
        <v>19493</v>
      </c>
      <c r="O5279" s="10">
        <f>IFERROR(__xludf.DUMMYFUNCTION("VALUE(REGEXEXTRACT(A5279, ""\d+""))"),7997.0)</f>
        <v>7997</v>
      </c>
    </row>
    <row r="5280">
      <c r="A5280" s="9" t="s">
        <v>19494</v>
      </c>
      <c r="B5280" s="9" t="s">
        <v>19495</v>
      </c>
      <c r="G5280" s="9" t="s">
        <v>19496</v>
      </c>
      <c r="O5280" s="10">
        <f>IFERROR(__xludf.DUMMYFUNCTION("VALUE(REGEXEXTRACT(A5280, ""\d+""))"),7998.0)</f>
        <v>7998</v>
      </c>
    </row>
    <row r="5281">
      <c r="A5281" s="9" t="s">
        <v>19497</v>
      </c>
      <c r="B5281" s="9" t="s">
        <v>19498</v>
      </c>
      <c r="G5281" s="9" t="s">
        <v>19499</v>
      </c>
      <c r="O5281" s="10">
        <f>IFERROR(__xludf.DUMMYFUNCTION("VALUE(REGEXEXTRACT(A5281, ""\d+""))"),7999.0)</f>
        <v>7999</v>
      </c>
    </row>
    <row r="5282">
      <c r="A5282" s="9" t="s">
        <v>19500</v>
      </c>
      <c r="B5282" s="9" t="s">
        <v>19501</v>
      </c>
      <c r="G5282" s="9" t="s">
        <v>19502</v>
      </c>
      <c r="O5282" s="10">
        <f>IFERROR(__xludf.DUMMYFUNCTION("VALUE(REGEXEXTRACT(A5282, ""\d+""))"),8000.0)</f>
        <v>8000</v>
      </c>
    </row>
    <row r="5283">
      <c r="A5283" s="9" t="s">
        <v>19503</v>
      </c>
      <c r="B5283" s="9" t="s">
        <v>19504</v>
      </c>
      <c r="G5283" s="9" t="s">
        <v>19505</v>
      </c>
      <c r="O5283" s="10">
        <f>IFERROR(__xludf.DUMMYFUNCTION("VALUE(REGEXEXTRACT(A5283, ""\d+""))"),8001.0)</f>
        <v>8001</v>
      </c>
    </row>
    <row r="5284">
      <c r="A5284" s="9" t="s">
        <v>19506</v>
      </c>
      <c r="B5284" s="9" t="s">
        <v>19507</v>
      </c>
      <c r="G5284" s="9" t="s">
        <v>19508</v>
      </c>
      <c r="O5284" s="10">
        <f>IFERROR(__xludf.DUMMYFUNCTION("VALUE(REGEXEXTRACT(A5284, ""\d+""))"),8002.0)</f>
        <v>8002</v>
      </c>
    </row>
    <row r="5285">
      <c r="A5285" s="9" t="s">
        <v>19509</v>
      </c>
      <c r="B5285" s="9" t="s">
        <v>19510</v>
      </c>
      <c r="G5285" s="9" t="s">
        <v>19511</v>
      </c>
      <c r="O5285" s="10">
        <f>IFERROR(__xludf.DUMMYFUNCTION("VALUE(REGEXEXTRACT(A5285, ""\d+""))"),8003.0)</f>
        <v>8003</v>
      </c>
    </row>
    <row r="5286">
      <c r="A5286" s="9" t="s">
        <v>19512</v>
      </c>
      <c r="B5286" s="9" t="s">
        <v>19513</v>
      </c>
      <c r="G5286" s="9" t="s">
        <v>19514</v>
      </c>
      <c r="O5286" s="10">
        <f>IFERROR(__xludf.DUMMYFUNCTION("VALUE(REGEXEXTRACT(A5286, ""\d+""))"),8004.0)</f>
        <v>8004</v>
      </c>
    </row>
    <row r="5287">
      <c r="A5287" s="9" t="s">
        <v>19515</v>
      </c>
      <c r="B5287" s="9" t="s">
        <v>19516</v>
      </c>
      <c r="G5287" s="9" t="s">
        <v>19517</v>
      </c>
      <c r="O5287" s="10">
        <f>IFERROR(__xludf.DUMMYFUNCTION("VALUE(REGEXEXTRACT(A5287, ""\d+""))"),8005.0)</f>
        <v>8005</v>
      </c>
    </row>
    <row r="5288">
      <c r="A5288" s="9" t="s">
        <v>19518</v>
      </c>
      <c r="B5288" s="9" t="s">
        <v>19519</v>
      </c>
      <c r="G5288" s="9" t="s">
        <v>19520</v>
      </c>
      <c r="O5288" s="10">
        <f>IFERROR(__xludf.DUMMYFUNCTION("VALUE(REGEXEXTRACT(A5288, ""\d+""))"),8006.0)</f>
        <v>8006</v>
      </c>
    </row>
    <row r="5289">
      <c r="A5289" s="9" t="s">
        <v>19521</v>
      </c>
      <c r="B5289" s="9" t="s">
        <v>19522</v>
      </c>
      <c r="G5289" s="9" t="s">
        <v>19523</v>
      </c>
      <c r="O5289" s="10">
        <f>IFERROR(__xludf.DUMMYFUNCTION("VALUE(REGEXEXTRACT(A5289, ""\d+""))"),8007.0)</f>
        <v>8007</v>
      </c>
    </row>
    <row r="5290">
      <c r="A5290" s="9" t="s">
        <v>19524</v>
      </c>
      <c r="B5290" s="9" t="s">
        <v>19525</v>
      </c>
      <c r="G5290" s="9" t="s">
        <v>19526</v>
      </c>
      <c r="O5290" s="10">
        <f>IFERROR(__xludf.DUMMYFUNCTION("VALUE(REGEXEXTRACT(A5290, ""\d+""))"),8008.0)</f>
        <v>8008</v>
      </c>
    </row>
    <row r="5291">
      <c r="A5291" s="9" t="s">
        <v>19527</v>
      </c>
      <c r="B5291" s="9" t="s">
        <v>19528</v>
      </c>
      <c r="G5291" s="9" t="s">
        <v>19529</v>
      </c>
      <c r="O5291" s="10">
        <f>IFERROR(__xludf.DUMMYFUNCTION("VALUE(REGEXEXTRACT(A5291, ""\d+""))"),8009.0)</f>
        <v>8009</v>
      </c>
    </row>
    <row r="5292">
      <c r="A5292" s="9" t="s">
        <v>19530</v>
      </c>
      <c r="B5292" s="9" t="s">
        <v>19531</v>
      </c>
      <c r="G5292" s="9" t="s">
        <v>19532</v>
      </c>
      <c r="O5292" s="10">
        <f>IFERROR(__xludf.DUMMYFUNCTION("VALUE(REGEXEXTRACT(A5292, ""\d+""))"),8013.0)</f>
        <v>8013</v>
      </c>
    </row>
    <row r="5293">
      <c r="A5293" s="9" t="s">
        <v>19533</v>
      </c>
      <c r="B5293" s="9" t="s">
        <v>19534</v>
      </c>
      <c r="G5293" s="9" t="s">
        <v>19535</v>
      </c>
      <c r="O5293" s="10">
        <f>IFERROR(__xludf.DUMMYFUNCTION("VALUE(REGEXEXTRACT(A5293, ""\d+""))"),8014.0)</f>
        <v>8014</v>
      </c>
    </row>
    <row r="5294">
      <c r="A5294" s="9" t="s">
        <v>19536</v>
      </c>
      <c r="B5294" s="9" t="s">
        <v>19537</v>
      </c>
      <c r="G5294" s="9" t="s">
        <v>19538</v>
      </c>
      <c r="O5294" s="10">
        <f>IFERROR(__xludf.DUMMYFUNCTION("VALUE(REGEXEXTRACT(A5294, ""\d+""))"),8015.0)</f>
        <v>8015</v>
      </c>
    </row>
    <row r="5295">
      <c r="A5295" s="9" t="s">
        <v>19539</v>
      </c>
      <c r="B5295" s="9" t="s">
        <v>19540</v>
      </c>
      <c r="G5295" s="9" t="s">
        <v>19541</v>
      </c>
      <c r="O5295" s="10">
        <f>IFERROR(__xludf.DUMMYFUNCTION("VALUE(REGEXEXTRACT(A5295, ""\d+""))"),8016.0)</f>
        <v>8016</v>
      </c>
    </row>
    <row r="5296">
      <c r="A5296" s="9" t="s">
        <v>19542</v>
      </c>
      <c r="B5296" s="9" t="s">
        <v>19543</v>
      </c>
      <c r="G5296" s="9" t="s">
        <v>19544</v>
      </c>
      <c r="O5296" s="10">
        <f>IFERROR(__xludf.DUMMYFUNCTION("VALUE(REGEXEXTRACT(A5296, ""\d+""))"),8017.0)</f>
        <v>8017</v>
      </c>
    </row>
    <row r="5297">
      <c r="A5297" s="9" t="s">
        <v>19545</v>
      </c>
      <c r="B5297" s="9" t="s">
        <v>19546</v>
      </c>
      <c r="G5297" s="9" t="s">
        <v>19547</v>
      </c>
      <c r="O5297" s="10">
        <f>IFERROR(__xludf.DUMMYFUNCTION("VALUE(REGEXEXTRACT(A5297, ""\d+""))"),8018.0)</f>
        <v>8018</v>
      </c>
    </row>
    <row r="5298">
      <c r="A5298" s="9" t="s">
        <v>19548</v>
      </c>
      <c r="B5298" s="9" t="s">
        <v>19549</v>
      </c>
      <c r="G5298" s="9" t="s">
        <v>19550</v>
      </c>
      <c r="O5298" s="10">
        <f>IFERROR(__xludf.DUMMYFUNCTION("VALUE(REGEXEXTRACT(A5298, ""\d+""))"),8019.0)</f>
        <v>8019</v>
      </c>
    </row>
    <row r="5299">
      <c r="A5299" s="9" t="s">
        <v>19551</v>
      </c>
      <c r="B5299" s="9" t="s">
        <v>19546</v>
      </c>
      <c r="G5299" s="9" t="s">
        <v>19547</v>
      </c>
      <c r="O5299" s="10">
        <f>IFERROR(__xludf.DUMMYFUNCTION("VALUE(REGEXEXTRACT(A5299, ""\d+""))"),8020.0)</f>
        <v>8020</v>
      </c>
    </row>
    <row r="5300">
      <c r="A5300" s="9" t="s">
        <v>19552</v>
      </c>
      <c r="B5300" s="9" t="s">
        <v>19553</v>
      </c>
      <c r="G5300" s="9" t="s">
        <v>19554</v>
      </c>
      <c r="O5300" s="10">
        <f>IFERROR(__xludf.DUMMYFUNCTION("VALUE(REGEXEXTRACT(A5300, ""\d+""))"),8021.0)</f>
        <v>8021</v>
      </c>
    </row>
    <row r="5301">
      <c r="A5301" s="9" t="s">
        <v>19555</v>
      </c>
      <c r="B5301" s="9" t="s">
        <v>19556</v>
      </c>
      <c r="G5301" s="9" t="s">
        <v>19557</v>
      </c>
      <c r="O5301" s="10">
        <f>IFERROR(__xludf.DUMMYFUNCTION("VALUE(REGEXEXTRACT(A5301, ""\d+""))"),8022.0)</f>
        <v>8022</v>
      </c>
    </row>
    <row r="5302">
      <c r="A5302" s="9" t="s">
        <v>19558</v>
      </c>
      <c r="B5302" s="9" t="s">
        <v>19559</v>
      </c>
      <c r="G5302" s="9" t="s">
        <v>19560</v>
      </c>
      <c r="O5302" s="10">
        <f>IFERROR(__xludf.DUMMYFUNCTION("VALUE(REGEXEXTRACT(A5302, ""\d+""))"),8023.0)</f>
        <v>8023</v>
      </c>
    </row>
    <row r="5303">
      <c r="A5303" s="9" t="s">
        <v>19561</v>
      </c>
      <c r="B5303" s="9" t="s">
        <v>19562</v>
      </c>
      <c r="G5303" s="9" t="s">
        <v>19563</v>
      </c>
      <c r="O5303" s="10">
        <f>IFERROR(__xludf.DUMMYFUNCTION("VALUE(REGEXEXTRACT(A5303, ""\d+""))"),8024.0)</f>
        <v>8024</v>
      </c>
    </row>
    <row r="5304">
      <c r="A5304" s="9" t="s">
        <v>19564</v>
      </c>
      <c r="B5304" s="9" t="s">
        <v>19565</v>
      </c>
      <c r="G5304" s="9" t="s">
        <v>19566</v>
      </c>
      <c r="O5304" s="10">
        <f>IFERROR(__xludf.DUMMYFUNCTION("VALUE(REGEXEXTRACT(A5304, ""\d+""))"),8025.0)</f>
        <v>8025</v>
      </c>
    </row>
    <row r="5305">
      <c r="A5305" s="9" t="s">
        <v>19567</v>
      </c>
      <c r="B5305" s="9" t="s">
        <v>19568</v>
      </c>
      <c r="G5305" s="9" t="s">
        <v>19568</v>
      </c>
      <c r="O5305" s="10">
        <f>IFERROR(__xludf.DUMMYFUNCTION("VALUE(REGEXEXTRACT(A5305, ""\d+""))"),8026.0)</f>
        <v>8026</v>
      </c>
    </row>
    <row r="5306">
      <c r="A5306" s="9" t="s">
        <v>19569</v>
      </c>
      <c r="B5306" s="9" t="s">
        <v>19570</v>
      </c>
      <c r="G5306" s="9" t="s">
        <v>19570</v>
      </c>
      <c r="O5306" s="10">
        <f>IFERROR(__xludf.DUMMYFUNCTION("VALUE(REGEXEXTRACT(A5306, ""\d+""))"),8027.0)</f>
        <v>8027</v>
      </c>
    </row>
    <row r="5307">
      <c r="A5307" s="9" t="s">
        <v>19571</v>
      </c>
      <c r="B5307" s="9" t="s">
        <v>19572</v>
      </c>
      <c r="G5307" s="9" t="s">
        <v>19572</v>
      </c>
      <c r="O5307" s="10">
        <f>IFERROR(__xludf.DUMMYFUNCTION("VALUE(REGEXEXTRACT(A5307, ""\d+""))"),8028.0)</f>
        <v>8028</v>
      </c>
    </row>
    <row r="5308">
      <c r="A5308" s="9" t="s">
        <v>19573</v>
      </c>
      <c r="B5308" s="9" t="s">
        <v>13751</v>
      </c>
      <c r="G5308" s="9" t="s">
        <v>19574</v>
      </c>
      <c r="O5308" s="10">
        <f>IFERROR(__xludf.DUMMYFUNCTION("VALUE(REGEXEXTRACT(A5308, ""\d+""))"),8029.0)</f>
        <v>8029</v>
      </c>
    </row>
    <row r="5309">
      <c r="A5309" s="9" t="s">
        <v>19575</v>
      </c>
      <c r="B5309" s="9" t="s">
        <v>19576</v>
      </c>
      <c r="G5309" s="9" t="s">
        <v>19577</v>
      </c>
      <c r="O5309" s="10">
        <f>IFERROR(__xludf.DUMMYFUNCTION("VALUE(REGEXEXTRACT(A5309, ""\d+""))"),8030.0)</f>
        <v>8030</v>
      </c>
    </row>
    <row r="5310">
      <c r="A5310" s="9" t="s">
        <v>19578</v>
      </c>
      <c r="B5310" s="9" t="s">
        <v>13757</v>
      </c>
      <c r="G5310" s="9" t="s">
        <v>19579</v>
      </c>
      <c r="O5310" s="10">
        <f>IFERROR(__xludf.DUMMYFUNCTION("VALUE(REGEXEXTRACT(A5310, ""\d+""))"),8031.0)</f>
        <v>8031</v>
      </c>
    </row>
    <row r="5311">
      <c r="A5311" s="9" t="s">
        <v>19580</v>
      </c>
      <c r="B5311" s="9" t="s">
        <v>13742</v>
      </c>
      <c r="G5311" s="9" t="s">
        <v>19581</v>
      </c>
      <c r="O5311" s="10">
        <f>IFERROR(__xludf.DUMMYFUNCTION("VALUE(REGEXEXTRACT(A5311, ""\d+""))"),8032.0)</f>
        <v>8032</v>
      </c>
    </row>
    <row r="5312">
      <c r="A5312" s="9" t="s">
        <v>19582</v>
      </c>
      <c r="B5312" s="9" t="s">
        <v>19583</v>
      </c>
      <c r="G5312" s="9" t="s">
        <v>19584</v>
      </c>
      <c r="O5312" s="10">
        <f>IFERROR(__xludf.DUMMYFUNCTION("VALUE(REGEXEXTRACT(A5312, ""\d+""))"),8033.0)</f>
        <v>8033</v>
      </c>
    </row>
    <row r="5313">
      <c r="A5313" s="9" t="s">
        <v>19585</v>
      </c>
      <c r="B5313" s="9" t="s">
        <v>13748</v>
      </c>
      <c r="G5313" s="9" t="s">
        <v>19586</v>
      </c>
      <c r="O5313" s="10">
        <f>IFERROR(__xludf.DUMMYFUNCTION("VALUE(REGEXEXTRACT(A5313, ""\d+""))"),8034.0)</f>
        <v>8034</v>
      </c>
    </row>
    <row r="5314">
      <c r="A5314" s="9" t="s">
        <v>19587</v>
      </c>
      <c r="B5314" s="9" t="s">
        <v>18716</v>
      </c>
      <c r="G5314" s="9" t="s">
        <v>19588</v>
      </c>
      <c r="O5314" s="10">
        <f>IFERROR(__xludf.DUMMYFUNCTION("VALUE(REGEXEXTRACT(A5314, ""\d+""))"),8035.0)</f>
        <v>8035</v>
      </c>
    </row>
    <row r="5315">
      <c r="A5315" s="9" t="s">
        <v>19589</v>
      </c>
      <c r="B5315" s="9" t="s">
        <v>19590</v>
      </c>
      <c r="G5315" s="9" t="s">
        <v>19591</v>
      </c>
      <c r="O5315" s="10">
        <f>IFERROR(__xludf.DUMMYFUNCTION("VALUE(REGEXEXTRACT(A5315, ""\d+""))"),8036.0)</f>
        <v>8036</v>
      </c>
    </row>
    <row r="5316">
      <c r="A5316" s="9" t="s">
        <v>19592</v>
      </c>
      <c r="B5316" s="9" t="s">
        <v>19593</v>
      </c>
      <c r="G5316" s="9" t="s">
        <v>19594</v>
      </c>
      <c r="O5316" s="10">
        <f>IFERROR(__xludf.DUMMYFUNCTION("VALUE(REGEXEXTRACT(A5316, ""\d+""))"),8037.0)</f>
        <v>8037</v>
      </c>
    </row>
    <row r="5317">
      <c r="A5317" s="9" t="s">
        <v>19595</v>
      </c>
      <c r="B5317" s="9" t="s">
        <v>19596</v>
      </c>
      <c r="G5317" s="9" t="s">
        <v>19597</v>
      </c>
      <c r="O5317" s="10">
        <f>IFERROR(__xludf.DUMMYFUNCTION("VALUE(REGEXEXTRACT(A5317, ""\d+""))"),8038.0)</f>
        <v>8038</v>
      </c>
    </row>
    <row r="5318">
      <c r="A5318" s="9" t="s">
        <v>19598</v>
      </c>
      <c r="B5318" s="9" t="s">
        <v>19599</v>
      </c>
      <c r="G5318" s="9" t="s">
        <v>19600</v>
      </c>
      <c r="O5318" s="10">
        <f>IFERROR(__xludf.DUMMYFUNCTION("VALUE(REGEXEXTRACT(A5318, ""\d+""))"),8039.0)</f>
        <v>8039</v>
      </c>
    </row>
    <row r="5319">
      <c r="A5319" s="9" t="s">
        <v>19601</v>
      </c>
      <c r="B5319" s="9" t="s">
        <v>19602</v>
      </c>
      <c r="G5319" s="9" t="s">
        <v>19603</v>
      </c>
      <c r="O5319" s="10">
        <f>IFERROR(__xludf.DUMMYFUNCTION("VALUE(REGEXEXTRACT(A5319, ""\d+""))"),8040.0)</f>
        <v>8040</v>
      </c>
    </row>
    <row r="5320">
      <c r="A5320" s="9" t="s">
        <v>19604</v>
      </c>
      <c r="B5320" s="9" t="s">
        <v>19605</v>
      </c>
      <c r="G5320" s="9" t="s">
        <v>19606</v>
      </c>
      <c r="O5320" s="10">
        <f>IFERROR(__xludf.DUMMYFUNCTION("VALUE(REGEXEXTRACT(A5320, ""\d+""))"),8041.0)</f>
        <v>8041</v>
      </c>
    </row>
    <row r="5321">
      <c r="A5321" s="9" t="s">
        <v>19607</v>
      </c>
      <c r="B5321" s="9" t="s">
        <v>19608</v>
      </c>
      <c r="G5321" s="9" t="s">
        <v>19609</v>
      </c>
      <c r="O5321" s="10">
        <f>IFERROR(__xludf.DUMMYFUNCTION("VALUE(REGEXEXTRACT(A5321, ""\d+""))"),8042.0)</f>
        <v>8042</v>
      </c>
    </row>
    <row r="5322">
      <c r="A5322" s="9" t="s">
        <v>19610</v>
      </c>
      <c r="B5322" s="9" t="s">
        <v>19611</v>
      </c>
      <c r="G5322" s="9" t="s">
        <v>19612</v>
      </c>
      <c r="O5322" s="10">
        <f>IFERROR(__xludf.DUMMYFUNCTION("VALUE(REGEXEXTRACT(A5322, ""\d+""))"),8043.0)</f>
        <v>8043</v>
      </c>
    </row>
    <row r="5323">
      <c r="A5323" s="9" t="s">
        <v>19613</v>
      </c>
      <c r="B5323" s="9" t="s">
        <v>19614</v>
      </c>
      <c r="G5323" s="9" t="s">
        <v>19615</v>
      </c>
      <c r="O5323" s="10">
        <f>IFERROR(__xludf.DUMMYFUNCTION("VALUE(REGEXEXTRACT(A5323, ""\d+""))"),8044.0)</f>
        <v>8044</v>
      </c>
    </row>
    <row r="5324">
      <c r="A5324" s="9" t="s">
        <v>19616</v>
      </c>
      <c r="B5324" s="9" t="s">
        <v>19617</v>
      </c>
      <c r="G5324" s="9" t="s">
        <v>19618</v>
      </c>
      <c r="O5324" s="10">
        <f>IFERROR(__xludf.DUMMYFUNCTION("VALUE(REGEXEXTRACT(A5324, ""\d+""))"),8045.0)</f>
        <v>8045</v>
      </c>
    </row>
    <row r="5325">
      <c r="A5325" s="9" t="s">
        <v>19619</v>
      </c>
      <c r="B5325" s="9" t="s">
        <v>19620</v>
      </c>
      <c r="G5325" s="9" t="s">
        <v>19621</v>
      </c>
      <c r="O5325" s="10">
        <f>IFERROR(__xludf.DUMMYFUNCTION("VALUE(REGEXEXTRACT(A5325, ""\d+""))"),8046.0)</f>
        <v>8046</v>
      </c>
    </row>
    <row r="5326">
      <c r="A5326" s="9" t="s">
        <v>19622</v>
      </c>
      <c r="B5326" s="9" t="s">
        <v>19623</v>
      </c>
      <c r="G5326" s="9" t="s">
        <v>19624</v>
      </c>
      <c r="O5326" s="10">
        <f>IFERROR(__xludf.DUMMYFUNCTION("VALUE(REGEXEXTRACT(A5326, ""\d+""))"),8047.0)</f>
        <v>8047</v>
      </c>
    </row>
    <row r="5327">
      <c r="A5327" s="9" t="s">
        <v>19625</v>
      </c>
      <c r="B5327" s="9" t="s">
        <v>19626</v>
      </c>
      <c r="G5327" s="9" t="s">
        <v>19627</v>
      </c>
      <c r="O5327" s="10">
        <f>IFERROR(__xludf.DUMMYFUNCTION("VALUE(REGEXEXTRACT(A5327, ""\d+""))"),8048.0)</f>
        <v>8048</v>
      </c>
    </row>
    <row r="5328">
      <c r="A5328" s="9" t="s">
        <v>19628</v>
      </c>
      <c r="B5328" s="9" t="s">
        <v>19629</v>
      </c>
      <c r="G5328" s="9" t="s">
        <v>19630</v>
      </c>
      <c r="O5328" s="10">
        <f>IFERROR(__xludf.DUMMYFUNCTION("VALUE(REGEXEXTRACT(A5328, ""\d+""))"),8049.0)</f>
        <v>8049</v>
      </c>
    </row>
    <row r="5329">
      <c r="A5329" s="9" t="s">
        <v>19631</v>
      </c>
      <c r="B5329" s="9" t="s">
        <v>19632</v>
      </c>
      <c r="G5329" s="9" t="s">
        <v>19633</v>
      </c>
      <c r="O5329" s="10">
        <f>IFERROR(__xludf.DUMMYFUNCTION("VALUE(REGEXEXTRACT(A5329, ""\d+""))"),8050.0)</f>
        <v>8050</v>
      </c>
    </row>
    <row r="5330">
      <c r="A5330" s="9" t="s">
        <v>19634</v>
      </c>
      <c r="B5330" s="9" t="s">
        <v>19635</v>
      </c>
      <c r="G5330" s="9" t="s">
        <v>19636</v>
      </c>
      <c r="O5330" s="10">
        <f>IFERROR(__xludf.DUMMYFUNCTION("VALUE(REGEXEXTRACT(A5330, ""\d+""))"),8051.0)</f>
        <v>8051</v>
      </c>
    </row>
    <row r="5331">
      <c r="A5331" s="9" t="s">
        <v>19637</v>
      </c>
      <c r="B5331" s="9" t="s">
        <v>19638</v>
      </c>
      <c r="G5331" s="9" t="s">
        <v>19639</v>
      </c>
      <c r="O5331" s="10">
        <f>IFERROR(__xludf.DUMMYFUNCTION("VALUE(REGEXEXTRACT(A5331, ""\d+""))"),8052.0)</f>
        <v>8052</v>
      </c>
    </row>
    <row r="5332">
      <c r="A5332" s="9" t="s">
        <v>19640</v>
      </c>
      <c r="B5332" s="9" t="s">
        <v>19641</v>
      </c>
      <c r="G5332" s="9" t="s">
        <v>19642</v>
      </c>
      <c r="O5332" s="10">
        <f>IFERROR(__xludf.DUMMYFUNCTION("VALUE(REGEXEXTRACT(A5332, ""\d+""))"),8053.0)</f>
        <v>8053</v>
      </c>
    </row>
    <row r="5333">
      <c r="A5333" s="9" t="s">
        <v>19643</v>
      </c>
      <c r="B5333" s="9" t="s">
        <v>19644</v>
      </c>
      <c r="G5333" s="9" t="s">
        <v>19645</v>
      </c>
      <c r="O5333" s="10">
        <f>IFERROR(__xludf.DUMMYFUNCTION("VALUE(REGEXEXTRACT(A5333, ""\d+""))"),8054.0)</f>
        <v>8054</v>
      </c>
    </row>
    <row r="5334">
      <c r="A5334" s="9" t="s">
        <v>19646</v>
      </c>
      <c r="B5334" s="9" t="s">
        <v>19647</v>
      </c>
      <c r="G5334" s="9" t="s">
        <v>19648</v>
      </c>
      <c r="O5334" s="10">
        <f>IFERROR(__xludf.DUMMYFUNCTION("VALUE(REGEXEXTRACT(A5334, ""\d+""))"),8055.0)</f>
        <v>8055</v>
      </c>
    </row>
    <row r="5335">
      <c r="A5335" s="9" t="s">
        <v>19649</v>
      </c>
      <c r="B5335" s="9" t="s">
        <v>19650</v>
      </c>
      <c r="G5335" s="9" t="s">
        <v>19651</v>
      </c>
      <c r="O5335" s="10">
        <f>IFERROR(__xludf.DUMMYFUNCTION("VALUE(REGEXEXTRACT(A5335, ""\d+""))"),8056.0)</f>
        <v>8056</v>
      </c>
    </row>
    <row r="5336">
      <c r="A5336" s="9" t="s">
        <v>19652</v>
      </c>
      <c r="B5336" s="9" t="s">
        <v>19653</v>
      </c>
      <c r="G5336" s="9" t="s">
        <v>19654</v>
      </c>
      <c r="O5336" s="10">
        <f>IFERROR(__xludf.DUMMYFUNCTION("VALUE(REGEXEXTRACT(A5336, ""\d+""))"),8057.0)</f>
        <v>8057</v>
      </c>
    </row>
    <row r="5337">
      <c r="A5337" s="9" t="s">
        <v>19655</v>
      </c>
      <c r="B5337" s="9" t="s">
        <v>19656</v>
      </c>
      <c r="G5337" s="9" t="s">
        <v>19657</v>
      </c>
      <c r="O5337" s="10">
        <f>IFERROR(__xludf.DUMMYFUNCTION("VALUE(REGEXEXTRACT(A5337, ""\d+""))"),8063.0)</f>
        <v>8063</v>
      </c>
    </row>
    <row r="5338">
      <c r="A5338" s="9" t="s">
        <v>19658</v>
      </c>
      <c r="B5338" s="9" t="s">
        <v>19659</v>
      </c>
      <c r="G5338" s="9" t="s">
        <v>19660</v>
      </c>
      <c r="O5338" s="10">
        <f>IFERROR(__xludf.DUMMYFUNCTION("VALUE(REGEXEXTRACT(A5338, ""\d+""))"),8064.0)</f>
        <v>8064</v>
      </c>
    </row>
    <row r="5339">
      <c r="A5339" s="9" t="s">
        <v>19661</v>
      </c>
      <c r="B5339" s="9" t="s">
        <v>19662</v>
      </c>
      <c r="G5339" s="9" t="s">
        <v>19663</v>
      </c>
      <c r="O5339" s="10">
        <f>IFERROR(__xludf.DUMMYFUNCTION("VALUE(REGEXEXTRACT(A5339, ""\d+""))"),8065.0)</f>
        <v>8065</v>
      </c>
    </row>
    <row r="5340">
      <c r="A5340" s="9" t="s">
        <v>19664</v>
      </c>
      <c r="B5340" s="9" t="s">
        <v>19665</v>
      </c>
      <c r="G5340" s="9" t="s">
        <v>19666</v>
      </c>
      <c r="O5340" s="10">
        <f>IFERROR(__xludf.DUMMYFUNCTION("VALUE(REGEXEXTRACT(A5340, ""\d+""))"),8066.0)</f>
        <v>8066</v>
      </c>
    </row>
    <row r="5341">
      <c r="A5341" s="9" t="s">
        <v>19667</v>
      </c>
      <c r="B5341" s="9" t="s">
        <v>19668</v>
      </c>
      <c r="G5341" s="9" t="s">
        <v>19669</v>
      </c>
      <c r="O5341" s="10">
        <f>IFERROR(__xludf.DUMMYFUNCTION("VALUE(REGEXEXTRACT(A5341, ""\d+""))"),8067.0)</f>
        <v>8067</v>
      </c>
    </row>
    <row r="5342">
      <c r="A5342" s="9" t="s">
        <v>19670</v>
      </c>
      <c r="B5342" s="9" t="s">
        <v>19671</v>
      </c>
      <c r="G5342" s="9" t="s">
        <v>19672</v>
      </c>
      <c r="O5342" s="10">
        <f>IFERROR(__xludf.DUMMYFUNCTION("VALUE(REGEXEXTRACT(A5342, ""\d+""))"),8068.0)</f>
        <v>8068</v>
      </c>
    </row>
    <row r="5343">
      <c r="A5343" s="9" t="s">
        <v>19673</v>
      </c>
      <c r="B5343" s="9" t="s">
        <v>19674</v>
      </c>
      <c r="G5343" s="9" t="s">
        <v>19675</v>
      </c>
      <c r="O5343" s="10">
        <f>IFERROR(__xludf.DUMMYFUNCTION("VALUE(REGEXEXTRACT(A5343, ""\d+""))"),8069.0)</f>
        <v>8069</v>
      </c>
    </row>
    <row r="5344">
      <c r="A5344" s="9" t="s">
        <v>19676</v>
      </c>
      <c r="B5344" s="9" t="s">
        <v>19677</v>
      </c>
      <c r="G5344" s="9" t="s">
        <v>19678</v>
      </c>
      <c r="O5344" s="10">
        <f>IFERROR(__xludf.DUMMYFUNCTION("VALUE(REGEXEXTRACT(A5344, ""\d+""))"),8070.0)</f>
        <v>8070</v>
      </c>
    </row>
    <row r="5345">
      <c r="A5345" s="9" t="s">
        <v>19679</v>
      </c>
      <c r="B5345" s="9" t="s">
        <v>19680</v>
      </c>
      <c r="G5345" s="9" t="s">
        <v>19681</v>
      </c>
      <c r="O5345" s="10">
        <f>IFERROR(__xludf.DUMMYFUNCTION("VALUE(REGEXEXTRACT(A5345, ""\d+""))"),8071.0)</f>
        <v>8071</v>
      </c>
    </row>
    <row r="5346">
      <c r="A5346" s="9" t="s">
        <v>19682</v>
      </c>
      <c r="B5346" s="9" t="s">
        <v>19683</v>
      </c>
      <c r="G5346" s="9" t="s">
        <v>19684</v>
      </c>
      <c r="O5346" s="10">
        <f>IFERROR(__xludf.DUMMYFUNCTION("VALUE(REGEXEXTRACT(A5346, ""\d+""))"),8072.0)</f>
        <v>8072</v>
      </c>
    </row>
    <row r="5347">
      <c r="A5347" s="9" t="s">
        <v>19685</v>
      </c>
      <c r="B5347" s="9" t="s">
        <v>19686</v>
      </c>
      <c r="G5347" s="9" t="s">
        <v>19687</v>
      </c>
      <c r="O5347" s="10">
        <f>IFERROR(__xludf.DUMMYFUNCTION("VALUE(REGEXEXTRACT(A5347, ""\d+""))"),8073.0)</f>
        <v>8073</v>
      </c>
    </row>
    <row r="5348">
      <c r="A5348" s="9" t="s">
        <v>19688</v>
      </c>
      <c r="B5348" s="9" t="s">
        <v>19689</v>
      </c>
      <c r="G5348" s="9" t="s">
        <v>19690</v>
      </c>
      <c r="O5348" s="10">
        <f>IFERROR(__xludf.DUMMYFUNCTION("VALUE(REGEXEXTRACT(A5348, ""\d+""))"),8074.0)</f>
        <v>8074</v>
      </c>
    </row>
    <row r="5349">
      <c r="A5349" s="9" t="s">
        <v>19691</v>
      </c>
      <c r="B5349" s="9" t="s">
        <v>19692</v>
      </c>
      <c r="G5349" s="9" t="s">
        <v>19693</v>
      </c>
      <c r="O5349" s="10">
        <f>IFERROR(__xludf.DUMMYFUNCTION("VALUE(REGEXEXTRACT(A5349, ""\d+""))"),8075.0)</f>
        <v>8075</v>
      </c>
    </row>
    <row r="5350">
      <c r="A5350" s="9" t="s">
        <v>19694</v>
      </c>
      <c r="B5350" s="9" t="s">
        <v>19695</v>
      </c>
      <c r="G5350" s="9" t="s">
        <v>19696</v>
      </c>
      <c r="O5350" s="10">
        <f>IFERROR(__xludf.DUMMYFUNCTION("VALUE(REGEXEXTRACT(A5350, ""\d+""))"),8076.0)</f>
        <v>8076</v>
      </c>
    </row>
    <row r="5351">
      <c r="A5351" s="9" t="s">
        <v>19697</v>
      </c>
      <c r="B5351" s="9" t="s">
        <v>19698</v>
      </c>
      <c r="G5351" s="9" t="s">
        <v>19699</v>
      </c>
      <c r="O5351" s="10">
        <f>IFERROR(__xludf.DUMMYFUNCTION("VALUE(REGEXEXTRACT(A5351, ""\d+""))"),8077.0)</f>
        <v>8077</v>
      </c>
    </row>
    <row r="5352">
      <c r="A5352" s="9" t="s">
        <v>19700</v>
      </c>
      <c r="B5352" s="9" t="s">
        <v>19701</v>
      </c>
      <c r="G5352" s="9" t="s">
        <v>19702</v>
      </c>
      <c r="O5352" s="10">
        <f>IFERROR(__xludf.DUMMYFUNCTION("VALUE(REGEXEXTRACT(A5352, ""\d+""))"),8078.0)</f>
        <v>8078</v>
      </c>
    </row>
    <row r="5353">
      <c r="A5353" s="9" t="s">
        <v>19703</v>
      </c>
      <c r="B5353" s="9" t="s">
        <v>19704</v>
      </c>
      <c r="G5353" s="9" t="s">
        <v>19705</v>
      </c>
      <c r="O5353" s="10">
        <f>IFERROR(__xludf.DUMMYFUNCTION("VALUE(REGEXEXTRACT(A5353, ""\d+""))"),8079.0)</f>
        <v>8079</v>
      </c>
    </row>
    <row r="5354">
      <c r="A5354" s="9" t="s">
        <v>19706</v>
      </c>
      <c r="B5354" s="9" t="s">
        <v>19707</v>
      </c>
      <c r="G5354" s="9" t="s">
        <v>19708</v>
      </c>
      <c r="O5354" s="10">
        <f>IFERROR(__xludf.DUMMYFUNCTION("VALUE(REGEXEXTRACT(A5354, ""\d+""))"),8080.0)</f>
        <v>8080</v>
      </c>
    </row>
    <row r="5355">
      <c r="A5355" s="9" t="s">
        <v>19709</v>
      </c>
      <c r="B5355" s="9" t="s">
        <v>19710</v>
      </c>
      <c r="G5355" s="9" t="s">
        <v>19711</v>
      </c>
      <c r="O5355" s="10">
        <f>IFERROR(__xludf.DUMMYFUNCTION("VALUE(REGEXEXTRACT(A5355, ""\d+""))"),8081.0)</f>
        <v>8081</v>
      </c>
    </row>
    <row r="5356">
      <c r="A5356" s="9" t="s">
        <v>19712</v>
      </c>
      <c r="B5356" s="9" t="s">
        <v>19713</v>
      </c>
      <c r="G5356" s="9" t="s">
        <v>19714</v>
      </c>
      <c r="O5356" s="10">
        <f>IFERROR(__xludf.DUMMYFUNCTION("VALUE(REGEXEXTRACT(A5356, ""\d+""))"),8082.0)</f>
        <v>8082</v>
      </c>
    </row>
    <row r="5357">
      <c r="A5357" s="9" t="s">
        <v>19715</v>
      </c>
      <c r="B5357" s="9" t="s">
        <v>19716</v>
      </c>
      <c r="G5357" s="9" t="s">
        <v>19717</v>
      </c>
      <c r="O5357" s="10">
        <f>IFERROR(__xludf.DUMMYFUNCTION("VALUE(REGEXEXTRACT(A5357, ""\d+""))"),8083.0)</f>
        <v>8083</v>
      </c>
    </row>
    <row r="5358">
      <c r="A5358" s="9" t="s">
        <v>19718</v>
      </c>
      <c r="B5358" s="9" t="s">
        <v>19719</v>
      </c>
      <c r="G5358" s="9" t="s">
        <v>19720</v>
      </c>
      <c r="O5358" s="10">
        <f>IFERROR(__xludf.DUMMYFUNCTION("VALUE(REGEXEXTRACT(A5358, ""\d+""))"),8084.0)</f>
        <v>8084</v>
      </c>
    </row>
    <row r="5359">
      <c r="A5359" s="9" t="s">
        <v>19721</v>
      </c>
      <c r="B5359" s="9" t="s">
        <v>19722</v>
      </c>
      <c r="G5359" s="9" t="s">
        <v>19723</v>
      </c>
      <c r="O5359" s="10">
        <f>IFERROR(__xludf.DUMMYFUNCTION("VALUE(REGEXEXTRACT(A5359, ""\d+""))"),8085.0)</f>
        <v>8085</v>
      </c>
    </row>
    <row r="5360">
      <c r="A5360" s="9" t="s">
        <v>19724</v>
      </c>
      <c r="B5360" s="9" t="s">
        <v>19725</v>
      </c>
      <c r="G5360" s="9" t="s">
        <v>19726</v>
      </c>
      <c r="O5360" s="10">
        <f>IFERROR(__xludf.DUMMYFUNCTION("VALUE(REGEXEXTRACT(A5360, ""\d+""))"),8086.0)</f>
        <v>8086</v>
      </c>
    </row>
    <row r="5361">
      <c r="A5361" s="9" t="s">
        <v>19727</v>
      </c>
      <c r="B5361" s="9" t="s">
        <v>19728</v>
      </c>
      <c r="G5361" s="9" t="s">
        <v>19729</v>
      </c>
      <c r="O5361" s="10">
        <f>IFERROR(__xludf.DUMMYFUNCTION("VALUE(REGEXEXTRACT(A5361, ""\d+""))"),8087.0)</f>
        <v>8087</v>
      </c>
    </row>
    <row r="5362">
      <c r="A5362" s="9" t="s">
        <v>19730</v>
      </c>
      <c r="B5362" s="9" t="s">
        <v>19731</v>
      </c>
      <c r="G5362" s="9" t="s">
        <v>19732</v>
      </c>
      <c r="O5362" s="10">
        <f>IFERROR(__xludf.DUMMYFUNCTION("VALUE(REGEXEXTRACT(A5362, ""\d+""))"),8088.0)</f>
        <v>8088</v>
      </c>
    </row>
    <row r="5363">
      <c r="A5363" s="9" t="s">
        <v>19733</v>
      </c>
      <c r="B5363" s="9" t="s">
        <v>19734</v>
      </c>
      <c r="G5363" s="9" t="s">
        <v>19735</v>
      </c>
      <c r="O5363" s="10">
        <f>IFERROR(__xludf.DUMMYFUNCTION("VALUE(REGEXEXTRACT(A5363, ""\d+""))"),8089.0)</f>
        <v>8089</v>
      </c>
    </row>
    <row r="5364">
      <c r="A5364" s="9" t="s">
        <v>19736</v>
      </c>
      <c r="B5364" s="9" t="s">
        <v>19737</v>
      </c>
      <c r="G5364" s="9" t="s">
        <v>19738</v>
      </c>
      <c r="O5364" s="10">
        <f>IFERROR(__xludf.DUMMYFUNCTION("VALUE(REGEXEXTRACT(A5364, ""\d+""))"),8090.0)</f>
        <v>8090</v>
      </c>
    </row>
    <row r="5365">
      <c r="A5365" s="9" t="s">
        <v>19739</v>
      </c>
      <c r="B5365" s="9" t="s">
        <v>19740</v>
      </c>
      <c r="G5365" s="9" t="s">
        <v>19741</v>
      </c>
      <c r="O5365" s="10">
        <f>IFERROR(__xludf.DUMMYFUNCTION("VALUE(REGEXEXTRACT(A5365, ""\d+""))"),8091.0)</f>
        <v>8091</v>
      </c>
    </row>
    <row r="5366">
      <c r="A5366" s="9" t="s">
        <v>19742</v>
      </c>
      <c r="B5366" s="9" t="s">
        <v>19743</v>
      </c>
      <c r="G5366" s="9" t="s">
        <v>19744</v>
      </c>
      <c r="O5366" s="10">
        <f>IFERROR(__xludf.DUMMYFUNCTION("VALUE(REGEXEXTRACT(A5366, ""\d+""))"),8092.0)</f>
        <v>8092</v>
      </c>
    </row>
    <row r="5367">
      <c r="A5367" s="9" t="s">
        <v>19745</v>
      </c>
      <c r="B5367" s="9" t="s">
        <v>19746</v>
      </c>
      <c r="G5367" s="9" t="s">
        <v>19747</v>
      </c>
      <c r="O5367" s="10">
        <f>IFERROR(__xludf.DUMMYFUNCTION("VALUE(REGEXEXTRACT(A5367, ""\d+""))"),8093.0)</f>
        <v>8093</v>
      </c>
    </row>
    <row r="5368">
      <c r="A5368" s="9" t="s">
        <v>19748</v>
      </c>
      <c r="B5368" s="9" t="s">
        <v>19749</v>
      </c>
      <c r="G5368" s="9" t="s">
        <v>19750</v>
      </c>
      <c r="O5368" s="10">
        <f>IFERROR(__xludf.DUMMYFUNCTION("VALUE(REGEXEXTRACT(A5368, ""\d+""))"),8094.0)</f>
        <v>8094</v>
      </c>
    </row>
    <row r="5369">
      <c r="A5369" s="9" t="s">
        <v>19751</v>
      </c>
      <c r="B5369" s="9" t="s">
        <v>19752</v>
      </c>
      <c r="G5369" s="9" t="s">
        <v>19753</v>
      </c>
      <c r="O5369" s="10">
        <f>IFERROR(__xludf.DUMMYFUNCTION("VALUE(REGEXEXTRACT(A5369, ""\d+""))"),8095.0)</f>
        <v>8095</v>
      </c>
    </row>
    <row r="5370">
      <c r="A5370" s="9" t="s">
        <v>19754</v>
      </c>
      <c r="B5370" s="9" t="s">
        <v>19755</v>
      </c>
      <c r="G5370" s="9" t="s">
        <v>19756</v>
      </c>
      <c r="O5370" s="10">
        <f>IFERROR(__xludf.DUMMYFUNCTION("VALUE(REGEXEXTRACT(A5370, ""\d+""))"),8096.0)</f>
        <v>8096</v>
      </c>
    </row>
    <row r="5371">
      <c r="A5371" s="9" t="s">
        <v>19757</v>
      </c>
      <c r="B5371" s="9" t="s">
        <v>19758</v>
      </c>
      <c r="G5371" s="9" t="s">
        <v>19759</v>
      </c>
      <c r="O5371" s="10">
        <f>IFERROR(__xludf.DUMMYFUNCTION("VALUE(REGEXEXTRACT(A5371, ""\d+""))"),8097.0)</f>
        <v>8097</v>
      </c>
    </row>
    <row r="5372">
      <c r="A5372" s="9" t="s">
        <v>19760</v>
      </c>
      <c r="B5372" s="9" t="s">
        <v>19761</v>
      </c>
      <c r="G5372" s="9" t="s">
        <v>19762</v>
      </c>
      <c r="O5372" s="10">
        <f>IFERROR(__xludf.DUMMYFUNCTION("VALUE(REGEXEXTRACT(A5372, ""\d+""))"),8098.0)</f>
        <v>8098</v>
      </c>
    </row>
    <row r="5373">
      <c r="A5373" s="9" t="s">
        <v>19763</v>
      </c>
      <c r="B5373" s="9" t="s">
        <v>19764</v>
      </c>
      <c r="G5373" s="9" t="s">
        <v>19765</v>
      </c>
      <c r="O5373" s="10">
        <f>IFERROR(__xludf.DUMMYFUNCTION("VALUE(REGEXEXTRACT(A5373, ""\d+""))"),8099.0)</f>
        <v>8099</v>
      </c>
    </row>
    <row r="5374">
      <c r="A5374" s="9" t="s">
        <v>19766</v>
      </c>
      <c r="B5374" s="9" t="s">
        <v>19767</v>
      </c>
      <c r="G5374" s="9" t="s">
        <v>19768</v>
      </c>
      <c r="O5374" s="10">
        <f>IFERROR(__xludf.DUMMYFUNCTION("VALUE(REGEXEXTRACT(A5374, ""\d+""))"),8100.0)</f>
        <v>8100</v>
      </c>
    </row>
    <row r="5375">
      <c r="A5375" s="9" t="s">
        <v>19769</v>
      </c>
      <c r="B5375" s="9" t="s">
        <v>19770</v>
      </c>
      <c r="G5375" s="9" t="s">
        <v>19771</v>
      </c>
      <c r="O5375" s="10">
        <f>IFERROR(__xludf.DUMMYFUNCTION("VALUE(REGEXEXTRACT(A5375, ""\d+""))"),8101.0)</f>
        <v>8101</v>
      </c>
    </row>
    <row r="5376">
      <c r="A5376" s="9" t="s">
        <v>19772</v>
      </c>
      <c r="B5376" s="9" t="s">
        <v>19773</v>
      </c>
      <c r="G5376" s="9" t="s">
        <v>19774</v>
      </c>
      <c r="O5376" s="10">
        <f>IFERROR(__xludf.DUMMYFUNCTION("VALUE(REGEXEXTRACT(A5376, ""\d+""))"),8102.0)</f>
        <v>8102</v>
      </c>
    </row>
    <row r="5377">
      <c r="A5377" s="9" t="s">
        <v>19775</v>
      </c>
      <c r="B5377" s="9" t="s">
        <v>19776</v>
      </c>
      <c r="G5377" s="9" t="s">
        <v>19777</v>
      </c>
      <c r="O5377" s="10">
        <f>IFERROR(__xludf.DUMMYFUNCTION("VALUE(REGEXEXTRACT(A5377, ""\d+""))"),8103.0)</f>
        <v>8103</v>
      </c>
    </row>
    <row r="5378">
      <c r="A5378" s="9" t="s">
        <v>19778</v>
      </c>
      <c r="B5378" s="9" t="s">
        <v>19779</v>
      </c>
      <c r="G5378" s="9" t="s">
        <v>19780</v>
      </c>
      <c r="O5378" s="10">
        <f>IFERROR(__xludf.DUMMYFUNCTION("VALUE(REGEXEXTRACT(A5378, ""\d+""))"),8104.0)</f>
        <v>8104</v>
      </c>
    </row>
    <row r="5379">
      <c r="A5379" s="9" t="s">
        <v>19781</v>
      </c>
      <c r="B5379" s="9" t="s">
        <v>19782</v>
      </c>
      <c r="G5379" s="9" t="s">
        <v>19783</v>
      </c>
      <c r="O5379" s="10">
        <f>IFERROR(__xludf.DUMMYFUNCTION("VALUE(REGEXEXTRACT(A5379, ""\d+""))"),8105.0)</f>
        <v>8105</v>
      </c>
    </row>
    <row r="5380">
      <c r="A5380" s="9" t="s">
        <v>19784</v>
      </c>
      <c r="B5380" s="9" t="s">
        <v>19785</v>
      </c>
      <c r="G5380" s="9" t="s">
        <v>19786</v>
      </c>
      <c r="O5380" s="10">
        <f>IFERROR(__xludf.DUMMYFUNCTION("VALUE(REGEXEXTRACT(A5380, ""\d+""))"),8106.0)</f>
        <v>8106</v>
      </c>
    </row>
    <row r="5381">
      <c r="A5381" s="9" t="s">
        <v>19787</v>
      </c>
      <c r="B5381" s="9" t="s">
        <v>19788</v>
      </c>
      <c r="G5381" s="9" t="s">
        <v>19789</v>
      </c>
      <c r="O5381" s="10">
        <f>IFERROR(__xludf.DUMMYFUNCTION("VALUE(REGEXEXTRACT(A5381, ""\d+""))"),8107.0)</f>
        <v>8107</v>
      </c>
    </row>
    <row r="5382">
      <c r="A5382" s="9" t="s">
        <v>19790</v>
      </c>
      <c r="B5382" s="9" t="s">
        <v>19791</v>
      </c>
      <c r="G5382" s="9" t="s">
        <v>19792</v>
      </c>
      <c r="O5382" s="10">
        <f>IFERROR(__xludf.DUMMYFUNCTION("VALUE(REGEXEXTRACT(A5382, ""\d+""))"),8108.0)</f>
        <v>8108</v>
      </c>
    </row>
    <row r="5383">
      <c r="A5383" s="9" t="s">
        <v>19793</v>
      </c>
      <c r="B5383" s="9" t="s">
        <v>19794</v>
      </c>
      <c r="G5383" s="9" t="s">
        <v>19795</v>
      </c>
      <c r="O5383" s="10">
        <f>IFERROR(__xludf.DUMMYFUNCTION("VALUE(REGEXEXTRACT(A5383, ""\d+""))"),8109.0)</f>
        <v>8109</v>
      </c>
    </row>
    <row r="5384">
      <c r="A5384" s="9" t="s">
        <v>19796</v>
      </c>
      <c r="B5384" s="9" t="s">
        <v>19797</v>
      </c>
      <c r="G5384" s="9" t="s">
        <v>19798</v>
      </c>
      <c r="O5384" s="10">
        <f>IFERROR(__xludf.DUMMYFUNCTION("VALUE(REGEXEXTRACT(A5384, ""\d+""))"),8110.0)</f>
        <v>8110</v>
      </c>
    </row>
    <row r="5385">
      <c r="A5385" s="9" t="s">
        <v>19799</v>
      </c>
      <c r="B5385" s="9" t="s">
        <v>19800</v>
      </c>
      <c r="G5385" s="9" t="s">
        <v>19801</v>
      </c>
      <c r="O5385" s="10">
        <f>IFERROR(__xludf.DUMMYFUNCTION("VALUE(REGEXEXTRACT(A5385, ""\d+""))"),8111.0)</f>
        <v>8111</v>
      </c>
    </row>
    <row r="5386">
      <c r="A5386" s="9" t="s">
        <v>19802</v>
      </c>
      <c r="B5386" s="9" t="s">
        <v>19803</v>
      </c>
      <c r="O5386" s="10">
        <f>IFERROR(__xludf.DUMMYFUNCTION("VALUE(REGEXEXTRACT(A5386, ""\d+""))"),8112.0)</f>
        <v>8112</v>
      </c>
    </row>
    <row r="5387">
      <c r="A5387" s="9" t="s">
        <v>19804</v>
      </c>
      <c r="B5387" s="9" t="s">
        <v>19805</v>
      </c>
      <c r="G5387" s="9" t="s">
        <v>19806</v>
      </c>
      <c r="O5387" s="10">
        <f>IFERROR(__xludf.DUMMYFUNCTION("VALUE(REGEXEXTRACT(A5387, ""\d+""))"),8113.0)</f>
        <v>8113</v>
      </c>
    </row>
    <row r="5388">
      <c r="A5388" s="9" t="s">
        <v>19807</v>
      </c>
      <c r="B5388" s="9" t="s">
        <v>19808</v>
      </c>
      <c r="G5388" s="9" t="s">
        <v>19809</v>
      </c>
      <c r="O5388" s="10">
        <f>IFERROR(__xludf.DUMMYFUNCTION("VALUE(REGEXEXTRACT(A5388, ""\d+""))"),8114.0)</f>
        <v>8114</v>
      </c>
    </row>
    <row r="5389">
      <c r="A5389" s="9" t="s">
        <v>19810</v>
      </c>
      <c r="B5389" s="9" t="s">
        <v>19811</v>
      </c>
      <c r="G5389" s="9" t="s">
        <v>19812</v>
      </c>
      <c r="O5389" s="10">
        <f>IFERROR(__xludf.DUMMYFUNCTION("VALUE(REGEXEXTRACT(A5389, ""\d+""))"),8115.0)</f>
        <v>8115</v>
      </c>
    </row>
    <row r="5390">
      <c r="A5390" s="9" t="s">
        <v>19813</v>
      </c>
      <c r="B5390" s="9" t="s">
        <v>19814</v>
      </c>
      <c r="G5390" s="9" t="s">
        <v>19815</v>
      </c>
      <c r="O5390" s="10">
        <f>IFERROR(__xludf.DUMMYFUNCTION("VALUE(REGEXEXTRACT(A5390, ""\d+""))"),8116.0)</f>
        <v>8116</v>
      </c>
    </row>
    <row r="5391">
      <c r="A5391" s="9" t="s">
        <v>19816</v>
      </c>
      <c r="B5391" s="9" t="s">
        <v>19817</v>
      </c>
      <c r="G5391" s="9" t="s">
        <v>19818</v>
      </c>
      <c r="O5391" s="10">
        <f>IFERROR(__xludf.DUMMYFUNCTION("VALUE(REGEXEXTRACT(A5391, ""\d+""))"),8118.0)</f>
        <v>8118</v>
      </c>
    </row>
    <row r="5392">
      <c r="A5392" s="9" t="s">
        <v>19819</v>
      </c>
      <c r="B5392" s="9" t="s">
        <v>19820</v>
      </c>
      <c r="G5392" s="9" t="s">
        <v>19821</v>
      </c>
      <c r="O5392" s="10">
        <f>IFERROR(__xludf.DUMMYFUNCTION("VALUE(REGEXEXTRACT(A5392, ""\d+""))"),8120.0)</f>
        <v>8120</v>
      </c>
    </row>
    <row r="5393">
      <c r="A5393" s="9" t="s">
        <v>19822</v>
      </c>
      <c r="B5393" s="9" t="s">
        <v>19823</v>
      </c>
      <c r="G5393" s="9" t="s">
        <v>19824</v>
      </c>
      <c r="O5393" s="10">
        <f>IFERROR(__xludf.DUMMYFUNCTION("VALUE(REGEXEXTRACT(A5393, ""\d+""))"),8121.0)</f>
        <v>8121</v>
      </c>
    </row>
    <row r="5394">
      <c r="A5394" s="9" t="s">
        <v>19825</v>
      </c>
      <c r="B5394" s="9" t="s">
        <v>19826</v>
      </c>
      <c r="G5394" s="9" t="s">
        <v>19827</v>
      </c>
      <c r="O5394" s="10">
        <f>IFERROR(__xludf.DUMMYFUNCTION("VALUE(REGEXEXTRACT(A5394, ""\d+""))"),8122.0)</f>
        <v>8122</v>
      </c>
    </row>
    <row r="5395">
      <c r="A5395" s="9" t="s">
        <v>19828</v>
      </c>
      <c r="B5395" s="9" t="s">
        <v>19829</v>
      </c>
      <c r="G5395" s="9" t="s">
        <v>19830</v>
      </c>
      <c r="O5395" s="10">
        <f>IFERROR(__xludf.DUMMYFUNCTION("VALUE(REGEXEXTRACT(A5395, ""\d+""))"),8123.0)</f>
        <v>8123</v>
      </c>
    </row>
    <row r="5396">
      <c r="A5396" s="9" t="s">
        <v>19831</v>
      </c>
      <c r="B5396" s="9" t="s">
        <v>19832</v>
      </c>
      <c r="G5396" s="9" t="s">
        <v>19833</v>
      </c>
      <c r="O5396" s="10">
        <f>IFERROR(__xludf.DUMMYFUNCTION("VALUE(REGEXEXTRACT(A5396, ""\d+""))"),8124.0)</f>
        <v>8124</v>
      </c>
    </row>
    <row r="5397">
      <c r="A5397" s="9" t="s">
        <v>19834</v>
      </c>
      <c r="B5397" s="9" t="s">
        <v>19835</v>
      </c>
      <c r="G5397" s="9" t="s">
        <v>19836</v>
      </c>
      <c r="O5397" s="10">
        <f>IFERROR(__xludf.DUMMYFUNCTION("VALUE(REGEXEXTRACT(A5397, ""\d+""))"),8125.0)</f>
        <v>8125</v>
      </c>
    </row>
    <row r="5398">
      <c r="A5398" s="9" t="s">
        <v>19837</v>
      </c>
      <c r="B5398" s="9" t="s">
        <v>19838</v>
      </c>
      <c r="G5398" s="9" t="s">
        <v>19839</v>
      </c>
      <c r="O5398" s="10">
        <f>IFERROR(__xludf.DUMMYFUNCTION("VALUE(REGEXEXTRACT(A5398, ""\d+""))"),8130.0)</f>
        <v>8130</v>
      </c>
    </row>
    <row r="5399">
      <c r="A5399" s="9" t="s">
        <v>19840</v>
      </c>
      <c r="B5399" s="9" t="s">
        <v>19841</v>
      </c>
      <c r="G5399" s="9" t="s">
        <v>19842</v>
      </c>
      <c r="O5399" s="10">
        <f>IFERROR(__xludf.DUMMYFUNCTION("VALUE(REGEXEXTRACT(A5399, ""\d+""))"),8131.0)</f>
        <v>8131</v>
      </c>
    </row>
    <row r="5400">
      <c r="A5400" s="9" t="s">
        <v>19843</v>
      </c>
      <c r="B5400" s="9" t="s">
        <v>19844</v>
      </c>
      <c r="G5400" s="9" t="s">
        <v>19845</v>
      </c>
      <c r="O5400" s="10">
        <f>IFERROR(__xludf.DUMMYFUNCTION("VALUE(REGEXEXTRACT(A5400, ""\d+""))"),8132.0)</f>
        <v>8132</v>
      </c>
    </row>
    <row r="5401">
      <c r="A5401" s="9" t="s">
        <v>19846</v>
      </c>
      <c r="B5401" s="9" t="s">
        <v>19847</v>
      </c>
      <c r="G5401" s="9" t="s">
        <v>19848</v>
      </c>
      <c r="O5401" s="10">
        <f>IFERROR(__xludf.DUMMYFUNCTION("VALUE(REGEXEXTRACT(A5401, ""\d+""))"),8133.0)</f>
        <v>8133</v>
      </c>
    </row>
    <row r="5402">
      <c r="A5402" s="9" t="s">
        <v>19849</v>
      </c>
      <c r="B5402" s="9" t="s">
        <v>19850</v>
      </c>
      <c r="G5402" s="9" t="s">
        <v>19851</v>
      </c>
      <c r="O5402" s="10">
        <f>IFERROR(__xludf.DUMMYFUNCTION("VALUE(REGEXEXTRACT(A5402, ""\d+""))"),8135.0)</f>
        <v>8135</v>
      </c>
    </row>
    <row r="5403">
      <c r="A5403" s="9" t="s">
        <v>19852</v>
      </c>
      <c r="B5403" s="9" t="s">
        <v>19853</v>
      </c>
      <c r="G5403" s="9" t="s">
        <v>19854</v>
      </c>
      <c r="O5403" s="10">
        <f>IFERROR(__xludf.DUMMYFUNCTION("VALUE(REGEXEXTRACT(A5403, ""\d+""))"),8136.0)</f>
        <v>8136</v>
      </c>
    </row>
    <row r="5404">
      <c r="A5404" s="9" t="s">
        <v>19855</v>
      </c>
      <c r="B5404" s="9" t="s">
        <v>19856</v>
      </c>
      <c r="G5404" s="9" t="s">
        <v>19857</v>
      </c>
      <c r="O5404" s="10">
        <f>IFERROR(__xludf.DUMMYFUNCTION("VALUE(REGEXEXTRACT(A5404, ""\d+""))"),8137.0)</f>
        <v>8137</v>
      </c>
    </row>
    <row r="5405">
      <c r="A5405" s="9" t="s">
        <v>19858</v>
      </c>
      <c r="B5405" s="9" t="s">
        <v>19859</v>
      </c>
      <c r="G5405" s="9" t="s">
        <v>19860</v>
      </c>
      <c r="O5405" s="10">
        <f>IFERROR(__xludf.DUMMYFUNCTION("VALUE(REGEXEXTRACT(A5405, ""\d+""))"),8138.0)</f>
        <v>8138</v>
      </c>
    </row>
    <row r="5406">
      <c r="A5406" s="9" t="s">
        <v>19861</v>
      </c>
      <c r="B5406" s="9" t="s">
        <v>19862</v>
      </c>
      <c r="G5406" s="9" t="s">
        <v>19863</v>
      </c>
      <c r="O5406" s="10">
        <f>IFERROR(__xludf.DUMMYFUNCTION("VALUE(REGEXEXTRACT(A5406, ""\d+""))"),8139.0)</f>
        <v>8139</v>
      </c>
    </row>
    <row r="5407">
      <c r="A5407" s="9" t="s">
        <v>19864</v>
      </c>
      <c r="B5407" s="9" t="s">
        <v>19865</v>
      </c>
      <c r="G5407" s="9" t="s">
        <v>19866</v>
      </c>
      <c r="O5407" s="10">
        <f>IFERROR(__xludf.DUMMYFUNCTION("VALUE(REGEXEXTRACT(A5407, ""\d+""))"),8140.0)</f>
        <v>8140</v>
      </c>
    </row>
    <row r="5408">
      <c r="A5408" s="9" t="s">
        <v>19867</v>
      </c>
      <c r="B5408" s="9" t="s">
        <v>19868</v>
      </c>
      <c r="G5408" s="9" t="s">
        <v>19869</v>
      </c>
      <c r="O5408" s="10">
        <f>IFERROR(__xludf.DUMMYFUNCTION("VALUE(REGEXEXTRACT(A5408, ""\d+""))"),8141.0)</f>
        <v>8141</v>
      </c>
    </row>
    <row r="5409">
      <c r="A5409" s="9" t="s">
        <v>19870</v>
      </c>
      <c r="B5409" s="9" t="s">
        <v>19871</v>
      </c>
      <c r="G5409" s="9" t="s">
        <v>19872</v>
      </c>
      <c r="O5409" s="10">
        <f>IFERROR(__xludf.DUMMYFUNCTION("VALUE(REGEXEXTRACT(A5409, ""\d+""))"),8142.0)</f>
        <v>8142</v>
      </c>
    </row>
    <row r="5410">
      <c r="A5410" s="9" t="s">
        <v>19873</v>
      </c>
      <c r="B5410" s="9" t="s">
        <v>19874</v>
      </c>
      <c r="G5410" s="9" t="s">
        <v>19875</v>
      </c>
      <c r="O5410" s="10">
        <f>IFERROR(__xludf.DUMMYFUNCTION("VALUE(REGEXEXTRACT(A5410, ""\d+""))"),8143.0)</f>
        <v>8143</v>
      </c>
    </row>
    <row r="5411">
      <c r="A5411" s="9" t="s">
        <v>19876</v>
      </c>
      <c r="B5411" s="9" t="s">
        <v>19877</v>
      </c>
      <c r="G5411" s="9" t="s">
        <v>19842</v>
      </c>
      <c r="O5411" s="10">
        <f>IFERROR(__xludf.DUMMYFUNCTION("VALUE(REGEXEXTRACT(A5411, ""\d+""))"),8144.0)</f>
        <v>8144</v>
      </c>
    </row>
    <row r="5412">
      <c r="A5412" s="9" t="s">
        <v>19878</v>
      </c>
      <c r="B5412" s="9" t="s">
        <v>19879</v>
      </c>
      <c r="G5412" s="9" t="s">
        <v>19880</v>
      </c>
      <c r="O5412" s="10">
        <f>IFERROR(__xludf.DUMMYFUNCTION("VALUE(REGEXEXTRACT(A5412, ""\d+""))"),8145.0)</f>
        <v>8145</v>
      </c>
    </row>
    <row r="5413">
      <c r="A5413" s="9" t="s">
        <v>19881</v>
      </c>
      <c r="B5413" s="9" t="s">
        <v>19882</v>
      </c>
      <c r="G5413" s="9" t="s">
        <v>19883</v>
      </c>
      <c r="O5413" s="10">
        <f>IFERROR(__xludf.DUMMYFUNCTION("VALUE(REGEXEXTRACT(A5413, ""\d+""))"),8146.0)</f>
        <v>8146</v>
      </c>
    </row>
    <row r="5414">
      <c r="A5414" s="9" t="s">
        <v>19884</v>
      </c>
      <c r="B5414" s="9" t="s">
        <v>19885</v>
      </c>
      <c r="G5414" s="9" t="s">
        <v>19886</v>
      </c>
      <c r="O5414" s="10">
        <f>IFERROR(__xludf.DUMMYFUNCTION("VALUE(REGEXEXTRACT(A5414, ""\d+""))"),8147.0)</f>
        <v>8147</v>
      </c>
    </row>
    <row r="5415">
      <c r="A5415" s="9" t="s">
        <v>19887</v>
      </c>
      <c r="B5415" s="9" t="s">
        <v>19888</v>
      </c>
      <c r="G5415" s="9" t="s">
        <v>19889</v>
      </c>
      <c r="O5415" s="10">
        <f>IFERROR(__xludf.DUMMYFUNCTION("VALUE(REGEXEXTRACT(A5415, ""\d+""))"),8148.0)</f>
        <v>8148</v>
      </c>
    </row>
    <row r="5416">
      <c r="A5416" s="9" t="s">
        <v>19890</v>
      </c>
      <c r="B5416" s="9" t="s">
        <v>19891</v>
      </c>
      <c r="G5416" s="9" t="s">
        <v>19892</v>
      </c>
      <c r="O5416" s="10">
        <f>IFERROR(__xludf.DUMMYFUNCTION("VALUE(REGEXEXTRACT(A5416, ""\d+""))"),8149.0)</f>
        <v>8149</v>
      </c>
    </row>
    <row r="5417">
      <c r="A5417" s="9" t="s">
        <v>19893</v>
      </c>
      <c r="B5417" s="9" t="s">
        <v>19894</v>
      </c>
      <c r="G5417" s="9" t="s">
        <v>19895</v>
      </c>
      <c r="O5417" s="10">
        <f>IFERROR(__xludf.DUMMYFUNCTION("VALUE(REGEXEXTRACT(A5417, ""\d+""))"),8150.0)</f>
        <v>8150</v>
      </c>
    </row>
    <row r="5418">
      <c r="A5418" s="9" t="s">
        <v>19896</v>
      </c>
      <c r="B5418" s="9" t="s">
        <v>19897</v>
      </c>
      <c r="G5418" s="9" t="s">
        <v>19898</v>
      </c>
      <c r="O5418" s="10">
        <f>IFERROR(__xludf.DUMMYFUNCTION("VALUE(REGEXEXTRACT(A5418, ""\d+""))"),8151.0)</f>
        <v>8151</v>
      </c>
    </row>
    <row r="5419">
      <c r="A5419" s="9" t="s">
        <v>19899</v>
      </c>
      <c r="B5419" s="9" t="s">
        <v>19900</v>
      </c>
      <c r="G5419" s="9" t="s">
        <v>19901</v>
      </c>
      <c r="O5419" s="10">
        <f>IFERROR(__xludf.DUMMYFUNCTION("VALUE(REGEXEXTRACT(A5419, ""\d+""))"),8152.0)</f>
        <v>8152</v>
      </c>
    </row>
    <row r="5420">
      <c r="A5420" s="9" t="s">
        <v>19902</v>
      </c>
      <c r="B5420" s="9" t="s">
        <v>19903</v>
      </c>
      <c r="G5420" s="9" t="s">
        <v>19904</v>
      </c>
      <c r="O5420" s="10">
        <f>IFERROR(__xludf.DUMMYFUNCTION("VALUE(REGEXEXTRACT(A5420, ""\d+""))"),8153.0)</f>
        <v>8153</v>
      </c>
    </row>
    <row r="5421">
      <c r="A5421" s="9" t="s">
        <v>19905</v>
      </c>
      <c r="B5421" s="9" t="s">
        <v>19906</v>
      </c>
      <c r="G5421" s="9" t="s">
        <v>19907</v>
      </c>
      <c r="O5421" s="10">
        <f>IFERROR(__xludf.DUMMYFUNCTION("VALUE(REGEXEXTRACT(A5421, ""\d+""))"),8154.0)</f>
        <v>8154</v>
      </c>
    </row>
    <row r="5422">
      <c r="A5422" s="9" t="s">
        <v>19908</v>
      </c>
      <c r="B5422" s="9" t="s">
        <v>19909</v>
      </c>
      <c r="G5422" s="9" t="s">
        <v>19910</v>
      </c>
      <c r="O5422" s="10">
        <f>IFERROR(__xludf.DUMMYFUNCTION("VALUE(REGEXEXTRACT(A5422, ""\d+""))"),8155.0)</f>
        <v>8155</v>
      </c>
    </row>
    <row r="5423">
      <c r="A5423" s="9" t="s">
        <v>19911</v>
      </c>
      <c r="B5423" s="9" t="s">
        <v>19912</v>
      </c>
      <c r="G5423" s="9" t="s">
        <v>19913</v>
      </c>
      <c r="O5423" s="10">
        <f>IFERROR(__xludf.DUMMYFUNCTION("VALUE(REGEXEXTRACT(A5423, ""\d+""))"),8156.0)</f>
        <v>8156</v>
      </c>
    </row>
    <row r="5424">
      <c r="A5424" s="9" t="s">
        <v>19914</v>
      </c>
      <c r="B5424" s="9" t="s">
        <v>19915</v>
      </c>
      <c r="G5424" s="9" t="s">
        <v>19916</v>
      </c>
      <c r="O5424" s="10">
        <f>IFERROR(__xludf.DUMMYFUNCTION("VALUE(REGEXEXTRACT(A5424, ""\d+""))"),8157.0)</f>
        <v>8157</v>
      </c>
    </row>
    <row r="5425">
      <c r="A5425" s="9" t="s">
        <v>19917</v>
      </c>
      <c r="B5425" s="9" t="s">
        <v>19918</v>
      </c>
      <c r="G5425" s="9" t="s">
        <v>19919</v>
      </c>
      <c r="O5425" s="10">
        <f>IFERROR(__xludf.DUMMYFUNCTION("VALUE(REGEXEXTRACT(A5425, ""\d+""))"),8158.0)</f>
        <v>8158</v>
      </c>
    </row>
    <row r="5426">
      <c r="A5426" s="9" t="s">
        <v>19920</v>
      </c>
      <c r="B5426" s="9" t="s">
        <v>19921</v>
      </c>
      <c r="G5426" s="9" t="s">
        <v>19922</v>
      </c>
      <c r="O5426" s="10">
        <f>IFERROR(__xludf.DUMMYFUNCTION("VALUE(REGEXEXTRACT(A5426, ""\d+""))"),8159.0)</f>
        <v>8159</v>
      </c>
    </row>
    <row r="5427">
      <c r="A5427" s="9" t="s">
        <v>19923</v>
      </c>
      <c r="B5427" s="9" t="s">
        <v>19924</v>
      </c>
      <c r="G5427" s="9" t="s">
        <v>19925</v>
      </c>
      <c r="O5427" s="10">
        <f>IFERROR(__xludf.DUMMYFUNCTION("VALUE(REGEXEXTRACT(A5427, ""\d+""))"),8160.0)</f>
        <v>8160</v>
      </c>
    </row>
    <row r="5428">
      <c r="A5428" s="9" t="s">
        <v>19926</v>
      </c>
      <c r="B5428" s="9" t="s">
        <v>9168</v>
      </c>
      <c r="G5428" s="9" t="s">
        <v>19927</v>
      </c>
      <c r="O5428" s="10">
        <f>IFERROR(__xludf.DUMMYFUNCTION("VALUE(REGEXEXTRACT(A5428, ""\d+""))"),8161.0)</f>
        <v>8161</v>
      </c>
    </row>
    <row r="5429">
      <c r="A5429" s="9" t="s">
        <v>19928</v>
      </c>
      <c r="B5429" s="9" t="s">
        <v>19929</v>
      </c>
      <c r="G5429" s="9" t="s">
        <v>19930</v>
      </c>
      <c r="O5429" s="10">
        <f>IFERROR(__xludf.DUMMYFUNCTION("VALUE(REGEXEXTRACT(A5429, ""\d+""))"),8162.0)</f>
        <v>8162</v>
      </c>
    </row>
    <row r="5430">
      <c r="A5430" s="9" t="s">
        <v>19931</v>
      </c>
      <c r="B5430" s="9" t="s">
        <v>19932</v>
      </c>
      <c r="G5430" s="9" t="s">
        <v>19933</v>
      </c>
      <c r="O5430" s="10">
        <f>IFERROR(__xludf.DUMMYFUNCTION("VALUE(REGEXEXTRACT(A5430, ""\d+""))"),8164.0)</f>
        <v>8164</v>
      </c>
    </row>
    <row r="5431">
      <c r="A5431" s="9" t="s">
        <v>19934</v>
      </c>
      <c r="B5431" s="9" t="s">
        <v>19935</v>
      </c>
      <c r="G5431" s="9" t="s">
        <v>19935</v>
      </c>
      <c r="O5431" s="10">
        <f>IFERROR(__xludf.DUMMYFUNCTION("VALUE(REGEXEXTRACT(A5431, ""\d+""))"),8165.0)</f>
        <v>8165</v>
      </c>
    </row>
    <row r="5432">
      <c r="A5432" s="9" t="s">
        <v>19936</v>
      </c>
      <c r="B5432" s="9" t="s">
        <v>19937</v>
      </c>
      <c r="G5432" s="9" t="s">
        <v>19938</v>
      </c>
      <c r="O5432" s="10">
        <f>IFERROR(__xludf.DUMMYFUNCTION("VALUE(REGEXEXTRACT(A5432, ""\d+""))"),8166.0)</f>
        <v>8166</v>
      </c>
    </row>
    <row r="5433">
      <c r="A5433" s="9" t="s">
        <v>19939</v>
      </c>
      <c r="B5433" s="9" t="s">
        <v>19940</v>
      </c>
      <c r="G5433" s="9" t="s">
        <v>19941</v>
      </c>
      <c r="O5433" s="10">
        <f>IFERROR(__xludf.DUMMYFUNCTION("VALUE(REGEXEXTRACT(A5433, ""\d+""))"),8167.0)</f>
        <v>8167</v>
      </c>
    </row>
    <row r="5434">
      <c r="A5434" s="9" t="s">
        <v>19942</v>
      </c>
      <c r="B5434" s="9" t="s">
        <v>19943</v>
      </c>
      <c r="G5434" s="9" t="s">
        <v>19944</v>
      </c>
      <c r="O5434" s="10">
        <f>IFERROR(__xludf.DUMMYFUNCTION("VALUE(REGEXEXTRACT(A5434, ""\d+""))"),8168.0)</f>
        <v>8168</v>
      </c>
    </row>
    <row r="5435">
      <c r="A5435" s="9" t="s">
        <v>19945</v>
      </c>
      <c r="B5435" s="9" t="s">
        <v>19946</v>
      </c>
      <c r="G5435" s="9" t="s">
        <v>19947</v>
      </c>
      <c r="O5435" s="10">
        <f>IFERROR(__xludf.DUMMYFUNCTION("VALUE(REGEXEXTRACT(A5435, ""\d+""))"),8169.0)</f>
        <v>8169</v>
      </c>
    </row>
    <row r="5436">
      <c r="A5436" s="9" t="s">
        <v>19948</v>
      </c>
      <c r="B5436" s="9" t="s">
        <v>19949</v>
      </c>
      <c r="G5436" s="9" t="s">
        <v>19950</v>
      </c>
      <c r="O5436" s="10">
        <f>IFERROR(__xludf.DUMMYFUNCTION("VALUE(REGEXEXTRACT(A5436, ""\d+""))"),8170.0)</f>
        <v>8170</v>
      </c>
    </row>
    <row r="5437">
      <c r="A5437" s="9" t="s">
        <v>19951</v>
      </c>
      <c r="B5437" s="9" t="s">
        <v>19952</v>
      </c>
      <c r="G5437" s="9" t="s">
        <v>19953</v>
      </c>
      <c r="O5437" s="10">
        <f>IFERROR(__xludf.DUMMYFUNCTION("VALUE(REGEXEXTRACT(A5437, ""\d+""))"),8171.0)</f>
        <v>8171</v>
      </c>
    </row>
    <row r="5438">
      <c r="A5438" s="9" t="s">
        <v>19954</v>
      </c>
      <c r="B5438" s="9" t="s">
        <v>19955</v>
      </c>
      <c r="G5438" s="9" t="s">
        <v>19956</v>
      </c>
      <c r="O5438" s="10">
        <f>IFERROR(__xludf.DUMMYFUNCTION("VALUE(REGEXEXTRACT(A5438, ""\d+""))"),8172.0)</f>
        <v>8172</v>
      </c>
    </row>
    <row r="5439">
      <c r="A5439" s="9" t="s">
        <v>19957</v>
      </c>
      <c r="B5439" s="9" t="s">
        <v>19958</v>
      </c>
      <c r="G5439" s="9" t="s">
        <v>19959</v>
      </c>
      <c r="O5439" s="10">
        <f>IFERROR(__xludf.DUMMYFUNCTION("VALUE(REGEXEXTRACT(A5439, ""\d+""))"),8173.0)</f>
        <v>8173</v>
      </c>
    </row>
    <row r="5440">
      <c r="A5440" s="9" t="s">
        <v>19960</v>
      </c>
      <c r="B5440" s="9" t="s">
        <v>19961</v>
      </c>
      <c r="G5440" s="9" t="s">
        <v>19962</v>
      </c>
      <c r="O5440" s="10">
        <f>IFERROR(__xludf.DUMMYFUNCTION("VALUE(REGEXEXTRACT(A5440, ""\d+""))"),8174.0)</f>
        <v>8174</v>
      </c>
    </row>
    <row r="5441">
      <c r="A5441" s="9" t="s">
        <v>19963</v>
      </c>
      <c r="B5441" s="9" t="s">
        <v>19964</v>
      </c>
      <c r="G5441" s="9" t="s">
        <v>19965</v>
      </c>
      <c r="O5441" s="10">
        <f>IFERROR(__xludf.DUMMYFUNCTION("VALUE(REGEXEXTRACT(A5441, ""\d+""))"),8175.0)</f>
        <v>8175</v>
      </c>
    </row>
    <row r="5442">
      <c r="A5442" s="9" t="s">
        <v>19966</v>
      </c>
      <c r="B5442" s="9" t="s">
        <v>19967</v>
      </c>
      <c r="G5442" s="9" t="s">
        <v>19968</v>
      </c>
      <c r="O5442" s="10">
        <f>IFERROR(__xludf.DUMMYFUNCTION("VALUE(REGEXEXTRACT(A5442, ""\d+""))"),8176.0)</f>
        <v>8176</v>
      </c>
    </row>
    <row r="5443">
      <c r="A5443" s="9" t="s">
        <v>19969</v>
      </c>
      <c r="B5443" s="9" t="s">
        <v>19970</v>
      </c>
      <c r="G5443" s="9" t="s">
        <v>19971</v>
      </c>
      <c r="O5443" s="10">
        <f>IFERROR(__xludf.DUMMYFUNCTION("VALUE(REGEXEXTRACT(A5443, ""\d+""))"),8177.0)</f>
        <v>8177</v>
      </c>
    </row>
    <row r="5444">
      <c r="A5444" s="9" t="s">
        <v>19972</v>
      </c>
      <c r="B5444" s="9" t="s">
        <v>19973</v>
      </c>
      <c r="G5444" s="9" t="s">
        <v>19974</v>
      </c>
      <c r="O5444" s="10">
        <f>IFERROR(__xludf.DUMMYFUNCTION("VALUE(REGEXEXTRACT(A5444, ""\d+""))"),8178.0)</f>
        <v>8178</v>
      </c>
    </row>
    <row r="5445">
      <c r="A5445" s="9" t="s">
        <v>19975</v>
      </c>
      <c r="B5445" s="9" t="s">
        <v>19976</v>
      </c>
      <c r="G5445" s="9" t="s">
        <v>19977</v>
      </c>
      <c r="O5445" s="10">
        <f>IFERROR(__xludf.DUMMYFUNCTION("VALUE(REGEXEXTRACT(A5445, ""\d+""))"),8179.0)</f>
        <v>8179</v>
      </c>
    </row>
    <row r="5446">
      <c r="A5446" s="9" t="s">
        <v>19978</v>
      </c>
      <c r="B5446" s="9" t="s">
        <v>19979</v>
      </c>
      <c r="G5446" s="9" t="s">
        <v>19980</v>
      </c>
      <c r="O5446" s="10">
        <f>IFERROR(__xludf.DUMMYFUNCTION("VALUE(REGEXEXTRACT(A5446, ""\d+""))"),8180.0)</f>
        <v>8180</v>
      </c>
    </row>
    <row r="5447">
      <c r="A5447" s="9" t="s">
        <v>19981</v>
      </c>
      <c r="B5447" s="9" t="s">
        <v>19982</v>
      </c>
      <c r="G5447" s="9" t="s">
        <v>19983</v>
      </c>
      <c r="O5447" s="10">
        <f>IFERROR(__xludf.DUMMYFUNCTION("VALUE(REGEXEXTRACT(A5447, ""\d+""))"),8181.0)</f>
        <v>8181</v>
      </c>
    </row>
    <row r="5448">
      <c r="A5448" s="9" t="s">
        <v>19984</v>
      </c>
      <c r="B5448" s="9" t="s">
        <v>19985</v>
      </c>
      <c r="G5448" s="9" t="s">
        <v>19986</v>
      </c>
      <c r="O5448" s="10">
        <f>IFERROR(__xludf.DUMMYFUNCTION("VALUE(REGEXEXTRACT(A5448, ""\d+""))"),8182.0)</f>
        <v>8182</v>
      </c>
    </row>
    <row r="5449">
      <c r="A5449" s="9" t="s">
        <v>19987</v>
      </c>
      <c r="B5449" s="9" t="s">
        <v>19988</v>
      </c>
      <c r="G5449" s="9" t="s">
        <v>19989</v>
      </c>
      <c r="O5449" s="10">
        <f>IFERROR(__xludf.DUMMYFUNCTION("VALUE(REGEXEXTRACT(A5449, ""\d+""))"),8183.0)</f>
        <v>8183</v>
      </c>
    </row>
    <row r="5450">
      <c r="A5450" s="9" t="s">
        <v>19990</v>
      </c>
      <c r="B5450" s="9" t="s">
        <v>19991</v>
      </c>
      <c r="G5450" s="9" t="s">
        <v>19992</v>
      </c>
      <c r="O5450" s="10">
        <f>IFERROR(__xludf.DUMMYFUNCTION("VALUE(REGEXEXTRACT(A5450, ""\d+""))"),8184.0)</f>
        <v>8184</v>
      </c>
    </row>
    <row r="5451">
      <c r="A5451" s="9" t="s">
        <v>19993</v>
      </c>
      <c r="B5451" s="9" t="s">
        <v>19994</v>
      </c>
      <c r="G5451" s="9" t="s">
        <v>19995</v>
      </c>
      <c r="O5451" s="10">
        <f>IFERROR(__xludf.DUMMYFUNCTION("VALUE(REGEXEXTRACT(A5451, ""\d+""))"),8185.0)</f>
        <v>8185</v>
      </c>
    </row>
    <row r="5452">
      <c r="A5452" s="9" t="s">
        <v>19996</v>
      </c>
      <c r="B5452" s="9" t="s">
        <v>19997</v>
      </c>
      <c r="G5452" s="9" t="s">
        <v>19998</v>
      </c>
      <c r="O5452" s="10">
        <f>IFERROR(__xludf.DUMMYFUNCTION("VALUE(REGEXEXTRACT(A5452, ""\d+""))"),8186.0)</f>
        <v>8186</v>
      </c>
    </row>
    <row r="5453">
      <c r="A5453" s="9" t="s">
        <v>19999</v>
      </c>
      <c r="B5453" s="9" t="s">
        <v>20000</v>
      </c>
      <c r="G5453" s="9" t="s">
        <v>20001</v>
      </c>
      <c r="O5453" s="10">
        <f>IFERROR(__xludf.DUMMYFUNCTION("VALUE(REGEXEXTRACT(A5453, ""\d+""))"),8187.0)</f>
        <v>8187</v>
      </c>
    </row>
    <row r="5454">
      <c r="A5454" s="9" t="s">
        <v>20002</v>
      </c>
      <c r="B5454" s="9" t="s">
        <v>20003</v>
      </c>
      <c r="G5454" s="9" t="s">
        <v>20003</v>
      </c>
      <c r="O5454" s="10">
        <f>IFERROR(__xludf.DUMMYFUNCTION("VALUE(REGEXEXTRACT(A5454, ""\d+""))"),8188.0)</f>
        <v>8188</v>
      </c>
    </row>
    <row r="5455">
      <c r="A5455" s="9" t="s">
        <v>20004</v>
      </c>
      <c r="B5455" s="9" t="s">
        <v>20005</v>
      </c>
      <c r="G5455" s="9" t="s">
        <v>20005</v>
      </c>
      <c r="O5455" s="10">
        <f>IFERROR(__xludf.DUMMYFUNCTION("VALUE(REGEXEXTRACT(A5455, ""\d+""))"),8189.0)</f>
        <v>8189</v>
      </c>
    </row>
    <row r="5456">
      <c r="A5456" s="9" t="s">
        <v>20006</v>
      </c>
      <c r="B5456" s="9" t="s">
        <v>20007</v>
      </c>
      <c r="G5456" s="9" t="s">
        <v>20007</v>
      </c>
      <c r="O5456" s="10">
        <f>IFERROR(__xludf.DUMMYFUNCTION("VALUE(REGEXEXTRACT(A5456, ""\d+""))"),8190.0)</f>
        <v>8190</v>
      </c>
    </row>
    <row r="5457">
      <c r="A5457" s="9" t="s">
        <v>20008</v>
      </c>
      <c r="B5457" s="9" t="s">
        <v>20009</v>
      </c>
      <c r="G5457" s="9" t="s">
        <v>20009</v>
      </c>
      <c r="O5457" s="10">
        <f>IFERROR(__xludf.DUMMYFUNCTION("VALUE(REGEXEXTRACT(A5457, ""\d+""))"),8191.0)</f>
        <v>8191</v>
      </c>
    </row>
    <row r="5458">
      <c r="A5458" s="9" t="s">
        <v>20010</v>
      </c>
      <c r="B5458" s="9" t="s">
        <v>20011</v>
      </c>
      <c r="G5458" s="9" t="s">
        <v>20011</v>
      </c>
      <c r="O5458" s="10">
        <f>IFERROR(__xludf.DUMMYFUNCTION("VALUE(REGEXEXTRACT(A5458, ""\d+""))"),8192.0)</f>
        <v>8192</v>
      </c>
    </row>
    <row r="5459">
      <c r="A5459" s="9" t="s">
        <v>20012</v>
      </c>
      <c r="B5459" s="9" t="s">
        <v>20013</v>
      </c>
      <c r="G5459" s="9" t="s">
        <v>20013</v>
      </c>
      <c r="O5459" s="10">
        <f>IFERROR(__xludf.DUMMYFUNCTION("VALUE(REGEXEXTRACT(A5459, ""\d+""))"),8193.0)</f>
        <v>8193</v>
      </c>
    </row>
    <row r="5460">
      <c r="A5460" s="9" t="s">
        <v>20014</v>
      </c>
      <c r="B5460" s="9" t="s">
        <v>20015</v>
      </c>
      <c r="G5460" s="9" t="s">
        <v>20015</v>
      </c>
      <c r="O5460" s="10">
        <f>IFERROR(__xludf.DUMMYFUNCTION("VALUE(REGEXEXTRACT(A5460, ""\d+""))"),8194.0)</f>
        <v>8194</v>
      </c>
    </row>
    <row r="5461">
      <c r="A5461" s="9" t="s">
        <v>20016</v>
      </c>
      <c r="B5461" s="9" t="s">
        <v>20017</v>
      </c>
      <c r="G5461" s="9" t="s">
        <v>20017</v>
      </c>
      <c r="O5461" s="10">
        <f>IFERROR(__xludf.DUMMYFUNCTION("VALUE(REGEXEXTRACT(A5461, ""\d+""))"),8195.0)</f>
        <v>8195</v>
      </c>
    </row>
    <row r="5462">
      <c r="A5462" s="9" t="s">
        <v>20018</v>
      </c>
      <c r="B5462" s="9" t="s">
        <v>20019</v>
      </c>
      <c r="G5462" s="9" t="s">
        <v>20019</v>
      </c>
      <c r="O5462" s="10">
        <f>IFERROR(__xludf.DUMMYFUNCTION("VALUE(REGEXEXTRACT(A5462, ""\d+""))"),8196.0)</f>
        <v>8196</v>
      </c>
    </row>
    <row r="5463">
      <c r="A5463" s="9" t="s">
        <v>20020</v>
      </c>
      <c r="B5463" s="9" t="s">
        <v>20021</v>
      </c>
      <c r="G5463" s="9" t="s">
        <v>20021</v>
      </c>
      <c r="O5463" s="10">
        <f>IFERROR(__xludf.DUMMYFUNCTION("VALUE(REGEXEXTRACT(A5463, ""\d+""))"),8197.0)</f>
        <v>8197</v>
      </c>
    </row>
    <row r="5464">
      <c r="A5464" s="9" t="s">
        <v>20022</v>
      </c>
      <c r="B5464" s="9" t="s">
        <v>20023</v>
      </c>
      <c r="G5464" s="9" t="s">
        <v>20023</v>
      </c>
      <c r="O5464" s="10">
        <f>IFERROR(__xludf.DUMMYFUNCTION("VALUE(REGEXEXTRACT(A5464, ""\d+""))"),8198.0)</f>
        <v>8198</v>
      </c>
    </row>
    <row r="5465">
      <c r="A5465" s="9" t="s">
        <v>20024</v>
      </c>
      <c r="B5465" s="9" t="s">
        <v>20025</v>
      </c>
      <c r="G5465" s="9" t="s">
        <v>20026</v>
      </c>
      <c r="O5465" s="10">
        <f>IFERROR(__xludf.DUMMYFUNCTION("VALUE(REGEXEXTRACT(A5465, ""\d+""))"),8199.0)</f>
        <v>8199</v>
      </c>
    </row>
    <row r="5466">
      <c r="A5466" s="9" t="s">
        <v>20027</v>
      </c>
      <c r="B5466" s="9" t="s">
        <v>20028</v>
      </c>
      <c r="G5466" s="9" t="s">
        <v>20029</v>
      </c>
      <c r="O5466" s="10">
        <f>IFERROR(__xludf.DUMMYFUNCTION("VALUE(REGEXEXTRACT(A5466, ""\d+""))"),8200.0)</f>
        <v>8200</v>
      </c>
    </row>
    <row r="5467">
      <c r="A5467" s="9" t="s">
        <v>20030</v>
      </c>
      <c r="B5467" s="9" t="s">
        <v>20031</v>
      </c>
      <c r="G5467" s="9" t="s">
        <v>20032</v>
      </c>
      <c r="O5467" s="10">
        <f>IFERROR(__xludf.DUMMYFUNCTION("VALUE(REGEXEXTRACT(A5467, ""\d+""))"),8201.0)</f>
        <v>8201</v>
      </c>
    </row>
    <row r="5468">
      <c r="A5468" s="9" t="s">
        <v>20033</v>
      </c>
      <c r="B5468" s="9" t="s">
        <v>20034</v>
      </c>
      <c r="G5468" s="9" t="s">
        <v>20035</v>
      </c>
      <c r="O5468" s="10">
        <f>IFERROR(__xludf.DUMMYFUNCTION("VALUE(REGEXEXTRACT(A5468, ""\d+""))"),8202.0)</f>
        <v>8202</v>
      </c>
    </row>
    <row r="5469">
      <c r="A5469" s="9" t="s">
        <v>20036</v>
      </c>
      <c r="B5469" s="9" t="s">
        <v>20037</v>
      </c>
      <c r="G5469" s="9" t="s">
        <v>20038</v>
      </c>
      <c r="O5469" s="10">
        <f>IFERROR(__xludf.DUMMYFUNCTION("VALUE(REGEXEXTRACT(A5469, ""\d+""))"),8203.0)</f>
        <v>8203</v>
      </c>
    </row>
    <row r="5470">
      <c r="A5470" s="9" t="s">
        <v>20039</v>
      </c>
      <c r="B5470" s="9" t="s">
        <v>20040</v>
      </c>
      <c r="G5470" s="9" t="s">
        <v>20041</v>
      </c>
      <c r="O5470" s="10">
        <f>IFERROR(__xludf.DUMMYFUNCTION("VALUE(REGEXEXTRACT(A5470, ""\d+""))"),8204.0)</f>
        <v>8204</v>
      </c>
    </row>
    <row r="5471">
      <c r="A5471" s="9" t="s">
        <v>20042</v>
      </c>
      <c r="B5471" s="9" t="s">
        <v>20043</v>
      </c>
      <c r="G5471" s="9" t="s">
        <v>20044</v>
      </c>
      <c r="O5471" s="10">
        <f>IFERROR(__xludf.DUMMYFUNCTION("VALUE(REGEXEXTRACT(A5471, ""\d+""))"),8205.0)</f>
        <v>8205</v>
      </c>
    </row>
    <row r="5472">
      <c r="A5472" s="9" t="s">
        <v>20045</v>
      </c>
      <c r="B5472" s="9" t="s">
        <v>20046</v>
      </c>
      <c r="G5472" s="9" t="s">
        <v>20047</v>
      </c>
      <c r="O5472" s="10">
        <f>IFERROR(__xludf.DUMMYFUNCTION("VALUE(REGEXEXTRACT(A5472, ""\d+""))"),8206.0)</f>
        <v>8206</v>
      </c>
    </row>
    <row r="5473">
      <c r="A5473" s="9" t="s">
        <v>20048</v>
      </c>
      <c r="B5473" s="9" t="s">
        <v>20049</v>
      </c>
      <c r="G5473" s="9" t="s">
        <v>20050</v>
      </c>
      <c r="O5473" s="10">
        <f>IFERROR(__xludf.DUMMYFUNCTION("VALUE(REGEXEXTRACT(A5473, ""\d+""))"),8207.0)</f>
        <v>8207</v>
      </c>
    </row>
    <row r="5474">
      <c r="A5474" s="9" t="s">
        <v>20051</v>
      </c>
      <c r="B5474" s="9" t="s">
        <v>20052</v>
      </c>
      <c r="G5474" s="9" t="s">
        <v>20053</v>
      </c>
      <c r="O5474" s="10">
        <f>IFERROR(__xludf.DUMMYFUNCTION("VALUE(REGEXEXTRACT(A5474, ""\d+""))"),8208.0)</f>
        <v>8208</v>
      </c>
    </row>
    <row r="5475">
      <c r="A5475" s="9" t="s">
        <v>20054</v>
      </c>
      <c r="B5475" s="9" t="s">
        <v>20055</v>
      </c>
      <c r="G5475" s="9" t="s">
        <v>20056</v>
      </c>
      <c r="O5475" s="10">
        <f>IFERROR(__xludf.DUMMYFUNCTION("VALUE(REGEXEXTRACT(A5475, ""\d+""))"),8209.0)</f>
        <v>8209</v>
      </c>
    </row>
    <row r="5476">
      <c r="A5476" s="9" t="s">
        <v>20057</v>
      </c>
      <c r="B5476" s="9" t="s">
        <v>20058</v>
      </c>
      <c r="G5476" s="9" t="s">
        <v>20059</v>
      </c>
      <c r="O5476" s="10">
        <f>IFERROR(__xludf.DUMMYFUNCTION("VALUE(REGEXEXTRACT(A5476, ""\d+""))"),8210.0)</f>
        <v>8210</v>
      </c>
    </row>
    <row r="5477">
      <c r="A5477" s="9" t="s">
        <v>20060</v>
      </c>
      <c r="B5477" s="9" t="s">
        <v>20061</v>
      </c>
      <c r="G5477" s="9" t="s">
        <v>20062</v>
      </c>
      <c r="O5477" s="10">
        <f>IFERROR(__xludf.DUMMYFUNCTION("VALUE(REGEXEXTRACT(A5477, ""\d+""))"),8211.0)</f>
        <v>8211</v>
      </c>
    </row>
    <row r="5478">
      <c r="A5478" s="9" t="s">
        <v>20063</v>
      </c>
      <c r="B5478" s="9" t="s">
        <v>20064</v>
      </c>
      <c r="G5478" s="9" t="s">
        <v>20065</v>
      </c>
      <c r="O5478" s="10">
        <f>IFERROR(__xludf.DUMMYFUNCTION("VALUE(REGEXEXTRACT(A5478, ""\d+""))"),8213.0)</f>
        <v>8213</v>
      </c>
    </row>
    <row r="5479">
      <c r="A5479" s="9" t="s">
        <v>20066</v>
      </c>
      <c r="B5479" s="9" t="s">
        <v>20067</v>
      </c>
      <c r="G5479" s="9" t="s">
        <v>20068</v>
      </c>
      <c r="O5479" s="10">
        <f>IFERROR(__xludf.DUMMYFUNCTION("VALUE(REGEXEXTRACT(A5479, ""\d+""))"),8214.0)</f>
        <v>8214</v>
      </c>
    </row>
    <row r="5480">
      <c r="A5480" s="9" t="s">
        <v>20069</v>
      </c>
      <c r="B5480" s="9" t="s">
        <v>20070</v>
      </c>
      <c r="G5480" s="9" t="s">
        <v>20071</v>
      </c>
      <c r="O5480" s="10">
        <f>IFERROR(__xludf.DUMMYFUNCTION("VALUE(REGEXEXTRACT(A5480, ""\d+""))"),8215.0)</f>
        <v>8215</v>
      </c>
    </row>
    <row r="5481">
      <c r="A5481" s="9" t="s">
        <v>20072</v>
      </c>
      <c r="B5481" s="9" t="s">
        <v>20073</v>
      </c>
      <c r="G5481" s="9" t="s">
        <v>20074</v>
      </c>
      <c r="O5481" s="10">
        <f>IFERROR(__xludf.DUMMYFUNCTION("VALUE(REGEXEXTRACT(A5481, ""\d+""))"),8216.0)</f>
        <v>8216</v>
      </c>
    </row>
    <row r="5482">
      <c r="A5482" s="9" t="s">
        <v>20075</v>
      </c>
      <c r="B5482" s="9" t="s">
        <v>20076</v>
      </c>
      <c r="G5482" s="9" t="s">
        <v>20077</v>
      </c>
      <c r="O5482" s="10">
        <f>IFERROR(__xludf.DUMMYFUNCTION("VALUE(REGEXEXTRACT(A5482, ""\d+""))"),8217.0)</f>
        <v>8217</v>
      </c>
    </row>
    <row r="5483">
      <c r="A5483" s="9" t="s">
        <v>20078</v>
      </c>
      <c r="B5483" s="9" t="s">
        <v>20079</v>
      </c>
      <c r="G5483" s="9" t="s">
        <v>20080</v>
      </c>
      <c r="O5483" s="10">
        <f>IFERROR(__xludf.DUMMYFUNCTION("VALUE(REGEXEXTRACT(A5483, ""\d+""))"),8218.0)</f>
        <v>8218</v>
      </c>
    </row>
    <row r="5484">
      <c r="A5484" s="9" t="s">
        <v>20081</v>
      </c>
      <c r="B5484" s="9" t="s">
        <v>20082</v>
      </c>
      <c r="G5484" s="9" t="s">
        <v>20083</v>
      </c>
      <c r="O5484" s="10">
        <f>IFERROR(__xludf.DUMMYFUNCTION("VALUE(REGEXEXTRACT(A5484, ""\d+""))"),8219.0)</f>
        <v>8219</v>
      </c>
    </row>
    <row r="5485">
      <c r="A5485" s="9" t="s">
        <v>20084</v>
      </c>
      <c r="B5485" s="9" t="s">
        <v>20085</v>
      </c>
      <c r="G5485" s="9" t="s">
        <v>20086</v>
      </c>
      <c r="O5485" s="10">
        <f>IFERROR(__xludf.DUMMYFUNCTION("VALUE(REGEXEXTRACT(A5485, ""\d+""))"),8220.0)</f>
        <v>8220</v>
      </c>
    </row>
    <row r="5486">
      <c r="A5486" s="9" t="s">
        <v>20087</v>
      </c>
      <c r="B5486" s="9" t="s">
        <v>20088</v>
      </c>
      <c r="G5486" s="9" t="s">
        <v>20089</v>
      </c>
      <c r="O5486" s="10">
        <f>IFERROR(__xludf.DUMMYFUNCTION("VALUE(REGEXEXTRACT(A5486, ""\d+""))"),8221.0)</f>
        <v>8221</v>
      </c>
    </row>
    <row r="5487">
      <c r="A5487" s="9" t="s">
        <v>20090</v>
      </c>
      <c r="B5487" s="9" t="s">
        <v>20091</v>
      </c>
      <c r="G5487" s="9" t="s">
        <v>20092</v>
      </c>
      <c r="O5487" s="10">
        <f>IFERROR(__xludf.DUMMYFUNCTION("VALUE(REGEXEXTRACT(A5487, ""\d+""))"),8222.0)</f>
        <v>8222</v>
      </c>
    </row>
    <row r="5488">
      <c r="A5488" s="9" t="s">
        <v>20093</v>
      </c>
      <c r="B5488" s="9" t="s">
        <v>20094</v>
      </c>
      <c r="G5488" s="9" t="s">
        <v>20095</v>
      </c>
      <c r="O5488" s="10">
        <f>IFERROR(__xludf.DUMMYFUNCTION("VALUE(REGEXEXTRACT(A5488, ""\d+""))"),8223.0)</f>
        <v>8223</v>
      </c>
    </row>
    <row r="5489">
      <c r="A5489" s="9" t="s">
        <v>20096</v>
      </c>
      <c r="B5489" s="9" t="s">
        <v>20097</v>
      </c>
      <c r="G5489" s="9" t="s">
        <v>20098</v>
      </c>
      <c r="O5489" s="10">
        <f>IFERROR(__xludf.DUMMYFUNCTION("VALUE(REGEXEXTRACT(A5489, ""\d+""))"),8224.0)</f>
        <v>8224</v>
      </c>
    </row>
    <row r="5490">
      <c r="A5490" s="9" t="s">
        <v>20099</v>
      </c>
      <c r="B5490" s="9" t="s">
        <v>20100</v>
      </c>
      <c r="G5490" s="9" t="s">
        <v>20101</v>
      </c>
      <c r="O5490" s="10">
        <f>IFERROR(__xludf.DUMMYFUNCTION("VALUE(REGEXEXTRACT(A5490, ""\d+""))"),8225.0)</f>
        <v>8225</v>
      </c>
    </row>
    <row r="5491">
      <c r="A5491" s="9" t="s">
        <v>20102</v>
      </c>
      <c r="B5491" s="9" t="s">
        <v>20103</v>
      </c>
      <c r="G5491" s="9" t="s">
        <v>20104</v>
      </c>
      <c r="O5491" s="10">
        <f>IFERROR(__xludf.DUMMYFUNCTION("VALUE(REGEXEXTRACT(A5491, ""\d+""))"),8226.0)</f>
        <v>8226</v>
      </c>
    </row>
    <row r="5492">
      <c r="A5492" s="9" t="s">
        <v>20105</v>
      </c>
      <c r="B5492" s="9" t="s">
        <v>20106</v>
      </c>
      <c r="G5492" s="9" t="s">
        <v>20107</v>
      </c>
      <c r="O5492" s="10">
        <f>IFERROR(__xludf.DUMMYFUNCTION("VALUE(REGEXEXTRACT(A5492, ""\d+""))"),8227.0)</f>
        <v>8227</v>
      </c>
    </row>
    <row r="5493">
      <c r="A5493" s="9" t="s">
        <v>20108</v>
      </c>
      <c r="B5493" s="9" t="s">
        <v>20109</v>
      </c>
      <c r="G5493" s="9" t="s">
        <v>20110</v>
      </c>
      <c r="O5493" s="10">
        <f>IFERROR(__xludf.DUMMYFUNCTION("VALUE(REGEXEXTRACT(A5493, ""\d+""))"),8228.0)</f>
        <v>8228</v>
      </c>
    </row>
    <row r="5494">
      <c r="A5494" s="9" t="s">
        <v>20111</v>
      </c>
      <c r="B5494" s="9" t="s">
        <v>20112</v>
      </c>
      <c r="G5494" s="9" t="s">
        <v>20113</v>
      </c>
      <c r="O5494" s="10">
        <f>IFERROR(__xludf.DUMMYFUNCTION("VALUE(REGEXEXTRACT(A5494, ""\d+""))"),8229.0)</f>
        <v>8229</v>
      </c>
    </row>
    <row r="5495">
      <c r="A5495" s="9" t="s">
        <v>20114</v>
      </c>
      <c r="B5495" s="9" t="s">
        <v>20115</v>
      </c>
      <c r="G5495" s="9" t="s">
        <v>20116</v>
      </c>
      <c r="O5495" s="10">
        <f>IFERROR(__xludf.DUMMYFUNCTION("VALUE(REGEXEXTRACT(A5495, ""\d+""))"),8230.0)</f>
        <v>8230</v>
      </c>
    </row>
    <row r="5496">
      <c r="A5496" s="9" t="s">
        <v>20117</v>
      </c>
      <c r="B5496" s="9" t="s">
        <v>20118</v>
      </c>
      <c r="G5496" s="9" t="s">
        <v>20119</v>
      </c>
      <c r="O5496" s="10">
        <f>IFERROR(__xludf.DUMMYFUNCTION("VALUE(REGEXEXTRACT(A5496, ""\d+""))"),8231.0)</f>
        <v>8231</v>
      </c>
    </row>
    <row r="5497">
      <c r="A5497" s="9" t="s">
        <v>20120</v>
      </c>
      <c r="B5497" s="9" t="s">
        <v>20121</v>
      </c>
      <c r="G5497" s="9" t="s">
        <v>20122</v>
      </c>
      <c r="O5497" s="10">
        <f>IFERROR(__xludf.DUMMYFUNCTION("VALUE(REGEXEXTRACT(A5497, ""\d+""))"),8232.0)</f>
        <v>8232</v>
      </c>
    </row>
    <row r="5498">
      <c r="A5498" s="9" t="s">
        <v>20123</v>
      </c>
      <c r="B5498" s="9" t="s">
        <v>20124</v>
      </c>
      <c r="G5498" s="9" t="s">
        <v>20125</v>
      </c>
      <c r="O5498" s="10">
        <f>IFERROR(__xludf.DUMMYFUNCTION("VALUE(REGEXEXTRACT(A5498, ""\d+""))"),8233.0)</f>
        <v>8233</v>
      </c>
    </row>
    <row r="5499">
      <c r="A5499" s="9" t="s">
        <v>20126</v>
      </c>
      <c r="B5499" s="9" t="s">
        <v>20127</v>
      </c>
      <c r="G5499" s="9" t="s">
        <v>20128</v>
      </c>
      <c r="O5499" s="10">
        <f>IFERROR(__xludf.DUMMYFUNCTION("VALUE(REGEXEXTRACT(A5499, ""\d+""))"),8234.0)</f>
        <v>8234</v>
      </c>
    </row>
    <row r="5500">
      <c r="A5500" s="9" t="s">
        <v>20129</v>
      </c>
      <c r="B5500" s="9" t="s">
        <v>20130</v>
      </c>
      <c r="G5500" s="9" t="s">
        <v>20131</v>
      </c>
      <c r="O5500" s="10">
        <f>IFERROR(__xludf.DUMMYFUNCTION("VALUE(REGEXEXTRACT(A5500, ""\d+""))"),8235.0)</f>
        <v>8235</v>
      </c>
    </row>
    <row r="5501">
      <c r="A5501" s="9" t="s">
        <v>20132</v>
      </c>
      <c r="B5501" s="9" t="s">
        <v>20133</v>
      </c>
      <c r="G5501" s="9" t="s">
        <v>20134</v>
      </c>
      <c r="O5501" s="10">
        <f>IFERROR(__xludf.DUMMYFUNCTION("VALUE(REGEXEXTRACT(A5501, ""\d+""))"),8236.0)</f>
        <v>8236</v>
      </c>
    </row>
    <row r="5502">
      <c r="A5502" s="9" t="s">
        <v>20135</v>
      </c>
      <c r="B5502" s="9" t="s">
        <v>20136</v>
      </c>
      <c r="G5502" s="9" t="s">
        <v>20137</v>
      </c>
      <c r="O5502" s="10">
        <f>IFERROR(__xludf.DUMMYFUNCTION("VALUE(REGEXEXTRACT(A5502, ""\d+""))"),8237.0)</f>
        <v>8237</v>
      </c>
    </row>
    <row r="5503">
      <c r="A5503" s="9" t="s">
        <v>20138</v>
      </c>
      <c r="B5503" s="9" t="s">
        <v>20139</v>
      </c>
      <c r="G5503" s="9" t="s">
        <v>20134</v>
      </c>
      <c r="O5503" s="10">
        <f>IFERROR(__xludf.DUMMYFUNCTION("VALUE(REGEXEXTRACT(A5503, ""\d+""))"),8238.0)</f>
        <v>8238</v>
      </c>
    </row>
    <row r="5504">
      <c r="A5504" s="9" t="s">
        <v>20140</v>
      </c>
      <c r="B5504" s="9" t="s">
        <v>20141</v>
      </c>
      <c r="G5504" s="9" t="s">
        <v>20142</v>
      </c>
      <c r="O5504" s="10">
        <f>IFERROR(__xludf.DUMMYFUNCTION("VALUE(REGEXEXTRACT(A5504, ""\d+""))"),8239.0)</f>
        <v>8239</v>
      </c>
    </row>
    <row r="5505">
      <c r="A5505" s="9" t="s">
        <v>20143</v>
      </c>
      <c r="B5505" s="9" t="s">
        <v>20144</v>
      </c>
      <c r="G5505" s="9" t="s">
        <v>20145</v>
      </c>
      <c r="O5505" s="10">
        <f>IFERROR(__xludf.DUMMYFUNCTION("VALUE(REGEXEXTRACT(A5505, ""\d+""))"),8240.0)</f>
        <v>8240</v>
      </c>
    </row>
    <row r="5506">
      <c r="A5506" s="9" t="s">
        <v>20146</v>
      </c>
      <c r="B5506" s="9" t="s">
        <v>20147</v>
      </c>
      <c r="G5506" s="9" t="s">
        <v>20142</v>
      </c>
      <c r="O5506" s="10">
        <f>IFERROR(__xludf.DUMMYFUNCTION("VALUE(REGEXEXTRACT(A5506, ""\d+""))"),8241.0)</f>
        <v>8241</v>
      </c>
    </row>
    <row r="5507">
      <c r="A5507" s="9" t="s">
        <v>20148</v>
      </c>
      <c r="B5507" s="9" t="s">
        <v>20149</v>
      </c>
      <c r="G5507" s="9" t="s">
        <v>20150</v>
      </c>
      <c r="O5507" s="10">
        <f>IFERROR(__xludf.DUMMYFUNCTION("VALUE(REGEXEXTRACT(A5507, ""\d+""))"),8242.0)</f>
        <v>8242</v>
      </c>
    </row>
    <row r="5508">
      <c r="A5508" s="9" t="s">
        <v>20151</v>
      </c>
      <c r="B5508" s="9" t="s">
        <v>20152</v>
      </c>
      <c r="G5508" s="9" t="s">
        <v>20153</v>
      </c>
      <c r="O5508" s="10">
        <f>IFERROR(__xludf.DUMMYFUNCTION("VALUE(REGEXEXTRACT(A5508, ""\d+""))"),8243.0)</f>
        <v>8243</v>
      </c>
    </row>
    <row r="5509">
      <c r="A5509" s="9" t="s">
        <v>20154</v>
      </c>
      <c r="B5509" s="9" t="s">
        <v>20155</v>
      </c>
      <c r="G5509" s="9" t="s">
        <v>20156</v>
      </c>
      <c r="O5509" s="10">
        <f>IFERROR(__xludf.DUMMYFUNCTION("VALUE(REGEXEXTRACT(A5509, ""\d+""))"),8244.0)</f>
        <v>8244</v>
      </c>
    </row>
    <row r="5510">
      <c r="A5510" s="9" t="s">
        <v>20157</v>
      </c>
      <c r="B5510" s="9" t="s">
        <v>20158</v>
      </c>
      <c r="G5510" s="9" t="s">
        <v>20159</v>
      </c>
      <c r="O5510" s="10">
        <f>IFERROR(__xludf.DUMMYFUNCTION("VALUE(REGEXEXTRACT(A5510, ""\d+""))"),8245.0)</f>
        <v>8245</v>
      </c>
    </row>
    <row r="5511">
      <c r="A5511" s="9" t="s">
        <v>20160</v>
      </c>
      <c r="B5511" s="9" t="s">
        <v>20161</v>
      </c>
      <c r="G5511" s="9" t="s">
        <v>20162</v>
      </c>
      <c r="O5511" s="10">
        <f>IFERROR(__xludf.DUMMYFUNCTION("VALUE(REGEXEXTRACT(A5511, ""\d+""))"),8247.0)</f>
        <v>8247</v>
      </c>
    </row>
    <row r="5512">
      <c r="A5512" s="9" t="s">
        <v>20163</v>
      </c>
      <c r="B5512" s="9" t="s">
        <v>20164</v>
      </c>
      <c r="G5512" s="9" t="s">
        <v>20165</v>
      </c>
      <c r="O5512" s="10">
        <f>IFERROR(__xludf.DUMMYFUNCTION("VALUE(REGEXEXTRACT(A5512, ""\d+""))"),8248.0)</f>
        <v>8248</v>
      </c>
    </row>
    <row r="5513">
      <c r="A5513" s="9" t="s">
        <v>20166</v>
      </c>
      <c r="B5513" s="9" t="s">
        <v>20167</v>
      </c>
      <c r="G5513" s="9" t="s">
        <v>20168</v>
      </c>
      <c r="O5513" s="10">
        <f>IFERROR(__xludf.DUMMYFUNCTION("VALUE(REGEXEXTRACT(A5513, ""\d+""))"),8249.0)</f>
        <v>8249</v>
      </c>
    </row>
    <row r="5514">
      <c r="A5514" s="9" t="s">
        <v>20169</v>
      </c>
      <c r="B5514" s="9" t="s">
        <v>20170</v>
      </c>
      <c r="G5514" s="9" t="s">
        <v>20171</v>
      </c>
      <c r="O5514" s="10">
        <f>IFERROR(__xludf.DUMMYFUNCTION("VALUE(REGEXEXTRACT(A5514, ""\d+""))"),8250.0)</f>
        <v>8250</v>
      </c>
    </row>
    <row r="5515">
      <c r="A5515" s="9" t="s">
        <v>20172</v>
      </c>
      <c r="B5515" s="9" t="s">
        <v>20173</v>
      </c>
      <c r="G5515" s="9" t="s">
        <v>20174</v>
      </c>
      <c r="O5515" s="10">
        <f>IFERROR(__xludf.DUMMYFUNCTION("VALUE(REGEXEXTRACT(A5515, ""\d+""))"),8251.0)</f>
        <v>8251</v>
      </c>
    </row>
    <row r="5516">
      <c r="A5516" s="9" t="s">
        <v>20175</v>
      </c>
      <c r="B5516" s="9" t="s">
        <v>20176</v>
      </c>
      <c r="G5516" s="9" t="s">
        <v>20177</v>
      </c>
      <c r="O5516" s="10">
        <f>IFERROR(__xludf.DUMMYFUNCTION("VALUE(REGEXEXTRACT(A5516, ""\d+""))"),8252.0)</f>
        <v>8252</v>
      </c>
    </row>
    <row r="5517">
      <c r="A5517" s="9" t="s">
        <v>20178</v>
      </c>
      <c r="B5517" s="9" t="s">
        <v>20179</v>
      </c>
      <c r="G5517" s="9" t="s">
        <v>20180</v>
      </c>
      <c r="O5517" s="10">
        <f>IFERROR(__xludf.DUMMYFUNCTION("VALUE(REGEXEXTRACT(A5517, ""\d+""))"),8253.0)</f>
        <v>8253</v>
      </c>
    </row>
    <row r="5518">
      <c r="A5518" s="9" t="s">
        <v>20181</v>
      </c>
      <c r="B5518" s="9" t="s">
        <v>20182</v>
      </c>
      <c r="G5518" s="9" t="s">
        <v>20183</v>
      </c>
      <c r="O5518" s="10">
        <f>IFERROR(__xludf.DUMMYFUNCTION("VALUE(REGEXEXTRACT(A5518, ""\d+""))"),8254.0)</f>
        <v>8254</v>
      </c>
    </row>
    <row r="5519">
      <c r="A5519" s="9" t="s">
        <v>20184</v>
      </c>
      <c r="B5519" s="9" t="s">
        <v>20185</v>
      </c>
      <c r="G5519" s="9" t="s">
        <v>20186</v>
      </c>
      <c r="O5519" s="10">
        <f>IFERROR(__xludf.DUMMYFUNCTION("VALUE(REGEXEXTRACT(A5519, ""\d+""))"),8255.0)</f>
        <v>8255</v>
      </c>
    </row>
    <row r="5520">
      <c r="A5520" s="9" t="s">
        <v>20187</v>
      </c>
      <c r="B5520" s="9" t="s">
        <v>20188</v>
      </c>
      <c r="G5520" s="9" t="s">
        <v>20189</v>
      </c>
      <c r="O5520" s="10">
        <f>IFERROR(__xludf.DUMMYFUNCTION("VALUE(REGEXEXTRACT(A5520, ""\d+""))"),8256.0)</f>
        <v>8256</v>
      </c>
    </row>
    <row r="5521">
      <c r="A5521" s="9" t="s">
        <v>20190</v>
      </c>
      <c r="B5521" s="9" t="s">
        <v>20191</v>
      </c>
      <c r="G5521" s="9" t="s">
        <v>20192</v>
      </c>
      <c r="O5521" s="10">
        <f>IFERROR(__xludf.DUMMYFUNCTION("VALUE(REGEXEXTRACT(A5521, ""\d+""))"),8257.0)</f>
        <v>8257</v>
      </c>
    </row>
    <row r="5522">
      <c r="A5522" s="9" t="s">
        <v>20193</v>
      </c>
      <c r="B5522" s="9" t="s">
        <v>20194</v>
      </c>
      <c r="G5522" s="9" t="s">
        <v>20195</v>
      </c>
      <c r="O5522" s="10">
        <f>IFERROR(__xludf.DUMMYFUNCTION("VALUE(REGEXEXTRACT(A5522, ""\d+""))"),8258.0)</f>
        <v>8258</v>
      </c>
    </row>
    <row r="5523">
      <c r="A5523" s="9" t="s">
        <v>20196</v>
      </c>
      <c r="B5523" s="9" t="s">
        <v>20197</v>
      </c>
      <c r="G5523" s="9" t="s">
        <v>20198</v>
      </c>
      <c r="O5523" s="10">
        <f>IFERROR(__xludf.DUMMYFUNCTION("VALUE(REGEXEXTRACT(A5523, ""\d+""))"),8259.0)</f>
        <v>8259</v>
      </c>
    </row>
    <row r="5524">
      <c r="A5524" s="9" t="s">
        <v>20199</v>
      </c>
      <c r="B5524" s="9" t="s">
        <v>20200</v>
      </c>
      <c r="G5524" s="9" t="s">
        <v>20201</v>
      </c>
      <c r="O5524" s="10">
        <f>IFERROR(__xludf.DUMMYFUNCTION("VALUE(REGEXEXTRACT(A5524, ""\d+""))"),8260.0)</f>
        <v>8260</v>
      </c>
    </row>
    <row r="5525">
      <c r="A5525" s="9" t="s">
        <v>20202</v>
      </c>
      <c r="B5525" s="9" t="s">
        <v>20203</v>
      </c>
      <c r="G5525" s="9" t="s">
        <v>20204</v>
      </c>
      <c r="O5525" s="10">
        <f>IFERROR(__xludf.DUMMYFUNCTION("VALUE(REGEXEXTRACT(A5525, ""\d+""))"),8261.0)</f>
        <v>8261</v>
      </c>
    </row>
    <row r="5526">
      <c r="A5526" s="9" t="s">
        <v>20205</v>
      </c>
      <c r="B5526" s="9" t="s">
        <v>20206</v>
      </c>
      <c r="G5526" s="9" t="s">
        <v>20207</v>
      </c>
      <c r="O5526" s="10">
        <f>IFERROR(__xludf.DUMMYFUNCTION("VALUE(REGEXEXTRACT(A5526, ""\d+""))"),8262.0)</f>
        <v>8262</v>
      </c>
    </row>
    <row r="5527">
      <c r="A5527" s="9" t="s">
        <v>20208</v>
      </c>
      <c r="B5527" s="9" t="s">
        <v>20209</v>
      </c>
      <c r="G5527" s="9" t="s">
        <v>20210</v>
      </c>
      <c r="O5527" s="10">
        <f>IFERROR(__xludf.DUMMYFUNCTION("VALUE(REGEXEXTRACT(A5527, ""\d+""))"),8263.0)</f>
        <v>8263</v>
      </c>
    </row>
    <row r="5528">
      <c r="A5528" s="9" t="s">
        <v>20211</v>
      </c>
      <c r="B5528" s="9" t="s">
        <v>20212</v>
      </c>
      <c r="G5528" s="9" t="s">
        <v>20213</v>
      </c>
      <c r="O5528" s="10">
        <f>IFERROR(__xludf.DUMMYFUNCTION("VALUE(REGEXEXTRACT(A5528, ""\d+""))"),8264.0)</f>
        <v>8264</v>
      </c>
    </row>
    <row r="5529">
      <c r="A5529" s="9" t="s">
        <v>20214</v>
      </c>
      <c r="B5529" s="9" t="s">
        <v>20215</v>
      </c>
      <c r="G5529" s="9" t="s">
        <v>20216</v>
      </c>
      <c r="O5529" s="10">
        <f>IFERROR(__xludf.DUMMYFUNCTION("VALUE(REGEXEXTRACT(A5529, ""\d+""))"),8265.0)</f>
        <v>8265</v>
      </c>
    </row>
    <row r="5530">
      <c r="A5530" s="9" t="s">
        <v>20217</v>
      </c>
      <c r="B5530" s="9" t="s">
        <v>20218</v>
      </c>
      <c r="G5530" s="9" t="s">
        <v>20219</v>
      </c>
      <c r="O5530" s="10">
        <f>IFERROR(__xludf.DUMMYFUNCTION("VALUE(REGEXEXTRACT(A5530, ""\d+""))"),8266.0)</f>
        <v>8266</v>
      </c>
    </row>
    <row r="5531">
      <c r="A5531" s="9" t="s">
        <v>20220</v>
      </c>
      <c r="B5531" s="9" t="s">
        <v>20221</v>
      </c>
      <c r="G5531" s="9" t="s">
        <v>20222</v>
      </c>
      <c r="O5531" s="10">
        <f>IFERROR(__xludf.DUMMYFUNCTION("VALUE(REGEXEXTRACT(A5531, ""\d+""))"),8267.0)</f>
        <v>8267</v>
      </c>
    </row>
    <row r="5532">
      <c r="A5532" s="9" t="s">
        <v>20223</v>
      </c>
      <c r="B5532" s="9" t="s">
        <v>20224</v>
      </c>
      <c r="G5532" s="9" t="s">
        <v>20225</v>
      </c>
      <c r="O5532" s="10">
        <f>IFERROR(__xludf.DUMMYFUNCTION("VALUE(REGEXEXTRACT(A5532, ""\d+""))"),8269.0)</f>
        <v>8269</v>
      </c>
    </row>
    <row r="5533">
      <c r="A5533" s="9" t="s">
        <v>20226</v>
      </c>
      <c r="B5533" s="9" t="s">
        <v>20227</v>
      </c>
      <c r="G5533" s="9" t="s">
        <v>20228</v>
      </c>
      <c r="O5533" s="10">
        <f>IFERROR(__xludf.DUMMYFUNCTION("VALUE(REGEXEXTRACT(A5533, ""\d+""))"),8270.0)</f>
        <v>8270</v>
      </c>
    </row>
    <row r="5534">
      <c r="A5534" s="9" t="s">
        <v>20229</v>
      </c>
      <c r="B5534" s="9" t="s">
        <v>20230</v>
      </c>
      <c r="G5534" s="9" t="s">
        <v>20231</v>
      </c>
      <c r="O5534" s="10">
        <f>IFERROR(__xludf.DUMMYFUNCTION("VALUE(REGEXEXTRACT(A5534, ""\d+""))"),8271.0)</f>
        <v>8271</v>
      </c>
    </row>
    <row r="5535">
      <c r="A5535" s="9" t="s">
        <v>20232</v>
      </c>
      <c r="B5535" s="9" t="s">
        <v>20233</v>
      </c>
      <c r="G5535" s="9" t="s">
        <v>20234</v>
      </c>
      <c r="O5535" s="10">
        <f>IFERROR(__xludf.DUMMYFUNCTION("VALUE(REGEXEXTRACT(A5535, ""\d+""))"),8272.0)</f>
        <v>8272</v>
      </c>
    </row>
    <row r="5536">
      <c r="A5536" s="9" t="s">
        <v>20235</v>
      </c>
      <c r="B5536" s="9" t="s">
        <v>20236</v>
      </c>
      <c r="G5536" s="9" t="s">
        <v>20237</v>
      </c>
      <c r="O5536" s="10">
        <f>IFERROR(__xludf.DUMMYFUNCTION("VALUE(REGEXEXTRACT(A5536, ""\d+""))"),8273.0)</f>
        <v>8273</v>
      </c>
    </row>
    <row r="5537">
      <c r="A5537" s="9" t="s">
        <v>20238</v>
      </c>
      <c r="B5537" s="9" t="s">
        <v>20239</v>
      </c>
      <c r="G5537" s="9" t="s">
        <v>20240</v>
      </c>
      <c r="O5537" s="10">
        <f>IFERROR(__xludf.DUMMYFUNCTION("VALUE(REGEXEXTRACT(A5537, ""\d+""))"),8275.0)</f>
        <v>8275</v>
      </c>
    </row>
    <row r="5538">
      <c r="A5538" s="9" t="s">
        <v>20241</v>
      </c>
      <c r="B5538" s="9" t="s">
        <v>20242</v>
      </c>
      <c r="G5538" s="9" t="s">
        <v>20243</v>
      </c>
      <c r="O5538" s="10">
        <f>IFERROR(__xludf.DUMMYFUNCTION("VALUE(REGEXEXTRACT(A5538, ""\d+""))"),8276.0)</f>
        <v>8276</v>
      </c>
    </row>
    <row r="5539">
      <c r="A5539" s="9" t="s">
        <v>20244</v>
      </c>
      <c r="B5539" s="9" t="s">
        <v>20245</v>
      </c>
      <c r="G5539" s="9" t="s">
        <v>20246</v>
      </c>
      <c r="O5539" s="10">
        <f>IFERROR(__xludf.DUMMYFUNCTION("VALUE(REGEXEXTRACT(A5539, ""\d+""))"),8277.0)</f>
        <v>8277</v>
      </c>
    </row>
    <row r="5540">
      <c r="A5540" s="9" t="s">
        <v>20247</v>
      </c>
      <c r="B5540" s="9" t="s">
        <v>20248</v>
      </c>
      <c r="G5540" s="9" t="s">
        <v>20249</v>
      </c>
      <c r="O5540" s="10">
        <f>IFERROR(__xludf.DUMMYFUNCTION("VALUE(REGEXEXTRACT(A5540, ""\d+""))"),8278.0)</f>
        <v>8278</v>
      </c>
    </row>
    <row r="5541">
      <c r="A5541" s="9" t="s">
        <v>20250</v>
      </c>
      <c r="B5541" s="9" t="s">
        <v>20251</v>
      </c>
      <c r="G5541" s="9" t="s">
        <v>20252</v>
      </c>
      <c r="O5541" s="10">
        <f>IFERROR(__xludf.DUMMYFUNCTION("VALUE(REGEXEXTRACT(A5541, ""\d+""))"),8279.0)</f>
        <v>8279</v>
      </c>
    </row>
    <row r="5542">
      <c r="A5542" s="9" t="s">
        <v>20253</v>
      </c>
      <c r="B5542" s="9" t="s">
        <v>20254</v>
      </c>
      <c r="G5542" s="9" t="s">
        <v>20255</v>
      </c>
      <c r="O5542" s="10">
        <f>IFERROR(__xludf.DUMMYFUNCTION("VALUE(REGEXEXTRACT(A5542, ""\d+""))"),8280.0)</f>
        <v>8280</v>
      </c>
    </row>
    <row r="5543">
      <c r="A5543" s="9" t="s">
        <v>20256</v>
      </c>
      <c r="B5543" s="9" t="s">
        <v>20257</v>
      </c>
      <c r="G5543" s="9" t="s">
        <v>20258</v>
      </c>
      <c r="O5543" s="10">
        <f>IFERROR(__xludf.DUMMYFUNCTION("VALUE(REGEXEXTRACT(A5543, ""\d+""))"),8281.0)</f>
        <v>8281</v>
      </c>
    </row>
    <row r="5544">
      <c r="A5544" s="9" t="s">
        <v>20259</v>
      </c>
      <c r="B5544" s="9" t="s">
        <v>20260</v>
      </c>
      <c r="G5544" s="9" t="s">
        <v>20261</v>
      </c>
      <c r="O5544" s="10">
        <f>IFERROR(__xludf.DUMMYFUNCTION("VALUE(REGEXEXTRACT(A5544, ""\d+""))"),8282.0)</f>
        <v>8282</v>
      </c>
    </row>
    <row r="5545">
      <c r="A5545" s="9" t="s">
        <v>20262</v>
      </c>
      <c r="B5545" s="9" t="s">
        <v>20263</v>
      </c>
      <c r="G5545" s="9" t="s">
        <v>20264</v>
      </c>
      <c r="O5545" s="10">
        <f>IFERROR(__xludf.DUMMYFUNCTION("VALUE(REGEXEXTRACT(A5545, ""\d+""))"),8283.0)</f>
        <v>8283</v>
      </c>
    </row>
    <row r="5546">
      <c r="A5546" s="9" t="s">
        <v>20265</v>
      </c>
      <c r="B5546" s="9" t="s">
        <v>20266</v>
      </c>
      <c r="G5546" s="9" t="s">
        <v>20267</v>
      </c>
      <c r="O5546" s="10">
        <f>IFERROR(__xludf.DUMMYFUNCTION("VALUE(REGEXEXTRACT(A5546, ""\d+""))"),8284.0)</f>
        <v>8284</v>
      </c>
    </row>
    <row r="5547">
      <c r="A5547" s="9" t="s">
        <v>20268</v>
      </c>
      <c r="B5547" s="9" t="s">
        <v>20269</v>
      </c>
      <c r="G5547" s="9" t="s">
        <v>20270</v>
      </c>
      <c r="O5547" s="10">
        <f>IFERROR(__xludf.DUMMYFUNCTION("VALUE(REGEXEXTRACT(A5547, ""\d+""))"),8285.0)</f>
        <v>8285</v>
      </c>
    </row>
    <row r="5548">
      <c r="A5548" s="9" t="s">
        <v>20271</v>
      </c>
      <c r="B5548" s="9" t="s">
        <v>20272</v>
      </c>
      <c r="G5548" s="9" t="s">
        <v>20273</v>
      </c>
      <c r="O5548" s="10">
        <f>IFERROR(__xludf.DUMMYFUNCTION("VALUE(REGEXEXTRACT(A5548, ""\d+""))"),8286.0)</f>
        <v>8286</v>
      </c>
    </row>
    <row r="5549">
      <c r="A5549" s="9" t="s">
        <v>20274</v>
      </c>
      <c r="B5549" s="9" t="s">
        <v>20275</v>
      </c>
      <c r="G5549" s="9" t="s">
        <v>20276</v>
      </c>
      <c r="O5549" s="10">
        <f>IFERROR(__xludf.DUMMYFUNCTION("VALUE(REGEXEXTRACT(A5549, ""\d+""))"),8287.0)</f>
        <v>8287</v>
      </c>
    </row>
    <row r="5550">
      <c r="A5550" s="9" t="s">
        <v>20277</v>
      </c>
      <c r="B5550" s="9" t="s">
        <v>20278</v>
      </c>
      <c r="G5550" s="9" t="s">
        <v>20279</v>
      </c>
      <c r="O5550" s="10">
        <f>IFERROR(__xludf.DUMMYFUNCTION("VALUE(REGEXEXTRACT(A5550, ""\d+""))"),8288.0)</f>
        <v>8288</v>
      </c>
    </row>
    <row r="5551">
      <c r="A5551" s="9" t="s">
        <v>20280</v>
      </c>
      <c r="B5551" s="9" t="s">
        <v>20281</v>
      </c>
      <c r="G5551" s="9" t="s">
        <v>20282</v>
      </c>
      <c r="O5551" s="10">
        <f>IFERROR(__xludf.DUMMYFUNCTION("VALUE(REGEXEXTRACT(A5551, ""\d+""))"),8289.0)</f>
        <v>8289</v>
      </c>
    </row>
    <row r="5552">
      <c r="A5552" s="9" t="s">
        <v>20283</v>
      </c>
      <c r="B5552" s="9" t="s">
        <v>20284</v>
      </c>
      <c r="G5552" s="9" t="s">
        <v>20285</v>
      </c>
      <c r="O5552" s="10">
        <f>IFERROR(__xludf.DUMMYFUNCTION("VALUE(REGEXEXTRACT(A5552, ""\d+""))"),8290.0)</f>
        <v>8290</v>
      </c>
    </row>
    <row r="5553">
      <c r="A5553" s="9" t="s">
        <v>20286</v>
      </c>
      <c r="B5553" s="9" t="s">
        <v>20287</v>
      </c>
      <c r="G5553" s="9" t="s">
        <v>20288</v>
      </c>
      <c r="O5553" s="10">
        <f>IFERROR(__xludf.DUMMYFUNCTION("VALUE(REGEXEXTRACT(A5553, ""\d+""))"),8291.0)</f>
        <v>8291</v>
      </c>
    </row>
    <row r="5554">
      <c r="A5554" s="9" t="s">
        <v>20289</v>
      </c>
      <c r="B5554" s="9" t="s">
        <v>20290</v>
      </c>
      <c r="G5554" s="9" t="s">
        <v>20291</v>
      </c>
      <c r="O5554" s="10">
        <f>IFERROR(__xludf.DUMMYFUNCTION("VALUE(REGEXEXTRACT(A5554, ""\d+""))"),8292.0)</f>
        <v>8292</v>
      </c>
    </row>
    <row r="5555">
      <c r="A5555" s="9" t="s">
        <v>20292</v>
      </c>
      <c r="B5555" s="9" t="s">
        <v>20293</v>
      </c>
      <c r="G5555" s="9" t="s">
        <v>20294</v>
      </c>
      <c r="O5555" s="10">
        <f>IFERROR(__xludf.DUMMYFUNCTION("VALUE(REGEXEXTRACT(A5555, ""\d+""))"),8293.0)</f>
        <v>8293</v>
      </c>
    </row>
    <row r="5556">
      <c r="A5556" s="9" t="s">
        <v>20295</v>
      </c>
      <c r="B5556" s="9" t="s">
        <v>20296</v>
      </c>
      <c r="G5556" s="9" t="s">
        <v>20297</v>
      </c>
      <c r="O5556" s="10">
        <f>IFERROR(__xludf.DUMMYFUNCTION("VALUE(REGEXEXTRACT(A5556, ""\d+""))"),8295.0)</f>
        <v>8295</v>
      </c>
    </row>
    <row r="5557">
      <c r="A5557" s="9" t="s">
        <v>20298</v>
      </c>
      <c r="B5557" s="9" t="s">
        <v>20299</v>
      </c>
      <c r="G5557" s="9" t="s">
        <v>20300</v>
      </c>
      <c r="O5557" s="10">
        <f>IFERROR(__xludf.DUMMYFUNCTION("VALUE(REGEXEXTRACT(A5557, ""\d+""))"),8296.0)</f>
        <v>8296</v>
      </c>
    </row>
    <row r="5558">
      <c r="A5558" s="9" t="s">
        <v>20301</v>
      </c>
      <c r="B5558" s="9" t="s">
        <v>20302</v>
      </c>
      <c r="G5558" s="9" t="s">
        <v>20303</v>
      </c>
      <c r="O5558" s="10">
        <f>IFERROR(__xludf.DUMMYFUNCTION("VALUE(REGEXEXTRACT(A5558, ""\d+""))"),8297.0)</f>
        <v>8297</v>
      </c>
    </row>
    <row r="5559">
      <c r="A5559" s="9" t="s">
        <v>20304</v>
      </c>
      <c r="B5559" s="9" t="s">
        <v>20305</v>
      </c>
      <c r="G5559" s="9" t="s">
        <v>20306</v>
      </c>
      <c r="O5559" s="10">
        <f>IFERROR(__xludf.DUMMYFUNCTION("VALUE(REGEXEXTRACT(A5559, ""\d+""))"),8298.0)</f>
        <v>8298</v>
      </c>
    </row>
    <row r="5560">
      <c r="A5560" s="9" t="s">
        <v>20307</v>
      </c>
      <c r="B5560" s="9" t="s">
        <v>20308</v>
      </c>
      <c r="G5560" s="9" t="s">
        <v>20309</v>
      </c>
      <c r="O5560" s="10">
        <f>IFERROR(__xludf.DUMMYFUNCTION("VALUE(REGEXEXTRACT(A5560, ""\d+""))"),8301.0)</f>
        <v>8301</v>
      </c>
    </row>
    <row r="5561">
      <c r="A5561" s="9" t="s">
        <v>20310</v>
      </c>
      <c r="B5561" s="9" t="s">
        <v>20311</v>
      </c>
      <c r="G5561" s="9" t="s">
        <v>20312</v>
      </c>
      <c r="O5561" s="10">
        <f>IFERROR(__xludf.DUMMYFUNCTION("VALUE(REGEXEXTRACT(A5561, ""\d+""))"),8302.0)</f>
        <v>8302</v>
      </c>
    </row>
    <row r="5562">
      <c r="A5562" s="9" t="s">
        <v>20313</v>
      </c>
      <c r="B5562" s="9" t="s">
        <v>20314</v>
      </c>
      <c r="G5562" s="9" t="s">
        <v>20315</v>
      </c>
      <c r="O5562" s="10">
        <f>IFERROR(__xludf.DUMMYFUNCTION("VALUE(REGEXEXTRACT(A5562, ""\d+""))"),8304.0)</f>
        <v>8304</v>
      </c>
    </row>
    <row r="5563">
      <c r="A5563" s="9" t="s">
        <v>20316</v>
      </c>
      <c r="B5563" s="9" t="s">
        <v>20317</v>
      </c>
      <c r="G5563" s="9" t="s">
        <v>20318</v>
      </c>
      <c r="O5563" s="10">
        <f>IFERROR(__xludf.DUMMYFUNCTION("VALUE(REGEXEXTRACT(A5563, ""\d+""))"),8305.0)</f>
        <v>8305</v>
      </c>
    </row>
    <row r="5564">
      <c r="A5564" s="9" t="s">
        <v>20319</v>
      </c>
      <c r="B5564" s="9" t="s">
        <v>20320</v>
      </c>
      <c r="G5564" s="9" t="s">
        <v>20321</v>
      </c>
      <c r="O5564" s="10">
        <f>IFERROR(__xludf.DUMMYFUNCTION("VALUE(REGEXEXTRACT(A5564, ""\d+""))"),8306.0)</f>
        <v>8306</v>
      </c>
    </row>
    <row r="5565">
      <c r="A5565" s="9" t="s">
        <v>20322</v>
      </c>
      <c r="B5565" s="9" t="s">
        <v>20323</v>
      </c>
      <c r="G5565" s="9" t="s">
        <v>20324</v>
      </c>
      <c r="O5565" s="10">
        <f>IFERROR(__xludf.DUMMYFUNCTION("VALUE(REGEXEXTRACT(A5565, ""\d+""))"),8307.0)</f>
        <v>8307</v>
      </c>
    </row>
    <row r="5566">
      <c r="A5566" s="9" t="s">
        <v>20325</v>
      </c>
      <c r="B5566" s="9" t="s">
        <v>20326</v>
      </c>
      <c r="G5566" s="9" t="s">
        <v>20327</v>
      </c>
      <c r="O5566" s="10">
        <f>IFERROR(__xludf.DUMMYFUNCTION("VALUE(REGEXEXTRACT(A5566, ""\d+""))"),8308.0)</f>
        <v>8308</v>
      </c>
    </row>
    <row r="5567">
      <c r="A5567" s="9" t="s">
        <v>20328</v>
      </c>
      <c r="B5567" s="9" t="s">
        <v>20329</v>
      </c>
      <c r="G5567" s="9" t="s">
        <v>20330</v>
      </c>
      <c r="O5567" s="10">
        <f>IFERROR(__xludf.DUMMYFUNCTION("VALUE(REGEXEXTRACT(A5567, ""\d+""))"),8309.0)</f>
        <v>8309</v>
      </c>
    </row>
    <row r="5568">
      <c r="A5568" s="9" t="s">
        <v>20331</v>
      </c>
      <c r="B5568" s="9" t="s">
        <v>20332</v>
      </c>
      <c r="G5568" s="9" t="s">
        <v>20333</v>
      </c>
      <c r="O5568" s="10">
        <f>IFERROR(__xludf.DUMMYFUNCTION("VALUE(REGEXEXTRACT(A5568, ""\d+""))"),8310.0)</f>
        <v>8310</v>
      </c>
    </row>
    <row r="5569">
      <c r="A5569" s="9" t="s">
        <v>20334</v>
      </c>
      <c r="B5569" s="9" t="s">
        <v>20335</v>
      </c>
      <c r="G5569" s="9" t="s">
        <v>20336</v>
      </c>
      <c r="O5569" s="10">
        <f>IFERROR(__xludf.DUMMYFUNCTION("VALUE(REGEXEXTRACT(A5569, ""\d+""))"),8311.0)</f>
        <v>8311</v>
      </c>
    </row>
    <row r="5570">
      <c r="A5570" s="9" t="s">
        <v>20337</v>
      </c>
      <c r="B5570" s="9" t="s">
        <v>20338</v>
      </c>
      <c r="G5570" s="9" t="s">
        <v>20339</v>
      </c>
      <c r="O5570" s="10">
        <f>IFERROR(__xludf.DUMMYFUNCTION("VALUE(REGEXEXTRACT(A5570, ""\d+""))"),8312.0)</f>
        <v>8312</v>
      </c>
    </row>
    <row r="5571">
      <c r="A5571" s="9" t="s">
        <v>20340</v>
      </c>
      <c r="B5571" s="9" t="s">
        <v>20341</v>
      </c>
      <c r="G5571" s="9" t="s">
        <v>20342</v>
      </c>
      <c r="O5571" s="10">
        <f>IFERROR(__xludf.DUMMYFUNCTION("VALUE(REGEXEXTRACT(A5571, ""\d+""))"),8313.0)</f>
        <v>8313</v>
      </c>
    </row>
    <row r="5572">
      <c r="A5572" s="9" t="s">
        <v>20343</v>
      </c>
      <c r="B5572" s="9" t="s">
        <v>20344</v>
      </c>
      <c r="G5572" s="9" t="s">
        <v>20345</v>
      </c>
      <c r="O5572" s="10">
        <f>IFERROR(__xludf.DUMMYFUNCTION("VALUE(REGEXEXTRACT(A5572, ""\d+""))"),8314.0)</f>
        <v>8314</v>
      </c>
    </row>
    <row r="5573">
      <c r="A5573" s="9" t="s">
        <v>20346</v>
      </c>
      <c r="B5573" s="9" t="s">
        <v>20347</v>
      </c>
      <c r="G5573" s="9" t="s">
        <v>20348</v>
      </c>
      <c r="O5573" s="10">
        <f>IFERROR(__xludf.DUMMYFUNCTION("VALUE(REGEXEXTRACT(A5573, ""\d+""))"),8315.0)</f>
        <v>8315</v>
      </c>
    </row>
    <row r="5574">
      <c r="A5574" s="9" t="s">
        <v>20349</v>
      </c>
      <c r="B5574" s="9" t="s">
        <v>13172</v>
      </c>
      <c r="G5574" s="9" t="s">
        <v>20350</v>
      </c>
      <c r="O5574" s="10">
        <f>IFERROR(__xludf.DUMMYFUNCTION("VALUE(REGEXEXTRACT(A5574, ""\d+""))"),8317.0)</f>
        <v>8317</v>
      </c>
    </row>
    <row r="5575">
      <c r="A5575" s="9" t="s">
        <v>20351</v>
      </c>
      <c r="B5575" s="9" t="s">
        <v>13178</v>
      </c>
      <c r="G5575" s="9" t="s">
        <v>20352</v>
      </c>
      <c r="O5575" s="10">
        <f>IFERROR(__xludf.DUMMYFUNCTION("VALUE(REGEXEXTRACT(A5575, ""\d+""))"),8318.0)</f>
        <v>8318</v>
      </c>
    </row>
    <row r="5576">
      <c r="A5576" s="9" t="s">
        <v>20353</v>
      </c>
      <c r="B5576" s="9" t="s">
        <v>19489</v>
      </c>
      <c r="G5576" s="9" t="s">
        <v>19490</v>
      </c>
      <c r="O5576" s="10">
        <f>IFERROR(__xludf.DUMMYFUNCTION("VALUE(REGEXEXTRACT(A5576, ""\d+""))"),8320.0)</f>
        <v>8320</v>
      </c>
    </row>
    <row r="5577">
      <c r="A5577" s="9" t="s">
        <v>20354</v>
      </c>
      <c r="B5577" s="9" t="s">
        <v>20355</v>
      </c>
      <c r="G5577" s="9" t="s">
        <v>20356</v>
      </c>
      <c r="O5577" s="10">
        <f>IFERROR(__xludf.DUMMYFUNCTION("VALUE(REGEXEXTRACT(A5577, ""\d+""))"),8321.0)</f>
        <v>8321</v>
      </c>
    </row>
    <row r="5578">
      <c r="A5578" s="9" t="s">
        <v>20357</v>
      </c>
      <c r="B5578" s="9" t="s">
        <v>20358</v>
      </c>
      <c r="G5578" s="9" t="s">
        <v>20359</v>
      </c>
      <c r="O5578" s="10">
        <f>IFERROR(__xludf.DUMMYFUNCTION("VALUE(REGEXEXTRACT(A5578, ""\d+""))"),8322.0)</f>
        <v>8322</v>
      </c>
    </row>
    <row r="5579">
      <c r="A5579" s="9" t="s">
        <v>20360</v>
      </c>
      <c r="B5579" s="9" t="s">
        <v>20361</v>
      </c>
      <c r="G5579" s="9" t="s">
        <v>20362</v>
      </c>
      <c r="O5579" s="10">
        <f>IFERROR(__xludf.DUMMYFUNCTION("VALUE(REGEXEXTRACT(A5579, ""\d+""))"),8325.0)</f>
        <v>8325</v>
      </c>
    </row>
    <row r="5580">
      <c r="A5580" s="9" t="s">
        <v>20363</v>
      </c>
      <c r="B5580" s="9" t="s">
        <v>20364</v>
      </c>
      <c r="G5580" s="9" t="s">
        <v>20365</v>
      </c>
      <c r="O5580" s="10">
        <f>IFERROR(__xludf.DUMMYFUNCTION("VALUE(REGEXEXTRACT(A5580, ""\d+""))"),8327.0)</f>
        <v>8327</v>
      </c>
    </row>
    <row r="5581">
      <c r="A5581" s="9" t="s">
        <v>20366</v>
      </c>
      <c r="B5581" s="9" t="s">
        <v>20367</v>
      </c>
      <c r="G5581" s="9" t="s">
        <v>20368</v>
      </c>
      <c r="O5581" s="10">
        <f>IFERROR(__xludf.DUMMYFUNCTION("VALUE(REGEXEXTRACT(A5581, ""\d+""))"),8328.0)</f>
        <v>8328</v>
      </c>
    </row>
    <row r="5582">
      <c r="A5582" s="9" t="s">
        <v>20369</v>
      </c>
      <c r="B5582" s="9" t="s">
        <v>20364</v>
      </c>
      <c r="G5582" s="9" t="s">
        <v>20365</v>
      </c>
      <c r="O5582" s="10">
        <f>IFERROR(__xludf.DUMMYFUNCTION("VALUE(REGEXEXTRACT(A5582, ""\d+""))"),8329.0)</f>
        <v>8329</v>
      </c>
    </row>
    <row r="5583">
      <c r="A5583" s="9" t="s">
        <v>20370</v>
      </c>
      <c r="B5583" s="9" t="s">
        <v>20371</v>
      </c>
      <c r="G5583" s="9" t="s">
        <v>20372</v>
      </c>
      <c r="O5583" s="10">
        <f>IFERROR(__xludf.DUMMYFUNCTION("VALUE(REGEXEXTRACT(A5583, ""\d+""))"),8330.0)</f>
        <v>8330</v>
      </c>
    </row>
    <row r="5584">
      <c r="A5584" s="9" t="s">
        <v>20373</v>
      </c>
      <c r="B5584" s="9" t="s">
        <v>20374</v>
      </c>
      <c r="G5584" s="9" t="s">
        <v>20375</v>
      </c>
      <c r="O5584" s="10">
        <f>IFERROR(__xludf.DUMMYFUNCTION("VALUE(REGEXEXTRACT(A5584, ""\d+""))"),8333.0)</f>
        <v>8333</v>
      </c>
    </row>
    <row r="5585">
      <c r="A5585" s="9" t="s">
        <v>20376</v>
      </c>
      <c r="B5585" s="9" t="s">
        <v>20377</v>
      </c>
      <c r="G5585" s="9" t="s">
        <v>20378</v>
      </c>
      <c r="O5585" s="10">
        <f>IFERROR(__xludf.DUMMYFUNCTION("VALUE(REGEXEXTRACT(A5585, ""\d+""))"),8334.0)</f>
        <v>8334</v>
      </c>
    </row>
    <row r="5586">
      <c r="A5586" s="9" t="s">
        <v>20379</v>
      </c>
      <c r="B5586" s="9" t="s">
        <v>20380</v>
      </c>
      <c r="G5586" s="9" t="s">
        <v>20381</v>
      </c>
      <c r="O5586" s="10">
        <f>IFERROR(__xludf.DUMMYFUNCTION("VALUE(REGEXEXTRACT(A5586, ""\d+""))"),8335.0)</f>
        <v>8335</v>
      </c>
    </row>
    <row r="5587">
      <c r="A5587" s="9" t="s">
        <v>20382</v>
      </c>
      <c r="B5587" s="9" t="s">
        <v>20383</v>
      </c>
      <c r="G5587" s="9" t="s">
        <v>20384</v>
      </c>
      <c r="O5587" s="10">
        <f>IFERROR(__xludf.DUMMYFUNCTION("VALUE(REGEXEXTRACT(A5587, ""\d+""))"),8336.0)</f>
        <v>8336</v>
      </c>
    </row>
    <row r="5588">
      <c r="A5588" s="9" t="s">
        <v>20385</v>
      </c>
      <c r="B5588" s="9" t="s">
        <v>20386</v>
      </c>
      <c r="G5588" s="9" t="s">
        <v>20387</v>
      </c>
      <c r="O5588" s="10">
        <f>IFERROR(__xludf.DUMMYFUNCTION("VALUE(REGEXEXTRACT(A5588, ""\d+""))"),8337.0)</f>
        <v>8337</v>
      </c>
    </row>
    <row r="5589">
      <c r="A5589" s="9" t="s">
        <v>20388</v>
      </c>
      <c r="B5589" s="9" t="s">
        <v>20389</v>
      </c>
      <c r="G5589" s="9" t="s">
        <v>20390</v>
      </c>
      <c r="O5589" s="10">
        <f>IFERROR(__xludf.DUMMYFUNCTION("VALUE(REGEXEXTRACT(A5589, ""\d+""))"),8338.0)</f>
        <v>8338</v>
      </c>
    </row>
    <row r="5590">
      <c r="A5590" s="9" t="s">
        <v>20391</v>
      </c>
      <c r="B5590" s="9" t="s">
        <v>20392</v>
      </c>
      <c r="G5590" s="9" t="s">
        <v>20393</v>
      </c>
      <c r="O5590" s="10">
        <f>IFERROR(__xludf.DUMMYFUNCTION("VALUE(REGEXEXTRACT(A5590, ""\d+""))"),8339.0)</f>
        <v>8339</v>
      </c>
    </row>
    <row r="5591">
      <c r="A5591" s="9" t="s">
        <v>20394</v>
      </c>
      <c r="B5591" s="9" t="s">
        <v>20395</v>
      </c>
      <c r="G5591" s="9" t="s">
        <v>20396</v>
      </c>
      <c r="O5591" s="10">
        <f>IFERROR(__xludf.DUMMYFUNCTION("VALUE(REGEXEXTRACT(A5591, ""\d+""))"),8340.0)</f>
        <v>8340</v>
      </c>
    </row>
    <row r="5592">
      <c r="A5592" s="9" t="s">
        <v>20397</v>
      </c>
      <c r="B5592" s="9" t="s">
        <v>20398</v>
      </c>
      <c r="G5592" s="9" t="s">
        <v>20399</v>
      </c>
      <c r="O5592" s="10">
        <f>IFERROR(__xludf.DUMMYFUNCTION("VALUE(REGEXEXTRACT(A5592, ""\d+""))"),8341.0)</f>
        <v>8341</v>
      </c>
    </row>
    <row r="5593">
      <c r="A5593" s="9" t="s">
        <v>20400</v>
      </c>
      <c r="B5593" s="9" t="s">
        <v>20401</v>
      </c>
      <c r="G5593" s="9" t="s">
        <v>20402</v>
      </c>
      <c r="O5593" s="10">
        <f>IFERROR(__xludf.DUMMYFUNCTION("VALUE(REGEXEXTRACT(A5593, ""\d+""))"),8342.0)</f>
        <v>8342</v>
      </c>
    </row>
    <row r="5594">
      <c r="A5594" s="9" t="s">
        <v>20403</v>
      </c>
      <c r="B5594" s="9" t="s">
        <v>20404</v>
      </c>
      <c r="G5594" s="9" t="s">
        <v>20405</v>
      </c>
      <c r="O5594" s="10">
        <f>IFERROR(__xludf.DUMMYFUNCTION("VALUE(REGEXEXTRACT(A5594, ""\d+""))"),8343.0)</f>
        <v>8343</v>
      </c>
    </row>
    <row r="5595">
      <c r="A5595" s="9" t="s">
        <v>20406</v>
      </c>
      <c r="B5595" s="9" t="s">
        <v>20407</v>
      </c>
      <c r="G5595" s="9" t="s">
        <v>20408</v>
      </c>
      <c r="O5595" s="10">
        <f>IFERROR(__xludf.DUMMYFUNCTION("VALUE(REGEXEXTRACT(A5595, ""\d+""))"),8344.0)</f>
        <v>8344</v>
      </c>
    </row>
    <row r="5596">
      <c r="A5596" s="9" t="s">
        <v>20409</v>
      </c>
      <c r="B5596" s="9" t="s">
        <v>20410</v>
      </c>
      <c r="G5596" s="9" t="s">
        <v>20411</v>
      </c>
      <c r="O5596" s="10">
        <f>IFERROR(__xludf.DUMMYFUNCTION("VALUE(REGEXEXTRACT(A5596, ""\d+""))"),8345.0)</f>
        <v>8345</v>
      </c>
    </row>
    <row r="5597">
      <c r="A5597" s="9" t="s">
        <v>20412</v>
      </c>
      <c r="B5597" s="9" t="s">
        <v>20413</v>
      </c>
      <c r="G5597" s="9" t="s">
        <v>20413</v>
      </c>
      <c r="O5597" s="10">
        <f>IFERROR(__xludf.DUMMYFUNCTION("VALUE(REGEXEXTRACT(A5597, ""\d+""))"),8346.0)</f>
        <v>8346</v>
      </c>
    </row>
    <row r="5598">
      <c r="A5598" s="9" t="s">
        <v>20414</v>
      </c>
      <c r="B5598" s="9" t="s">
        <v>20415</v>
      </c>
      <c r="G5598" s="9" t="s">
        <v>20415</v>
      </c>
      <c r="O5598" s="10">
        <f>IFERROR(__xludf.DUMMYFUNCTION("VALUE(REGEXEXTRACT(A5598, ""\d+""))"),8347.0)</f>
        <v>8347</v>
      </c>
    </row>
    <row r="5599">
      <c r="A5599" s="9" t="s">
        <v>20416</v>
      </c>
      <c r="B5599" s="9" t="s">
        <v>20417</v>
      </c>
      <c r="G5599" s="9" t="s">
        <v>20417</v>
      </c>
      <c r="O5599" s="10">
        <f>IFERROR(__xludf.DUMMYFUNCTION("VALUE(REGEXEXTRACT(A5599, ""\d+""))"),8348.0)</f>
        <v>8348</v>
      </c>
    </row>
    <row r="5600">
      <c r="A5600" s="9" t="s">
        <v>20418</v>
      </c>
      <c r="B5600" s="9" t="s">
        <v>20419</v>
      </c>
      <c r="G5600" s="9" t="s">
        <v>20420</v>
      </c>
      <c r="O5600" s="10">
        <f>IFERROR(__xludf.DUMMYFUNCTION("VALUE(REGEXEXTRACT(A5600, ""\d+""))"),8350.0)</f>
        <v>8350</v>
      </c>
    </row>
    <row r="5601">
      <c r="A5601" s="9" t="s">
        <v>20421</v>
      </c>
      <c r="B5601" s="9" t="s">
        <v>20422</v>
      </c>
      <c r="G5601" s="9" t="s">
        <v>20423</v>
      </c>
      <c r="O5601" s="10">
        <f>IFERROR(__xludf.DUMMYFUNCTION("VALUE(REGEXEXTRACT(A5601, ""\d+""))"),8351.0)</f>
        <v>8351</v>
      </c>
    </row>
    <row r="5602">
      <c r="A5602" s="9" t="s">
        <v>20424</v>
      </c>
      <c r="B5602" s="9" t="s">
        <v>20425</v>
      </c>
      <c r="G5602" s="9" t="s">
        <v>20426</v>
      </c>
      <c r="O5602" s="10">
        <f>IFERROR(__xludf.DUMMYFUNCTION("VALUE(REGEXEXTRACT(A5602, ""\d+""))"),8352.0)</f>
        <v>8352</v>
      </c>
    </row>
    <row r="5603">
      <c r="A5603" s="9" t="s">
        <v>20427</v>
      </c>
      <c r="B5603" s="9" t="s">
        <v>20428</v>
      </c>
      <c r="G5603" s="9" t="s">
        <v>20429</v>
      </c>
      <c r="O5603" s="10">
        <f>IFERROR(__xludf.DUMMYFUNCTION("VALUE(REGEXEXTRACT(A5603, ""\d+""))"),8353.0)</f>
        <v>8353</v>
      </c>
    </row>
    <row r="5604">
      <c r="A5604" s="9" t="s">
        <v>20430</v>
      </c>
      <c r="B5604" s="9" t="s">
        <v>20431</v>
      </c>
      <c r="G5604" s="9" t="s">
        <v>20432</v>
      </c>
      <c r="O5604" s="10">
        <f>IFERROR(__xludf.DUMMYFUNCTION("VALUE(REGEXEXTRACT(A5604, ""\d+""))"),8354.0)</f>
        <v>8354</v>
      </c>
    </row>
    <row r="5605">
      <c r="A5605" s="9" t="s">
        <v>20433</v>
      </c>
      <c r="B5605" s="9" t="s">
        <v>20434</v>
      </c>
      <c r="G5605" s="9" t="s">
        <v>20435</v>
      </c>
      <c r="O5605" s="10">
        <f>IFERROR(__xludf.DUMMYFUNCTION("VALUE(REGEXEXTRACT(A5605, ""\d+""))"),8355.0)</f>
        <v>8355</v>
      </c>
    </row>
    <row r="5606">
      <c r="A5606" s="9" t="s">
        <v>20436</v>
      </c>
      <c r="B5606" s="9" t="s">
        <v>20437</v>
      </c>
      <c r="G5606" s="9" t="s">
        <v>20438</v>
      </c>
      <c r="O5606" s="10">
        <f>IFERROR(__xludf.DUMMYFUNCTION("VALUE(REGEXEXTRACT(A5606, ""\d+""))"),8356.0)</f>
        <v>8356</v>
      </c>
    </row>
    <row r="5607">
      <c r="A5607" s="9" t="s">
        <v>20439</v>
      </c>
      <c r="B5607" s="9" t="s">
        <v>20440</v>
      </c>
      <c r="G5607" s="9" t="s">
        <v>20441</v>
      </c>
      <c r="O5607" s="10">
        <f>IFERROR(__xludf.DUMMYFUNCTION("VALUE(REGEXEXTRACT(A5607, ""\d+""))"),8357.0)</f>
        <v>8357</v>
      </c>
    </row>
    <row r="5608">
      <c r="A5608" s="9" t="s">
        <v>20442</v>
      </c>
      <c r="B5608" s="9" t="s">
        <v>20443</v>
      </c>
      <c r="G5608" s="9" t="s">
        <v>20444</v>
      </c>
      <c r="O5608" s="10">
        <f>IFERROR(__xludf.DUMMYFUNCTION("VALUE(REGEXEXTRACT(A5608, ""\d+""))"),8358.0)</f>
        <v>8358</v>
      </c>
    </row>
    <row r="5609">
      <c r="A5609" s="9" t="s">
        <v>20445</v>
      </c>
      <c r="B5609" s="9" t="s">
        <v>20446</v>
      </c>
      <c r="G5609" s="9" t="s">
        <v>20447</v>
      </c>
      <c r="O5609" s="10">
        <f>IFERROR(__xludf.DUMMYFUNCTION("VALUE(REGEXEXTRACT(A5609, ""\d+""))"),8359.0)</f>
        <v>8359</v>
      </c>
    </row>
    <row r="5610">
      <c r="A5610" s="9" t="s">
        <v>20448</v>
      </c>
      <c r="B5610" s="9" t="s">
        <v>20449</v>
      </c>
      <c r="G5610" s="9" t="s">
        <v>20450</v>
      </c>
      <c r="O5610" s="10">
        <f>IFERROR(__xludf.DUMMYFUNCTION("VALUE(REGEXEXTRACT(A5610, ""\d+""))"),8360.0)</f>
        <v>8360</v>
      </c>
    </row>
    <row r="5611">
      <c r="A5611" s="9" t="s">
        <v>20451</v>
      </c>
      <c r="B5611" s="9" t="s">
        <v>20452</v>
      </c>
      <c r="G5611" s="9" t="s">
        <v>20453</v>
      </c>
      <c r="O5611" s="10">
        <f>IFERROR(__xludf.DUMMYFUNCTION("VALUE(REGEXEXTRACT(A5611, ""\d+""))"),8361.0)</f>
        <v>8361</v>
      </c>
    </row>
    <row r="5612">
      <c r="A5612" s="9" t="s">
        <v>20454</v>
      </c>
      <c r="B5612" s="9" t="s">
        <v>20455</v>
      </c>
      <c r="G5612" s="9" t="s">
        <v>20456</v>
      </c>
      <c r="O5612" s="10">
        <f>IFERROR(__xludf.DUMMYFUNCTION("VALUE(REGEXEXTRACT(A5612, ""\d+""))"),8362.0)</f>
        <v>8362</v>
      </c>
    </row>
    <row r="5613">
      <c r="A5613" s="9" t="s">
        <v>20457</v>
      </c>
      <c r="B5613" s="9" t="s">
        <v>20458</v>
      </c>
      <c r="G5613" s="9" t="s">
        <v>20459</v>
      </c>
      <c r="O5613" s="10">
        <f>IFERROR(__xludf.DUMMYFUNCTION("VALUE(REGEXEXTRACT(A5613, ""\d+""))"),8363.0)</f>
        <v>8363</v>
      </c>
    </row>
    <row r="5614">
      <c r="A5614" s="9" t="s">
        <v>20460</v>
      </c>
      <c r="B5614" s="9" t="s">
        <v>20461</v>
      </c>
      <c r="G5614" s="9" t="s">
        <v>20462</v>
      </c>
      <c r="O5614" s="10">
        <f>IFERROR(__xludf.DUMMYFUNCTION("VALUE(REGEXEXTRACT(A5614, ""\d+""))"),8364.0)</f>
        <v>8364</v>
      </c>
    </row>
    <row r="5615">
      <c r="A5615" s="9" t="s">
        <v>20463</v>
      </c>
      <c r="B5615" s="9" t="s">
        <v>20464</v>
      </c>
      <c r="G5615" s="9" t="s">
        <v>20465</v>
      </c>
      <c r="O5615" s="10">
        <f>IFERROR(__xludf.DUMMYFUNCTION("VALUE(REGEXEXTRACT(A5615, ""\d+""))"),8365.0)</f>
        <v>8365</v>
      </c>
    </row>
    <row r="5616">
      <c r="A5616" s="9" t="s">
        <v>20466</v>
      </c>
      <c r="B5616" s="9" t="s">
        <v>20467</v>
      </c>
      <c r="G5616" s="9" t="s">
        <v>20468</v>
      </c>
      <c r="O5616" s="10">
        <f>IFERROR(__xludf.DUMMYFUNCTION("VALUE(REGEXEXTRACT(A5616, ""\d+""))"),8366.0)</f>
        <v>8366</v>
      </c>
    </row>
    <row r="5617">
      <c r="A5617" s="9" t="s">
        <v>20469</v>
      </c>
      <c r="B5617" s="9" t="s">
        <v>20470</v>
      </c>
      <c r="G5617" s="9" t="s">
        <v>20471</v>
      </c>
      <c r="O5617" s="10">
        <f>IFERROR(__xludf.DUMMYFUNCTION("VALUE(REGEXEXTRACT(A5617, ""\d+""))"),8367.0)</f>
        <v>8367</v>
      </c>
    </row>
    <row r="5618">
      <c r="A5618" s="9" t="s">
        <v>20472</v>
      </c>
      <c r="B5618" s="9" t="s">
        <v>20473</v>
      </c>
      <c r="G5618" s="9" t="s">
        <v>20474</v>
      </c>
      <c r="O5618" s="10">
        <f>IFERROR(__xludf.DUMMYFUNCTION("VALUE(REGEXEXTRACT(A5618, ""\d+""))"),8368.0)</f>
        <v>8368</v>
      </c>
    </row>
    <row r="5619">
      <c r="A5619" s="9" t="s">
        <v>20475</v>
      </c>
      <c r="B5619" s="9" t="s">
        <v>20476</v>
      </c>
      <c r="G5619" s="9" t="s">
        <v>20477</v>
      </c>
      <c r="O5619" s="10">
        <f>IFERROR(__xludf.DUMMYFUNCTION("VALUE(REGEXEXTRACT(A5619, ""\d+""))"),8369.0)</f>
        <v>8369</v>
      </c>
    </row>
    <row r="5620">
      <c r="A5620" s="9" t="s">
        <v>20478</v>
      </c>
      <c r="B5620" s="9" t="s">
        <v>20479</v>
      </c>
      <c r="G5620" s="9" t="s">
        <v>20480</v>
      </c>
      <c r="O5620" s="10">
        <f>IFERROR(__xludf.DUMMYFUNCTION("VALUE(REGEXEXTRACT(A5620, ""\d+""))"),8372.0)</f>
        <v>8372</v>
      </c>
    </row>
    <row r="5621">
      <c r="A5621" s="9" t="s">
        <v>20481</v>
      </c>
      <c r="B5621" s="9" t="s">
        <v>20482</v>
      </c>
      <c r="G5621" s="9" t="s">
        <v>20483</v>
      </c>
      <c r="O5621" s="10">
        <f>IFERROR(__xludf.DUMMYFUNCTION("VALUE(REGEXEXTRACT(A5621, ""\d+""))"),8373.0)</f>
        <v>8373</v>
      </c>
    </row>
    <row r="5622">
      <c r="A5622" s="9" t="s">
        <v>20484</v>
      </c>
      <c r="B5622" s="9" t="s">
        <v>20485</v>
      </c>
      <c r="G5622" s="9" t="s">
        <v>20486</v>
      </c>
      <c r="O5622" s="10">
        <f>IFERROR(__xludf.DUMMYFUNCTION("VALUE(REGEXEXTRACT(A5622, ""\d+""))"),8374.0)</f>
        <v>8374</v>
      </c>
    </row>
    <row r="5623">
      <c r="A5623" s="9" t="s">
        <v>20487</v>
      </c>
      <c r="B5623" s="9" t="s">
        <v>20488</v>
      </c>
      <c r="G5623" s="9" t="s">
        <v>20489</v>
      </c>
      <c r="O5623" s="10">
        <f>IFERROR(__xludf.DUMMYFUNCTION("VALUE(REGEXEXTRACT(A5623, ""\d+""))"),8375.0)</f>
        <v>8375</v>
      </c>
    </row>
    <row r="5624">
      <c r="A5624" s="9" t="s">
        <v>20490</v>
      </c>
      <c r="B5624" s="9" t="s">
        <v>20491</v>
      </c>
      <c r="G5624" s="9" t="s">
        <v>20492</v>
      </c>
      <c r="O5624" s="10">
        <f>IFERROR(__xludf.DUMMYFUNCTION("VALUE(REGEXEXTRACT(A5624, ""\d+""))"),8376.0)</f>
        <v>8376</v>
      </c>
    </row>
    <row r="5625">
      <c r="A5625" s="9" t="s">
        <v>20493</v>
      </c>
      <c r="B5625" s="9" t="s">
        <v>20494</v>
      </c>
      <c r="G5625" s="9" t="s">
        <v>20495</v>
      </c>
      <c r="O5625" s="10">
        <f>IFERROR(__xludf.DUMMYFUNCTION("VALUE(REGEXEXTRACT(A5625, ""\d+""))"),8377.0)</f>
        <v>8377</v>
      </c>
    </row>
    <row r="5626">
      <c r="A5626" s="9" t="s">
        <v>20496</v>
      </c>
      <c r="B5626" s="9" t="s">
        <v>20497</v>
      </c>
      <c r="G5626" s="9" t="s">
        <v>20498</v>
      </c>
      <c r="O5626" s="10">
        <f>IFERROR(__xludf.DUMMYFUNCTION("VALUE(REGEXEXTRACT(A5626, ""\d+""))"),8378.0)</f>
        <v>8378</v>
      </c>
    </row>
    <row r="5627">
      <c r="A5627" s="9" t="s">
        <v>20499</v>
      </c>
      <c r="B5627" s="9" t="s">
        <v>20500</v>
      </c>
      <c r="G5627" s="9" t="s">
        <v>20501</v>
      </c>
      <c r="O5627" s="10">
        <f>IFERROR(__xludf.DUMMYFUNCTION("VALUE(REGEXEXTRACT(A5627, ""\d+""))"),8379.0)</f>
        <v>8379</v>
      </c>
    </row>
    <row r="5628">
      <c r="A5628" s="9" t="s">
        <v>20502</v>
      </c>
      <c r="B5628" s="9" t="s">
        <v>20503</v>
      </c>
      <c r="G5628" s="9" t="s">
        <v>20504</v>
      </c>
      <c r="O5628" s="10">
        <f>IFERROR(__xludf.DUMMYFUNCTION("VALUE(REGEXEXTRACT(A5628, ""\d+""))"),8380.0)</f>
        <v>8380</v>
      </c>
    </row>
    <row r="5629">
      <c r="A5629" s="9" t="s">
        <v>20505</v>
      </c>
      <c r="B5629" s="9" t="s">
        <v>20506</v>
      </c>
      <c r="G5629" s="9" t="s">
        <v>20507</v>
      </c>
      <c r="O5629" s="10">
        <f>IFERROR(__xludf.DUMMYFUNCTION("VALUE(REGEXEXTRACT(A5629, ""\d+""))"),8381.0)</f>
        <v>8381</v>
      </c>
    </row>
    <row r="5630">
      <c r="A5630" s="9" t="s">
        <v>20508</v>
      </c>
      <c r="B5630" s="9" t="s">
        <v>20509</v>
      </c>
      <c r="G5630" s="9" t="s">
        <v>20510</v>
      </c>
      <c r="O5630" s="10">
        <f>IFERROR(__xludf.DUMMYFUNCTION("VALUE(REGEXEXTRACT(A5630, ""\d+""))"),8382.0)</f>
        <v>8382</v>
      </c>
    </row>
    <row r="5631">
      <c r="A5631" s="9" t="s">
        <v>20511</v>
      </c>
      <c r="B5631" s="9" t="s">
        <v>20512</v>
      </c>
      <c r="G5631" s="9" t="s">
        <v>20513</v>
      </c>
      <c r="O5631" s="10">
        <f>IFERROR(__xludf.DUMMYFUNCTION("VALUE(REGEXEXTRACT(A5631, ""\d+""))"),8383.0)</f>
        <v>8383</v>
      </c>
    </row>
    <row r="5632">
      <c r="A5632" s="9" t="s">
        <v>20514</v>
      </c>
      <c r="B5632" s="9" t="s">
        <v>20515</v>
      </c>
      <c r="G5632" s="9" t="s">
        <v>20516</v>
      </c>
      <c r="O5632" s="10">
        <f>IFERROR(__xludf.DUMMYFUNCTION("VALUE(REGEXEXTRACT(A5632, ""\d+""))"),8385.0)</f>
        <v>8385</v>
      </c>
    </row>
    <row r="5633">
      <c r="A5633" s="9" t="s">
        <v>20517</v>
      </c>
      <c r="B5633" s="9" t="s">
        <v>20518</v>
      </c>
      <c r="G5633" s="9" t="s">
        <v>20519</v>
      </c>
      <c r="O5633" s="10">
        <f>IFERROR(__xludf.DUMMYFUNCTION("VALUE(REGEXEXTRACT(A5633, ""\d+""))"),8386.0)</f>
        <v>8386</v>
      </c>
    </row>
    <row r="5634">
      <c r="A5634" s="9" t="s">
        <v>20520</v>
      </c>
      <c r="B5634" s="9" t="s">
        <v>20521</v>
      </c>
      <c r="G5634" s="9" t="s">
        <v>20522</v>
      </c>
      <c r="O5634" s="10">
        <f>IFERROR(__xludf.DUMMYFUNCTION("VALUE(REGEXEXTRACT(A5634, ""\d+""))"),8387.0)</f>
        <v>8387</v>
      </c>
    </row>
    <row r="5635">
      <c r="A5635" s="9" t="s">
        <v>20523</v>
      </c>
      <c r="B5635" s="9" t="s">
        <v>20524</v>
      </c>
      <c r="G5635" s="9" t="s">
        <v>20525</v>
      </c>
      <c r="O5635" s="10">
        <f>IFERROR(__xludf.DUMMYFUNCTION("VALUE(REGEXEXTRACT(A5635, ""\d+""))"),8388.0)</f>
        <v>8388</v>
      </c>
    </row>
    <row r="5636">
      <c r="A5636" s="9" t="s">
        <v>20526</v>
      </c>
      <c r="B5636" s="9" t="s">
        <v>20527</v>
      </c>
      <c r="G5636" s="9" t="s">
        <v>20528</v>
      </c>
      <c r="O5636" s="10">
        <f>IFERROR(__xludf.DUMMYFUNCTION("VALUE(REGEXEXTRACT(A5636, ""\d+""))"),8389.0)</f>
        <v>8389</v>
      </c>
    </row>
    <row r="5637">
      <c r="A5637" s="9" t="s">
        <v>20529</v>
      </c>
      <c r="B5637" s="9" t="s">
        <v>20530</v>
      </c>
      <c r="G5637" s="9" t="s">
        <v>20531</v>
      </c>
      <c r="O5637" s="10">
        <f>IFERROR(__xludf.DUMMYFUNCTION("VALUE(REGEXEXTRACT(A5637, ""\d+""))"),8390.0)</f>
        <v>8390</v>
      </c>
    </row>
    <row r="5638">
      <c r="A5638" s="9" t="s">
        <v>20532</v>
      </c>
      <c r="B5638" s="9" t="s">
        <v>20533</v>
      </c>
      <c r="G5638" s="9" t="s">
        <v>20534</v>
      </c>
      <c r="O5638" s="10">
        <f>IFERROR(__xludf.DUMMYFUNCTION("VALUE(REGEXEXTRACT(A5638, ""\d+""))"),8391.0)</f>
        <v>8391</v>
      </c>
    </row>
    <row r="5639">
      <c r="A5639" s="9" t="s">
        <v>20535</v>
      </c>
      <c r="B5639" s="9" t="s">
        <v>20536</v>
      </c>
      <c r="G5639" s="9" t="s">
        <v>20537</v>
      </c>
      <c r="O5639" s="10">
        <f>IFERROR(__xludf.DUMMYFUNCTION("VALUE(REGEXEXTRACT(A5639, ""\d+""))"),8392.0)</f>
        <v>8392</v>
      </c>
    </row>
    <row r="5640">
      <c r="A5640" s="9" t="s">
        <v>20538</v>
      </c>
      <c r="B5640" s="9" t="s">
        <v>20539</v>
      </c>
      <c r="G5640" s="9" t="s">
        <v>20540</v>
      </c>
      <c r="O5640" s="10">
        <f>IFERROR(__xludf.DUMMYFUNCTION("VALUE(REGEXEXTRACT(A5640, ""\d+""))"),8393.0)</f>
        <v>8393</v>
      </c>
    </row>
    <row r="5641">
      <c r="A5641" s="9" t="s">
        <v>20541</v>
      </c>
      <c r="B5641" s="9" t="s">
        <v>20542</v>
      </c>
      <c r="G5641" s="9" t="s">
        <v>20543</v>
      </c>
      <c r="O5641" s="10">
        <f>IFERROR(__xludf.DUMMYFUNCTION("VALUE(REGEXEXTRACT(A5641, ""\d+""))"),8394.0)</f>
        <v>8394</v>
      </c>
    </row>
    <row r="5642">
      <c r="A5642" s="9" t="s">
        <v>20544</v>
      </c>
      <c r="B5642" s="9" t="s">
        <v>20545</v>
      </c>
      <c r="G5642" s="9" t="s">
        <v>20546</v>
      </c>
      <c r="O5642" s="10">
        <f>IFERROR(__xludf.DUMMYFUNCTION("VALUE(REGEXEXTRACT(A5642, ""\d+""))"),8395.0)</f>
        <v>8395</v>
      </c>
    </row>
    <row r="5643">
      <c r="A5643" s="9" t="s">
        <v>20547</v>
      </c>
      <c r="B5643" s="9" t="s">
        <v>20548</v>
      </c>
      <c r="G5643" s="9" t="s">
        <v>20549</v>
      </c>
      <c r="O5643" s="10">
        <f>IFERROR(__xludf.DUMMYFUNCTION("VALUE(REGEXEXTRACT(A5643, ""\d+""))"),8396.0)</f>
        <v>8396</v>
      </c>
    </row>
    <row r="5644">
      <c r="A5644" s="9" t="s">
        <v>20550</v>
      </c>
      <c r="B5644" s="9" t="s">
        <v>20551</v>
      </c>
      <c r="G5644" s="9" t="s">
        <v>20552</v>
      </c>
      <c r="O5644" s="10">
        <f>IFERROR(__xludf.DUMMYFUNCTION("VALUE(REGEXEXTRACT(A5644, ""\d+""))"),8397.0)</f>
        <v>8397</v>
      </c>
    </row>
    <row r="5645">
      <c r="A5645" s="9" t="s">
        <v>20553</v>
      </c>
      <c r="B5645" s="9" t="s">
        <v>20554</v>
      </c>
      <c r="G5645" s="9" t="s">
        <v>20555</v>
      </c>
      <c r="O5645" s="10">
        <f>IFERROR(__xludf.DUMMYFUNCTION("VALUE(REGEXEXTRACT(A5645, ""\d+""))"),8398.0)</f>
        <v>8398</v>
      </c>
    </row>
    <row r="5646">
      <c r="A5646" s="9" t="s">
        <v>20556</v>
      </c>
      <c r="B5646" s="9" t="s">
        <v>20557</v>
      </c>
      <c r="G5646" s="9" t="s">
        <v>20558</v>
      </c>
      <c r="O5646" s="10">
        <f>IFERROR(__xludf.DUMMYFUNCTION("VALUE(REGEXEXTRACT(A5646, ""\d+""))"),8399.0)</f>
        <v>8399</v>
      </c>
    </row>
    <row r="5647">
      <c r="A5647" s="9" t="s">
        <v>20559</v>
      </c>
      <c r="B5647" s="9" t="s">
        <v>20560</v>
      </c>
      <c r="G5647" s="9" t="s">
        <v>20561</v>
      </c>
      <c r="O5647" s="10">
        <f>IFERROR(__xludf.DUMMYFUNCTION("VALUE(REGEXEXTRACT(A5647, ""\d+""))"),8400.0)</f>
        <v>8400</v>
      </c>
    </row>
    <row r="5648">
      <c r="A5648" s="9" t="s">
        <v>20562</v>
      </c>
      <c r="B5648" s="9" t="s">
        <v>20563</v>
      </c>
      <c r="G5648" s="9" t="s">
        <v>20564</v>
      </c>
      <c r="O5648" s="10">
        <f>IFERROR(__xludf.DUMMYFUNCTION("VALUE(REGEXEXTRACT(A5648, ""\d+""))"),8401.0)</f>
        <v>8401</v>
      </c>
    </row>
    <row r="5649">
      <c r="A5649" s="9" t="s">
        <v>20565</v>
      </c>
      <c r="B5649" s="9" t="s">
        <v>20566</v>
      </c>
      <c r="G5649" s="9" t="s">
        <v>20567</v>
      </c>
      <c r="O5649" s="10">
        <f>IFERROR(__xludf.DUMMYFUNCTION("VALUE(REGEXEXTRACT(A5649, ""\d+""))"),8402.0)</f>
        <v>8402</v>
      </c>
    </row>
    <row r="5650">
      <c r="A5650" s="9" t="s">
        <v>20568</v>
      </c>
      <c r="B5650" s="9" t="s">
        <v>20569</v>
      </c>
      <c r="G5650" s="9" t="s">
        <v>20570</v>
      </c>
      <c r="O5650" s="10">
        <f>IFERROR(__xludf.DUMMYFUNCTION("VALUE(REGEXEXTRACT(A5650, ""\d+""))"),8403.0)</f>
        <v>8403</v>
      </c>
    </row>
    <row r="5651">
      <c r="A5651" s="9" t="s">
        <v>20571</v>
      </c>
      <c r="B5651" s="9" t="s">
        <v>20572</v>
      </c>
      <c r="G5651" s="9" t="s">
        <v>20573</v>
      </c>
      <c r="O5651" s="10">
        <f>IFERROR(__xludf.DUMMYFUNCTION("VALUE(REGEXEXTRACT(A5651, ""\d+""))"),8404.0)</f>
        <v>8404</v>
      </c>
    </row>
    <row r="5652">
      <c r="A5652" s="9" t="s">
        <v>20574</v>
      </c>
      <c r="B5652" s="9" t="s">
        <v>20575</v>
      </c>
      <c r="G5652" s="9" t="s">
        <v>20576</v>
      </c>
      <c r="O5652" s="10">
        <f>IFERROR(__xludf.DUMMYFUNCTION("VALUE(REGEXEXTRACT(A5652, ""\d+""))"),8405.0)</f>
        <v>8405</v>
      </c>
    </row>
    <row r="5653">
      <c r="A5653" s="9" t="s">
        <v>20577</v>
      </c>
      <c r="B5653" s="9" t="s">
        <v>20578</v>
      </c>
      <c r="G5653" s="9" t="s">
        <v>20579</v>
      </c>
      <c r="O5653" s="10">
        <f>IFERROR(__xludf.DUMMYFUNCTION("VALUE(REGEXEXTRACT(A5653, ""\d+""))"),8406.0)</f>
        <v>8406</v>
      </c>
    </row>
    <row r="5654">
      <c r="A5654" s="9" t="s">
        <v>20580</v>
      </c>
      <c r="B5654" s="9" t="s">
        <v>20581</v>
      </c>
      <c r="G5654" s="9" t="s">
        <v>20582</v>
      </c>
      <c r="O5654" s="10">
        <f>IFERROR(__xludf.DUMMYFUNCTION("VALUE(REGEXEXTRACT(A5654, ""\d+""))"),8407.0)</f>
        <v>8407</v>
      </c>
    </row>
    <row r="5655">
      <c r="A5655" s="9" t="s">
        <v>20583</v>
      </c>
      <c r="B5655" s="9" t="s">
        <v>20584</v>
      </c>
      <c r="G5655" s="9" t="s">
        <v>20585</v>
      </c>
      <c r="O5655" s="10">
        <f>IFERROR(__xludf.DUMMYFUNCTION("VALUE(REGEXEXTRACT(A5655, ""\d+""))"),8408.0)</f>
        <v>8408</v>
      </c>
    </row>
    <row r="5656">
      <c r="A5656" s="9" t="s">
        <v>20586</v>
      </c>
      <c r="B5656" s="9" t="s">
        <v>20587</v>
      </c>
      <c r="G5656" s="9" t="s">
        <v>20588</v>
      </c>
      <c r="O5656" s="10">
        <f>IFERROR(__xludf.DUMMYFUNCTION("VALUE(REGEXEXTRACT(A5656, ""\d+""))"),8409.0)</f>
        <v>8409</v>
      </c>
    </row>
    <row r="5657">
      <c r="A5657" s="9" t="s">
        <v>20589</v>
      </c>
      <c r="B5657" s="9" t="s">
        <v>20590</v>
      </c>
      <c r="G5657" s="9" t="s">
        <v>20591</v>
      </c>
      <c r="O5657" s="10">
        <f>IFERROR(__xludf.DUMMYFUNCTION("VALUE(REGEXEXTRACT(A5657, ""\d+""))"),8410.0)</f>
        <v>8410</v>
      </c>
    </row>
    <row r="5658">
      <c r="A5658" s="9" t="s">
        <v>20592</v>
      </c>
      <c r="B5658" s="9" t="s">
        <v>20593</v>
      </c>
      <c r="G5658" s="9" t="s">
        <v>20594</v>
      </c>
      <c r="O5658" s="10">
        <f>IFERROR(__xludf.DUMMYFUNCTION("VALUE(REGEXEXTRACT(A5658, ""\d+""))"),8411.0)</f>
        <v>8411</v>
      </c>
    </row>
    <row r="5659">
      <c r="A5659" s="9" t="s">
        <v>20595</v>
      </c>
      <c r="B5659" s="9" t="s">
        <v>20596</v>
      </c>
      <c r="G5659" s="9" t="s">
        <v>20597</v>
      </c>
      <c r="O5659" s="10">
        <f>IFERROR(__xludf.DUMMYFUNCTION("VALUE(REGEXEXTRACT(A5659, ""\d+""))"),8412.0)</f>
        <v>8412</v>
      </c>
    </row>
    <row r="5660">
      <c r="A5660" s="9" t="s">
        <v>20598</v>
      </c>
      <c r="B5660" s="9" t="s">
        <v>20599</v>
      </c>
      <c r="G5660" s="9" t="s">
        <v>20600</v>
      </c>
      <c r="O5660" s="10">
        <f>IFERROR(__xludf.DUMMYFUNCTION("VALUE(REGEXEXTRACT(A5660, ""\d+""))"),8413.0)</f>
        <v>8413</v>
      </c>
    </row>
    <row r="5661">
      <c r="A5661" s="9" t="s">
        <v>20601</v>
      </c>
      <c r="B5661" s="9" t="s">
        <v>20602</v>
      </c>
      <c r="G5661" s="9" t="s">
        <v>20603</v>
      </c>
      <c r="O5661" s="10">
        <f>IFERROR(__xludf.DUMMYFUNCTION("VALUE(REGEXEXTRACT(A5661, ""\d+""))"),8414.0)</f>
        <v>8414</v>
      </c>
    </row>
    <row r="5662">
      <c r="A5662" s="9" t="s">
        <v>20604</v>
      </c>
      <c r="B5662" s="9" t="s">
        <v>20605</v>
      </c>
      <c r="G5662" s="9" t="s">
        <v>20606</v>
      </c>
      <c r="O5662" s="10">
        <f>IFERROR(__xludf.DUMMYFUNCTION("VALUE(REGEXEXTRACT(A5662, ""\d+""))"),8415.0)</f>
        <v>8415</v>
      </c>
    </row>
    <row r="5663">
      <c r="A5663" s="9" t="s">
        <v>20607</v>
      </c>
      <c r="B5663" s="9" t="s">
        <v>20608</v>
      </c>
      <c r="G5663" s="9" t="s">
        <v>20609</v>
      </c>
      <c r="O5663" s="10">
        <f>IFERROR(__xludf.DUMMYFUNCTION("VALUE(REGEXEXTRACT(A5663, ""\d+""))"),8416.0)</f>
        <v>8416</v>
      </c>
    </row>
    <row r="5664">
      <c r="A5664" s="9" t="s">
        <v>20610</v>
      </c>
      <c r="B5664" s="9" t="s">
        <v>20611</v>
      </c>
      <c r="G5664" s="9" t="s">
        <v>20612</v>
      </c>
      <c r="O5664" s="10">
        <f>IFERROR(__xludf.DUMMYFUNCTION("VALUE(REGEXEXTRACT(A5664, ""\d+""))"),8417.0)</f>
        <v>8417</v>
      </c>
    </row>
    <row r="5665">
      <c r="A5665" s="9" t="s">
        <v>20613</v>
      </c>
      <c r="B5665" s="9" t="s">
        <v>20614</v>
      </c>
      <c r="G5665" s="9" t="s">
        <v>20615</v>
      </c>
      <c r="O5665" s="10">
        <f>IFERROR(__xludf.DUMMYFUNCTION("VALUE(REGEXEXTRACT(A5665, ""\d+""))"),8419.0)</f>
        <v>8419</v>
      </c>
    </row>
    <row r="5666">
      <c r="A5666" s="9" t="s">
        <v>20616</v>
      </c>
      <c r="B5666" s="9" t="s">
        <v>20617</v>
      </c>
      <c r="G5666" s="9" t="s">
        <v>20618</v>
      </c>
      <c r="O5666" s="10">
        <f>IFERROR(__xludf.DUMMYFUNCTION("VALUE(REGEXEXTRACT(A5666, ""\d+""))"),8420.0)</f>
        <v>8420</v>
      </c>
    </row>
    <row r="5667">
      <c r="A5667" s="9" t="s">
        <v>20619</v>
      </c>
      <c r="B5667" s="9" t="s">
        <v>20620</v>
      </c>
      <c r="G5667" s="9" t="s">
        <v>20621</v>
      </c>
      <c r="O5667" s="10">
        <f>IFERROR(__xludf.DUMMYFUNCTION("VALUE(REGEXEXTRACT(A5667, ""\d+""))"),8421.0)</f>
        <v>8421</v>
      </c>
    </row>
    <row r="5668">
      <c r="A5668" s="9" t="s">
        <v>20622</v>
      </c>
      <c r="B5668" s="9" t="s">
        <v>20623</v>
      </c>
      <c r="G5668" s="9" t="s">
        <v>20624</v>
      </c>
      <c r="O5668" s="10">
        <f>IFERROR(__xludf.DUMMYFUNCTION("VALUE(REGEXEXTRACT(A5668, ""\d+""))"),8422.0)</f>
        <v>8422</v>
      </c>
    </row>
    <row r="5669">
      <c r="A5669" s="9" t="s">
        <v>20625</v>
      </c>
      <c r="B5669" s="9" t="s">
        <v>20626</v>
      </c>
      <c r="G5669" s="9" t="s">
        <v>20627</v>
      </c>
      <c r="O5669" s="10">
        <f>IFERROR(__xludf.DUMMYFUNCTION("VALUE(REGEXEXTRACT(A5669, ""\d+""))"),8423.0)</f>
        <v>8423</v>
      </c>
    </row>
    <row r="5670">
      <c r="A5670" s="9" t="s">
        <v>20628</v>
      </c>
      <c r="B5670" s="9" t="s">
        <v>20629</v>
      </c>
      <c r="G5670" s="9" t="s">
        <v>20630</v>
      </c>
      <c r="O5670" s="10">
        <f>IFERROR(__xludf.DUMMYFUNCTION("VALUE(REGEXEXTRACT(A5670, ""\d+""))"),8424.0)</f>
        <v>8424</v>
      </c>
    </row>
    <row r="5671">
      <c r="A5671" s="9" t="s">
        <v>20631</v>
      </c>
      <c r="B5671" s="9" t="s">
        <v>20632</v>
      </c>
      <c r="G5671" s="9" t="s">
        <v>20633</v>
      </c>
      <c r="O5671" s="10">
        <f>IFERROR(__xludf.DUMMYFUNCTION("VALUE(REGEXEXTRACT(A5671, ""\d+""))"),8425.0)</f>
        <v>8425</v>
      </c>
    </row>
    <row r="5672">
      <c r="A5672" s="9" t="s">
        <v>20634</v>
      </c>
      <c r="B5672" s="9" t="s">
        <v>20635</v>
      </c>
      <c r="G5672" s="9" t="s">
        <v>20636</v>
      </c>
      <c r="O5672" s="10">
        <f>IFERROR(__xludf.DUMMYFUNCTION("VALUE(REGEXEXTRACT(A5672, ""\d+""))"),8426.0)</f>
        <v>8426</v>
      </c>
    </row>
    <row r="5673">
      <c r="A5673" s="9" t="s">
        <v>20637</v>
      </c>
      <c r="B5673" s="9" t="s">
        <v>20638</v>
      </c>
      <c r="G5673" s="9" t="s">
        <v>20639</v>
      </c>
      <c r="O5673" s="10">
        <f>IFERROR(__xludf.DUMMYFUNCTION("VALUE(REGEXEXTRACT(A5673, ""\d+""))"),8427.0)</f>
        <v>8427</v>
      </c>
    </row>
    <row r="5674">
      <c r="A5674" s="9" t="s">
        <v>20640</v>
      </c>
      <c r="B5674" s="9" t="s">
        <v>20641</v>
      </c>
      <c r="G5674" s="9" t="s">
        <v>20642</v>
      </c>
      <c r="O5674" s="10">
        <f>IFERROR(__xludf.DUMMYFUNCTION("VALUE(REGEXEXTRACT(A5674, ""\d+""))"),8428.0)</f>
        <v>8428</v>
      </c>
    </row>
    <row r="5675">
      <c r="A5675" s="9" t="s">
        <v>20643</v>
      </c>
      <c r="B5675" s="9" t="s">
        <v>20644</v>
      </c>
      <c r="G5675" s="9" t="s">
        <v>20645</v>
      </c>
      <c r="O5675" s="10">
        <f>IFERROR(__xludf.DUMMYFUNCTION("VALUE(REGEXEXTRACT(A5675, ""\d+""))"),8429.0)</f>
        <v>8429</v>
      </c>
    </row>
    <row r="5676">
      <c r="A5676" s="9" t="s">
        <v>20646</v>
      </c>
      <c r="B5676" s="9" t="s">
        <v>20647</v>
      </c>
      <c r="G5676" s="9" t="s">
        <v>20648</v>
      </c>
      <c r="O5676" s="10">
        <f>IFERROR(__xludf.DUMMYFUNCTION("VALUE(REGEXEXTRACT(A5676, ""\d+""))"),8430.0)</f>
        <v>8430</v>
      </c>
    </row>
    <row r="5677">
      <c r="A5677" s="9" t="s">
        <v>20649</v>
      </c>
      <c r="B5677" s="9" t="s">
        <v>20650</v>
      </c>
      <c r="G5677" s="9" t="s">
        <v>20651</v>
      </c>
      <c r="O5677" s="10">
        <f>IFERROR(__xludf.DUMMYFUNCTION("VALUE(REGEXEXTRACT(A5677, ""\d+""))"),8431.0)</f>
        <v>8431</v>
      </c>
    </row>
    <row r="5678">
      <c r="A5678" s="9" t="s">
        <v>20652</v>
      </c>
      <c r="B5678" s="9" t="s">
        <v>20653</v>
      </c>
      <c r="G5678" s="9" t="s">
        <v>20654</v>
      </c>
      <c r="O5678" s="10">
        <f>IFERROR(__xludf.DUMMYFUNCTION("VALUE(REGEXEXTRACT(A5678, ""\d+""))"),8432.0)</f>
        <v>8432</v>
      </c>
    </row>
    <row r="5679">
      <c r="A5679" s="9" t="s">
        <v>20655</v>
      </c>
      <c r="B5679" s="9" t="s">
        <v>20656</v>
      </c>
      <c r="G5679" s="9" t="s">
        <v>20657</v>
      </c>
      <c r="O5679" s="10">
        <f>IFERROR(__xludf.DUMMYFUNCTION("VALUE(REGEXEXTRACT(A5679, ""\d+""))"),8433.0)</f>
        <v>8433</v>
      </c>
    </row>
    <row r="5680">
      <c r="A5680" s="9" t="s">
        <v>20658</v>
      </c>
      <c r="B5680" s="9" t="s">
        <v>20659</v>
      </c>
      <c r="G5680" s="9" t="s">
        <v>20660</v>
      </c>
      <c r="O5680" s="10">
        <f>IFERROR(__xludf.DUMMYFUNCTION("VALUE(REGEXEXTRACT(A5680, ""\d+""))"),8434.0)</f>
        <v>8434</v>
      </c>
    </row>
    <row r="5681">
      <c r="A5681" s="9" t="s">
        <v>20661</v>
      </c>
      <c r="B5681" s="9" t="s">
        <v>20662</v>
      </c>
      <c r="G5681" s="9" t="s">
        <v>20663</v>
      </c>
      <c r="O5681" s="10">
        <f>IFERROR(__xludf.DUMMYFUNCTION("VALUE(REGEXEXTRACT(A5681, ""\d+""))"),8435.0)</f>
        <v>8435</v>
      </c>
    </row>
    <row r="5682">
      <c r="A5682" s="9" t="s">
        <v>20664</v>
      </c>
      <c r="B5682" s="9" t="s">
        <v>20665</v>
      </c>
      <c r="G5682" s="9" t="s">
        <v>20666</v>
      </c>
      <c r="O5682" s="10">
        <f>IFERROR(__xludf.DUMMYFUNCTION("VALUE(REGEXEXTRACT(A5682, ""\d+""))"),8436.0)</f>
        <v>8436</v>
      </c>
    </row>
    <row r="5683">
      <c r="A5683" s="9" t="s">
        <v>20667</v>
      </c>
      <c r="B5683" s="9" t="s">
        <v>20668</v>
      </c>
      <c r="G5683" s="9" t="s">
        <v>20669</v>
      </c>
      <c r="O5683" s="10">
        <f>IFERROR(__xludf.DUMMYFUNCTION("VALUE(REGEXEXTRACT(A5683, ""\d+""))"),8437.0)</f>
        <v>8437</v>
      </c>
    </row>
    <row r="5684">
      <c r="A5684" s="9" t="s">
        <v>20670</v>
      </c>
      <c r="B5684" s="9" t="s">
        <v>20671</v>
      </c>
      <c r="G5684" s="9" t="s">
        <v>20672</v>
      </c>
      <c r="O5684" s="10">
        <f>IFERROR(__xludf.DUMMYFUNCTION("VALUE(REGEXEXTRACT(A5684, ""\d+""))"),8438.0)</f>
        <v>8438</v>
      </c>
    </row>
    <row r="5685">
      <c r="A5685" s="9" t="s">
        <v>20673</v>
      </c>
      <c r="B5685" s="9" t="s">
        <v>20674</v>
      </c>
      <c r="G5685" s="9" t="s">
        <v>20675</v>
      </c>
      <c r="O5685" s="10">
        <f>IFERROR(__xludf.DUMMYFUNCTION("VALUE(REGEXEXTRACT(A5685, ""\d+""))"),8439.0)</f>
        <v>8439</v>
      </c>
    </row>
    <row r="5686">
      <c r="A5686" s="9" t="s">
        <v>20676</v>
      </c>
      <c r="B5686" s="9" t="s">
        <v>20677</v>
      </c>
      <c r="G5686" s="9" t="s">
        <v>20678</v>
      </c>
      <c r="O5686" s="10">
        <f>IFERROR(__xludf.DUMMYFUNCTION("VALUE(REGEXEXTRACT(A5686, ""\d+""))"),8440.0)</f>
        <v>8440</v>
      </c>
    </row>
    <row r="5687">
      <c r="A5687" s="9" t="s">
        <v>20679</v>
      </c>
      <c r="B5687" s="9" t="s">
        <v>20680</v>
      </c>
      <c r="G5687" s="9" t="s">
        <v>20680</v>
      </c>
      <c r="O5687" s="10">
        <f>IFERROR(__xludf.DUMMYFUNCTION("VALUE(REGEXEXTRACT(A5687, ""\d+""))"),8443.0)</f>
        <v>8443</v>
      </c>
    </row>
    <row r="5688">
      <c r="A5688" s="9" t="s">
        <v>20681</v>
      </c>
      <c r="B5688" s="9" t="s">
        <v>20682</v>
      </c>
      <c r="G5688" s="9" t="s">
        <v>20682</v>
      </c>
      <c r="O5688" s="10">
        <f>IFERROR(__xludf.DUMMYFUNCTION("VALUE(REGEXEXTRACT(A5688, ""\d+""))"),8444.0)</f>
        <v>8444</v>
      </c>
    </row>
    <row r="5689">
      <c r="A5689" s="9" t="s">
        <v>20683</v>
      </c>
      <c r="B5689" s="9" t="s">
        <v>20684</v>
      </c>
      <c r="G5689" s="9" t="s">
        <v>20684</v>
      </c>
      <c r="O5689" s="10">
        <f>IFERROR(__xludf.DUMMYFUNCTION("VALUE(REGEXEXTRACT(A5689, ""\d+""))"),8445.0)</f>
        <v>8445</v>
      </c>
    </row>
    <row r="5690">
      <c r="A5690" s="9" t="s">
        <v>20685</v>
      </c>
      <c r="B5690" s="9" t="s">
        <v>20686</v>
      </c>
      <c r="G5690" s="9" t="s">
        <v>20686</v>
      </c>
      <c r="O5690" s="10">
        <f>IFERROR(__xludf.DUMMYFUNCTION("VALUE(REGEXEXTRACT(A5690, ""\d+""))"),8446.0)</f>
        <v>8446</v>
      </c>
    </row>
    <row r="5691">
      <c r="A5691" s="9" t="s">
        <v>20687</v>
      </c>
      <c r="B5691" s="9" t="s">
        <v>20688</v>
      </c>
      <c r="G5691" s="9" t="s">
        <v>20688</v>
      </c>
      <c r="O5691" s="10">
        <f>IFERROR(__xludf.DUMMYFUNCTION("VALUE(REGEXEXTRACT(A5691, ""\d+""))"),8447.0)</f>
        <v>8447</v>
      </c>
    </row>
    <row r="5692">
      <c r="A5692" s="9" t="s">
        <v>20689</v>
      </c>
      <c r="B5692" s="9" t="s">
        <v>20690</v>
      </c>
      <c r="G5692" s="9" t="s">
        <v>20690</v>
      </c>
      <c r="O5692" s="10">
        <f>IFERROR(__xludf.DUMMYFUNCTION("VALUE(REGEXEXTRACT(A5692, ""\d+""))"),8448.0)</f>
        <v>8448</v>
      </c>
    </row>
    <row r="5693">
      <c r="A5693" s="9" t="s">
        <v>20691</v>
      </c>
      <c r="B5693" s="9" t="s">
        <v>3652</v>
      </c>
      <c r="G5693" s="9" t="s">
        <v>20692</v>
      </c>
      <c r="O5693" s="10">
        <f>IFERROR(__xludf.DUMMYFUNCTION("VALUE(REGEXEXTRACT(A5693, ""\d+""))"),8449.0)</f>
        <v>8449</v>
      </c>
    </row>
    <row r="5694">
      <c r="A5694" s="9" t="s">
        <v>20693</v>
      </c>
      <c r="B5694" s="9" t="s">
        <v>3658</v>
      </c>
      <c r="G5694" s="9" t="s">
        <v>20694</v>
      </c>
      <c r="O5694" s="10">
        <f>IFERROR(__xludf.DUMMYFUNCTION("VALUE(REGEXEXTRACT(A5694, ""\d+""))"),8450.0)</f>
        <v>8450</v>
      </c>
    </row>
    <row r="5695">
      <c r="A5695" s="9" t="s">
        <v>20695</v>
      </c>
      <c r="B5695" s="9" t="s">
        <v>20696</v>
      </c>
      <c r="G5695" s="9" t="s">
        <v>20697</v>
      </c>
      <c r="O5695" s="10">
        <f>IFERROR(__xludf.DUMMYFUNCTION("VALUE(REGEXEXTRACT(A5695, ""\d+""))"),8451.0)</f>
        <v>8451</v>
      </c>
    </row>
    <row r="5696">
      <c r="A5696" s="9" t="s">
        <v>20698</v>
      </c>
      <c r="B5696" s="9" t="s">
        <v>20699</v>
      </c>
      <c r="G5696" s="9" t="s">
        <v>20700</v>
      </c>
      <c r="O5696" s="10">
        <f>IFERROR(__xludf.DUMMYFUNCTION("VALUE(REGEXEXTRACT(A5696, ""\d+""))"),8452.0)</f>
        <v>8452</v>
      </c>
    </row>
    <row r="5697">
      <c r="A5697" s="9" t="s">
        <v>20701</v>
      </c>
      <c r="B5697" s="9" t="s">
        <v>20702</v>
      </c>
      <c r="G5697" s="9" t="s">
        <v>20703</v>
      </c>
      <c r="O5697" s="10">
        <f>IFERROR(__xludf.DUMMYFUNCTION("VALUE(REGEXEXTRACT(A5697, ""\d+""))"),8453.0)</f>
        <v>8453</v>
      </c>
    </row>
    <row r="5698">
      <c r="A5698" s="9" t="s">
        <v>20704</v>
      </c>
      <c r="B5698" s="9" t="s">
        <v>20705</v>
      </c>
      <c r="G5698" s="9" t="s">
        <v>20706</v>
      </c>
      <c r="O5698" s="10">
        <f>IFERROR(__xludf.DUMMYFUNCTION("VALUE(REGEXEXTRACT(A5698, ""\d+""))"),8454.0)</f>
        <v>8454</v>
      </c>
    </row>
    <row r="5699">
      <c r="A5699" s="9" t="s">
        <v>20707</v>
      </c>
      <c r="B5699" s="9" t="s">
        <v>20708</v>
      </c>
      <c r="G5699" s="9" t="s">
        <v>20709</v>
      </c>
      <c r="O5699" s="10">
        <f>IFERROR(__xludf.DUMMYFUNCTION("VALUE(REGEXEXTRACT(A5699, ""\d+""))"),8455.0)</f>
        <v>8455</v>
      </c>
    </row>
    <row r="5700">
      <c r="A5700" s="9" t="s">
        <v>20710</v>
      </c>
      <c r="B5700" s="9" t="s">
        <v>20711</v>
      </c>
      <c r="G5700" s="9" t="s">
        <v>20712</v>
      </c>
      <c r="O5700" s="10">
        <f>IFERROR(__xludf.DUMMYFUNCTION("VALUE(REGEXEXTRACT(A5700, ""\d+""))"),8456.0)</f>
        <v>8456</v>
      </c>
    </row>
    <row r="5701">
      <c r="A5701" s="9" t="s">
        <v>20713</v>
      </c>
      <c r="B5701" s="9" t="s">
        <v>19267</v>
      </c>
      <c r="G5701" s="9" t="s">
        <v>20714</v>
      </c>
      <c r="O5701" s="10">
        <f>IFERROR(__xludf.DUMMYFUNCTION("VALUE(REGEXEXTRACT(A5701, ""\d+""))"),8457.0)</f>
        <v>8457</v>
      </c>
    </row>
    <row r="5702">
      <c r="A5702" s="9" t="s">
        <v>20715</v>
      </c>
      <c r="B5702" s="9" t="s">
        <v>20716</v>
      </c>
      <c r="G5702" s="9" t="s">
        <v>20717</v>
      </c>
      <c r="O5702" s="10">
        <f>IFERROR(__xludf.DUMMYFUNCTION("VALUE(REGEXEXTRACT(A5702, ""\d+""))"),8458.0)</f>
        <v>8458</v>
      </c>
    </row>
    <row r="5703">
      <c r="A5703" s="9" t="s">
        <v>20718</v>
      </c>
      <c r="B5703" s="9" t="s">
        <v>20719</v>
      </c>
      <c r="G5703" s="9" t="s">
        <v>20720</v>
      </c>
      <c r="O5703" s="10">
        <f>IFERROR(__xludf.DUMMYFUNCTION("VALUE(REGEXEXTRACT(A5703, ""\d+""))"),8459.0)</f>
        <v>8459</v>
      </c>
    </row>
    <row r="5704">
      <c r="A5704" s="9" t="s">
        <v>20721</v>
      </c>
      <c r="B5704" s="9" t="s">
        <v>20722</v>
      </c>
      <c r="G5704" s="9" t="s">
        <v>20723</v>
      </c>
      <c r="O5704" s="10">
        <f>IFERROR(__xludf.DUMMYFUNCTION("VALUE(REGEXEXTRACT(A5704, ""\d+""))"),8460.0)</f>
        <v>8460</v>
      </c>
    </row>
    <row r="5705">
      <c r="A5705" s="9" t="s">
        <v>20724</v>
      </c>
      <c r="B5705" s="9" t="s">
        <v>20725</v>
      </c>
      <c r="G5705" s="9" t="s">
        <v>20726</v>
      </c>
      <c r="O5705" s="10">
        <f>IFERROR(__xludf.DUMMYFUNCTION("VALUE(REGEXEXTRACT(A5705, ""\d+""))"),8461.0)</f>
        <v>8461</v>
      </c>
    </row>
    <row r="5706">
      <c r="A5706" s="9" t="s">
        <v>20727</v>
      </c>
      <c r="B5706" s="9" t="s">
        <v>20728</v>
      </c>
      <c r="G5706" s="9" t="s">
        <v>20729</v>
      </c>
      <c r="O5706" s="10">
        <f>IFERROR(__xludf.DUMMYFUNCTION("VALUE(REGEXEXTRACT(A5706, ""\d+""))"),8462.0)</f>
        <v>8462</v>
      </c>
    </row>
    <row r="5707">
      <c r="A5707" s="9" t="s">
        <v>20730</v>
      </c>
      <c r="B5707" s="9" t="s">
        <v>20728</v>
      </c>
      <c r="G5707" s="9" t="s">
        <v>20729</v>
      </c>
      <c r="O5707" s="10">
        <f>IFERROR(__xludf.DUMMYFUNCTION("VALUE(REGEXEXTRACT(A5707, ""\d+""))"),8463.0)</f>
        <v>8463</v>
      </c>
    </row>
    <row r="5708">
      <c r="A5708" s="9" t="s">
        <v>20731</v>
      </c>
      <c r="B5708" s="9" t="s">
        <v>20722</v>
      </c>
      <c r="G5708" s="9" t="s">
        <v>20723</v>
      </c>
      <c r="O5708" s="10">
        <f>IFERROR(__xludf.DUMMYFUNCTION("VALUE(REGEXEXTRACT(A5708, ""\d+""))"),8464.0)</f>
        <v>8464</v>
      </c>
    </row>
    <row r="5709">
      <c r="A5709" s="9" t="s">
        <v>20732</v>
      </c>
      <c r="B5709" s="9" t="s">
        <v>20719</v>
      </c>
      <c r="G5709" s="9" t="s">
        <v>20720</v>
      </c>
      <c r="O5709" s="10">
        <f>IFERROR(__xludf.DUMMYFUNCTION("VALUE(REGEXEXTRACT(A5709, ""\d+""))"),8465.0)</f>
        <v>8465</v>
      </c>
    </row>
    <row r="5710">
      <c r="A5710" s="9" t="s">
        <v>20733</v>
      </c>
      <c r="B5710" s="9" t="s">
        <v>20725</v>
      </c>
      <c r="G5710" s="9" t="s">
        <v>20726</v>
      </c>
      <c r="O5710" s="10">
        <f>IFERROR(__xludf.DUMMYFUNCTION("VALUE(REGEXEXTRACT(A5710, ""\d+""))"),8466.0)</f>
        <v>8466</v>
      </c>
    </row>
    <row r="5711">
      <c r="A5711" s="9" t="s">
        <v>20734</v>
      </c>
      <c r="B5711" s="9" t="s">
        <v>3649</v>
      </c>
      <c r="G5711" s="9" t="s">
        <v>3650</v>
      </c>
      <c r="O5711" s="10">
        <f>IFERROR(__xludf.DUMMYFUNCTION("VALUE(REGEXEXTRACT(A5711, ""\d+""))"),8467.0)</f>
        <v>8467</v>
      </c>
    </row>
    <row r="5712">
      <c r="A5712" s="9" t="s">
        <v>20735</v>
      </c>
      <c r="B5712" s="9" t="s">
        <v>3655</v>
      </c>
      <c r="G5712" s="9" t="s">
        <v>20736</v>
      </c>
      <c r="O5712" s="10">
        <f>IFERROR(__xludf.DUMMYFUNCTION("VALUE(REGEXEXTRACT(A5712, ""\d+""))"),8468.0)</f>
        <v>8468</v>
      </c>
    </row>
    <row r="5713">
      <c r="A5713" s="9" t="s">
        <v>20737</v>
      </c>
      <c r="B5713" s="9" t="s">
        <v>20738</v>
      </c>
      <c r="G5713" s="9" t="s">
        <v>20739</v>
      </c>
      <c r="O5713" s="10">
        <f>IFERROR(__xludf.DUMMYFUNCTION("VALUE(REGEXEXTRACT(A5713, ""\d+""))"),8470.0)</f>
        <v>8470</v>
      </c>
    </row>
    <row r="5714">
      <c r="A5714" s="9" t="s">
        <v>20740</v>
      </c>
      <c r="B5714" s="9" t="s">
        <v>20741</v>
      </c>
      <c r="G5714" s="9" t="s">
        <v>20742</v>
      </c>
      <c r="O5714" s="10">
        <f>IFERROR(__xludf.DUMMYFUNCTION("VALUE(REGEXEXTRACT(A5714, ""\d+""))"),8471.0)</f>
        <v>8471</v>
      </c>
    </row>
    <row r="5715">
      <c r="A5715" s="9" t="s">
        <v>20743</v>
      </c>
      <c r="B5715" s="9" t="s">
        <v>20744</v>
      </c>
      <c r="G5715" s="9" t="s">
        <v>20745</v>
      </c>
      <c r="O5715" s="10">
        <f>IFERROR(__xludf.DUMMYFUNCTION("VALUE(REGEXEXTRACT(A5715, ""\d+""))"),8472.0)</f>
        <v>8472</v>
      </c>
    </row>
    <row r="5716">
      <c r="A5716" s="9" t="s">
        <v>20746</v>
      </c>
      <c r="B5716" s="9" t="s">
        <v>20747</v>
      </c>
      <c r="G5716" s="9" t="s">
        <v>20748</v>
      </c>
      <c r="O5716" s="10">
        <f>IFERROR(__xludf.DUMMYFUNCTION("VALUE(REGEXEXTRACT(A5716, ""\d+""))"),8473.0)</f>
        <v>8473</v>
      </c>
    </row>
    <row r="5717">
      <c r="A5717" s="9" t="s">
        <v>20749</v>
      </c>
      <c r="B5717" s="9" t="s">
        <v>20750</v>
      </c>
      <c r="G5717" s="9" t="s">
        <v>20751</v>
      </c>
      <c r="O5717" s="10">
        <f>IFERROR(__xludf.DUMMYFUNCTION("VALUE(REGEXEXTRACT(A5717, ""\d+""))"),8474.0)</f>
        <v>8474</v>
      </c>
    </row>
    <row r="5718">
      <c r="A5718" s="9" t="s">
        <v>20752</v>
      </c>
      <c r="B5718" s="9" t="s">
        <v>20753</v>
      </c>
      <c r="G5718" s="9" t="s">
        <v>20754</v>
      </c>
      <c r="O5718" s="10">
        <f>IFERROR(__xludf.DUMMYFUNCTION("VALUE(REGEXEXTRACT(A5718, ""\d+""))"),8475.0)</f>
        <v>8475</v>
      </c>
    </row>
    <row r="5719">
      <c r="A5719" s="9" t="s">
        <v>20755</v>
      </c>
      <c r="B5719" s="9" t="s">
        <v>20756</v>
      </c>
      <c r="G5719" s="9" t="s">
        <v>20757</v>
      </c>
      <c r="O5719" s="10">
        <f>IFERROR(__xludf.DUMMYFUNCTION("VALUE(REGEXEXTRACT(A5719, ""\d+""))"),8476.0)</f>
        <v>8476</v>
      </c>
    </row>
    <row r="5720">
      <c r="A5720" s="9" t="s">
        <v>20758</v>
      </c>
      <c r="B5720" s="9" t="s">
        <v>20759</v>
      </c>
      <c r="G5720" s="9" t="s">
        <v>20760</v>
      </c>
      <c r="O5720" s="10">
        <f>IFERROR(__xludf.DUMMYFUNCTION("VALUE(REGEXEXTRACT(A5720, ""\d+""))"),8477.0)</f>
        <v>8477</v>
      </c>
    </row>
    <row r="5721">
      <c r="A5721" s="9" t="s">
        <v>20761</v>
      </c>
      <c r="B5721" s="9" t="s">
        <v>20762</v>
      </c>
      <c r="G5721" s="9" t="s">
        <v>20763</v>
      </c>
      <c r="O5721" s="10">
        <f>IFERROR(__xludf.DUMMYFUNCTION("VALUE(REGEXEXTRACT(A5721, ""\d+""))"),8478.0)</f>
        <v>8478</v>
      </c>
    </row>
    <row r="5722">
      <c r="A5722" s="9" t="s">
        <v>20764</v>
      </c>
      <c r="B5722" s="9" t="s">
        <v>20765</v>
      </c>
      <c r="G5722" s="9" t="s">
        <v>20766</v>
      </c>
      <c r="O5722" s="10">
        <f>IFERROR(__xludf.DUMMYFUNCTION("VALUE(REGEXEXTRACT(A5722, ""\d+""))"),8479.0)</f>
        <v>8479</v>
      </c>
    </row>
    <row r="5723">
      <c r="A5723" s="9" t="s">
        <v>20767</v>
      </c>
      <c r="B5723" s="9" t="s">
        <v>20768</v>
      </c>
      <c r="G5723" s="9" t="s">
        <v>20769</v>
      </c>
      <c r="O5723" s="10">
        <f>IFERROR(__xludf.DUMMYFUNCTION("VALUE(REGEXEXTRACT(A5723, ""\d+""))"),8480.0)</f>
        <v>8480</v>
      </c>
    </row>
    <row r="5724">
      <c r="A5724" s="9" t="s">
        <v>20770</v>
      </c>
      <c r="B5724" s="9" t="s">
        <v>20771</v>
      </c>
      <c r="G5724" s="9" t="s">
        <v>20772</v>
      </c>
      <c r="O5724" s="10">
        <f>IFERROR(__xludf.DUMMYFUNCTION("VALUE(REGEXEXTRACT(A5724, ""\d+""))"),8481.0)</f>
        <v>8481</v>
      </c>
    </row>
    <row r="5725">
      <c r="A5725" s="9" t="s">
        <v>20773</v>
      </c>
      <c r="B5725" s="9" t="s">
        <v>20774</v>
      </c>
      <c r="G5725" s="9" t="s">
        <v>20775</v>
      </c>
      <c r="O5725" s="10">
        <f>IFERROR(__xludf.DUMMYFUNCTION("VALUE(REGEXEXTRACT(A5725, ""\d+""))"),8482.0)</f>
        <v>8482</v>
      </c>
    </row>
    <row r="5726">
      <c r="A5726" s="9" t="s">
        <v>20776</v>
      </c>
      <c r="B5726" s="9" t="s">
        <v>20777</v>
      </c>
      <c r="G5726" s="9" t="s">
        <v>20778</v>
      </c>
      <c r="O5726" s="10">
        <f>IFERROR(__xludf.DUMMYFUNCTION("VALUE(REGEXEXTRACT(A5726, ""\d+""))"),8483.0)</f>
        <v>8483</v>
      </c>
    </row>
    <row r="5727">
      <c r="A5727" s="9" t="s">
        <v>20779</v>
      </c>
      <c r="B5727" s="9" t="s">
        <v>20780</v>
      </c>
      <c r="G5727" s="9" t="s">
        <v>20781</v>
      </c>
      <c r="O5727" s="10">
        <f>IFERROR(__xludf.DUMMYFUNCTION("VALUE(REGEXEXTRACT(A5727, ""\d+""))"),8484.0)</f>
        <v>8484</v>
      </c>
    </row>
    <row r="5728">
      <c r="A5728" s="9" t="s">
        <v>20782</v>
      </c>
      <c r="B5728" s="9" t="s">
        <v>20783</v>
      </c>
      <c r="G5728" s="9" t="s">
        <v>20784</v>
      </c>
      <c r="O5728" s="10">
        <f>IFERROR(__xludf.DUMMYFUNCTION("VALUE(REGEXEXTRACT(A5728, ""\d+""))"),8485.0)</f>
        <v>8485</v>
      </c>
    </row>
    <row r="5729">
      <c r="A5729" s="9" t="s">
        <v>20785</v>
      </c>
      <c r="B5729" s="9" t="s">
        <v>20786</v>
      </c>
      <c r="G5729" s="9" t="s">
        <v>20787</v>
      </c>
      <c r="O5729" s="10">
        <f>IFERROR(__xludf.DUMMYFUNCTION("VALUE(REGEXEXTRACT(A5729, ""\d+""))"),8486.0)</f>
        <v>8486</v>
      </c>
    </row>
    <row r="5730">
      <c r="A5730" s="9" t="s">
        <v>20788</v>
      </c>
      <c r="B5730" s="9" t="s">
        <v>20789</v>
      </c>
      <c r="G5730" s="9" t="s">
        <v>20790</v>
      </c>
      <c r="O5730" s="10">
        <f>IFERROR(__xludf.DUMMYFUNCTION("VALUE(REGEXEXTRACT(A5730, ""\d+""))"),8487.0)</f>
        <v>8487</v>
      </c>
    </row>
    <row r="5731">
      <c r="A5731" s="9" t="s">
        <v>20791</v>
      </c>
      <c r="B5731" s="9" t="s">
        <v>20792</v>
      </c>
      <c r="G5731" s="9" t="s">
        <v>20793</v>
      </c>
      <c r="O5731" s="10">
        <f>IFERROR(__xludf.DUMMYFUNCTION("VALUE(REGEXEXTRACT(A5731, ""\d+""))"),8488.0)</f>
        <v>8488</v>
      </c>
    </row>
    <row r="5732">
      <c r="A5732" s="9" t="s">
        <v>20794</v>
      </c>
      <c r="B5732" s="9" t="s">
        <v>20795</v>
      </c>
      <c r="G5732" s="9" t="s">
        <v>20796</v>
      </c>
      <c r="O5732" s="10">
        <f>IFERROR(__xludf.DUMMYFUNCTION("VALUE(REGEXEXTRACT(A5732, ""\d+""))"),8489.0)</f>
        <v>8489</v>
      </c>
    </row>
    <row r="5733">
      <c r="A5733" s="9" t="s">
        <v>20797</v>
      </c>
      <c r="B5733" s="9" t="s">
        <v>20798</v>
      </c>
      <c r="G5733" s="9" t="s">
        <v>20799</v>
      </c>
      <c r="O5733" s="10">
        <f>IFERROR(__xludf.DUMMYFUNCTION("VALUE(REGEXEXTRACT(A5733, ""\d+""))"),8490.0)</f>
        <v>8490</v>
      </c>
    </row>
    <row r="5734">
      <c r="A5734" s="9" t="s">
        <v>20800</v>
      </c>
      <c r="B5734" s="9" t="s">
        <v>20801</v>
      </c>
      <c r="G5734" s="9" t="s">
        <v>20802</v>
      </c>
      <c r="O5734" s="10">
        <f>IFERROR(__xludf.DUMMYFUNCTION("VALUE(REGEXEXTRACT(A5734, ""\d+""))"),8491.0)</f>
        <v>8491</v>
      </c>
    </row>
    <row r="5735">
      <c r="A5735" s="9" t="s">
        <v>20803</v>
      </c>
      <c r="B5735" s="9" t="s">
        <v>20804</v>
      </c>
      <c r="G5735" s="9" t="s">
        <v>20805</v>
      </c>
      <c r="O5735" s="10">
        <f>IFERROR(__xludf.DUMMYFUNCTION("VALUE(REGEXEXTRACT(A5735, ""\d+""))"),8492.0)</f>
        <v>8492</v>
      </c>
    </row>
    <row r="5736">
      <c r="A5736" s="9" t="s">
        <v>20806</v>
      </c>
      <c r="B5736" s="9" t="s">
        <v>20807</v>
      </c>
      <c r="G5736" s="9" t="s">
        <v>20808</v>
      </c>
      <c r="O5736" s="10">
        <f>IFERROR(__xludf.DUMMYFUNCTION("VALUE(REGEXEXTRACT(A5736, ""\d+""))"),8493.0)</f>
        <v>8493</v>
      </c>
    </row>
    <row r="5737">
      <c r="A5737" s="9" t="s">
        <v>20809</v>
      </c>
      <c r="B5737" s="9" t="s">
        <v>20810</v>
      </c>
      <c r="G5737" s="9" t="s">
        <v>20811</v>
      </c>
      <c r="O5737" s="10">
        <f>IFERROR(__xludf.DUMMYFUNCTION("VALUE(REGEXEXTRACT(A5737, ""\d+""))"),8494.0)</f>
        <v>8494</v>
      </c>
    </row>
    <row r="5738">
      <c r="A5738" s="9" t="s">
        <v>20812</v>
      </c>
      <c r="B5738" s="9" t="s">
        <v>20813</v>
      </c>
      <c r="G5738" s="9" t="s">
        <v>20814</v>
      </c>
      <c r="O5738" s="10">
        <f>IFERROR(__xludf.DUMMYFUNCTION("VALUE(REGEXEXTRACT(A5738, ""\d+""))"),8495.0)</f>
        <v>8495</v>
      </c>
    </row>
    <row r="5739">
      <c r="A5739" s="9" t="s">
        <v>20815</v>
      </c>
      <c r="B5739" s="9" t="s">
        <v>20816</v>
      </c>
      <c r="G5739" s="9" t="s">
        <v>20816</v>
      </c>
      <c r="O5739" s="10">
        <f>IFERROR(__xludf.DUMMYFUNCTION("VALUE(REGEXEXTRACT(A5739, ""\d+""))"),8496.0)</f>
        <v>8496</v>
      </c>
    </row>
    <row r="5740">
      <c r="A5740" s="9" t="s">
        <v>20817</v>
      </c>
      <c r="B5740" s="9" t="s">
        <v>20818</v>
      </c>
      <c r="G5740" s="9" t="s">
        <v>20818</v>
      </c>
      <c r="O5740" s="10">
        <f>IFERROR(__xludf.DUMMYFUNCTION("VALUE(REGEXEXTRACT(A5740, ""\d+""))"),8497.0)</f>
        <v>8497</v>
      </c>
    </row>
    <row r="5741">
      <c r="A5741" s="9" t="s">
        <v>20819</v>
      </c>
      <c r="B5741" s="9" t="s">
        <v>20820</v>
      </c>
      <c r="G5741" s="9" t="s">
        <v>20821</v>
      </c>
      <c r="O5741" s="10">
        <f>IFERROR(__xludf.DUMMYFUNCTION("VALUE(REGEXEXTRACT(A5741, ""\d+""))"),8498.0)</f>
        <v>8498</v>
      </c>
    </row>
    <row r="5742">
      <c r="A5742" s="9" t="s">
        <v>20822</v>
      </c>
      <c r="B5742" s="9" t="s">
        <v>20820</v>
      </c>
      <c r="G5742" s="9" t="s">
        <v>20821</v>
      </c>
      <c r="O5742" s="10">
        <f>IFERROR(__xludf.DUMMYFUNCTION("VALUE(REGEXEXTRACT(A5742, ""\d+""))"),8499.0)</f>
        <v>8499</v>
      </c>
    </row>
    <row r="5743">
      <c r="A5743" s="9" t="s">
        <v>20823</v>
      </c>
      <c r="B5743" s="9" t="s">
        <v>20820</v>
      </c>
      <c r="G5743" s="9" t="s">
        <v>20821</v>
      </c>
      <c r="O5743" s="10">
        <f>IFERROR(__xludf.DUMMYFUNCTION("VALUE(REGEXEXTRACT(A5743, ""\d+""))"),8501.0)</f>
        <v>8501</v>
      </c>
    </row>
    <row r="5744">
      <c r="A5744" s="9" t="s">
        <v>20824</v>
      </c>
      <c r="B5744" s="9" t="s">
        <v>20825</v>
      </c>
      <c r="G5744" s="9" t="s">
        <v>20826</v>
      </c>
      <c r="O5744" s="10">
        <f>IFERROR(__xludf.DUMMYFUNCTION("VALUE(REGEXEXTRACT(A5744, ""\d+""))"),8502.0)</f>
        <v>8502</v>
      </c>
    </row>
    <row r="5745">
      <c r="A5745" s="9" t="s">
        <v>20827</v>
      </c>
      <c r="B5745" s="9" t="s">
        <v>20828</v>
      </c>
      <c r="G5745" s="9" t="s">
        <v>20829</v>
      </c>
      <c r="O5745" s="10">
        <f>IFERROR(__xludf.DUMMYFUNCTION("VALUE(REGEXEXTRACT(A5745, ""\d+""))"),8503.0)</f>
        <v>8503</v>
      </c>
    </row>
    <row r="5746">
      <c r="A5746" s="9" t="s">
        <v>20830</v>
      </c>
      <c r="B5746" s="9" t="s">
        <v>20831</v>
      </c>
      <c r="G5746" s="9" t="s">
        <v>20832</v>
      </c>
      <c r="O5746" s="10">
        <f>IFERROR(__xludf.DUMMYFUNCTION("VALUE(REGEXEXTRACT(A5746, ""\d+""))"),8504.0)</f>
        <v>8504</v>
      </c>
    </row>
    <row r="5747">
      <c r="A5747" s="9" t="s">
        <v>20833</v>
      </c>
      <c r="B5747" s="9" t="s">
        <v>20834</v>
      </c>
      <c r="G5747" s="9" t="s">
        <v>20835</v>
      </c>
      <c r="O5747" s="10">
        <f>IFERROR(__xludf.DUMMYFUNCTION("VALUE(REGEXEXTRACT(A5747, ""\d+""))"),8505.0)</f>
        <v>8505</v>
      </c>
    </row>
    <row r="5748">
      <c r="A5748" s="9" t="s">
        <v>20836</v>
      </c>
      <c r="B5748" s="9" t="s">
        <v>20837</v>
      </c>
      <c r="G5748" s="9" t="s">
        <v>20838</v>
      </c>
      <c r="O5748" s="10">
        <f>IFERROR(__xludf.DUMMYFUNCTION("VALUE(REGEXEXTRACT(A5748, ""\d+""))"),8506.0)</f>
        <v>8506</v>
      </c>
    </row>
    <row r="5749">
      <c r="A5749" s="9" t="s">
        <v>20839</v>
      </c>
      <c r="B5749" s="9" t="s">
        <v>20840</v>
      </c>
      <c r="G5749" s="9" t="s">
        <v>20841</v>
      </c>
      <c r="O5749" s="10">
        <f>IFERROR(__xludf.DUMMYFUNCTION("VALUE(REGEXEXTRACT(A5749, ""\d+""))"),8507.0)</f>
        <v>8507</v>
      </c>
    </row>
    <row r="5750">
      <c r="A5750" s="9" t="s">
        <v>20842</v>
      </c>
      <c r="B5750" s="9" t="s">
        <v>20843</v>
      </c>
      <c r="G5750" s="9" t="s">
        <v>20844</v>
      </c>
      <c r="O5750" s="10">
        <f>IFERROR(__xludf.DUMMYFUNCTION("VALUE(REGEXEXTRACT(A5750, ""\d+""))"),8508.0)</f>
        <v>8508</v>
      </c>
    </row>
    <row r="5751">
      <c r="A5751" s="9" t="s">
        <v>20845</v>
      </c>
      <c r="B5751" s="9" t="s">
        <v>20846</v>
      </c>
      <c r="G5751" s="9" t="s">
        <v>11547</v>
      </c>
      <c r="O5751" s="10">
        <f>IFERROR(__xludf.DUMMYFUNCTION("VALUE(REGEXEXTRACT(A5751, ""\d+""))"),8509.0)</f>
        <v>8509</v>
      </c>
    </row>
    <row r="5752">
      <c r="A5752" s="9" t="s">
        <v>20847</v>
      </c>
      <c r="B5752" s="9" t="s">
        <v>20848</v>
      </c>
      <c r="G5752" s="9" t="s">
        <v>20849</v>
      </c>
      <c r="O5752" s="10">
        <f>IFERROR(__xludf.DUMMYFUNCTION("VALUE(REGEXEXTRACT(A5752, ""\d+""))"),8510.0)</f>
        <v>8510</v>
      </c>
    </row>
    <row r="5753">
      <c r="A5753" s="9" t="s">
        <v>20850</v>
      </c>
      <c r="B5753" s="9" t="s">
        <v>20851</v>
      </c>
      <c r="G5753" s="9" t="s">
        <v>20852</v>
      </c>
      <c r="O5753" s="10">
        <f>IFERROR(__xludf.DUMMYFUNCTION("VALUE(REGEXEXTRACT(A5753, ""\d+""))"),8511.0)</f>
        <v>8511</v>
      </c>
    </row>
    <row r="5754">
      <c r="A5754" s="9" t="s">
        <v>20853</v>
      </c>
      <c r="B5754" s="9" t="s">
        <v>20854</v>
      </c>
      <c r="G5754" s="9" t="s">
        <v>20855</v>
      </c>
      <c r="O5754" s="10">
        <f>IFERROR(__xludf.DUMMYFUNCTION("VALUE(REGEXEXTRACT(A5754, ""\d+""))"),8512.0)</f>
        <v>8512</v>
      </c>
    </row>
    <row r="5755">
      <c r="A5755" s="9" t="s">
        <v>20856</v>
      </c>
      <c r="B5755" s="9" t="s">
        <v>20857</v>
      </c>
      <c r="G5755" s="9" t="s">
        <v>20858</v>
      </c>
      <c r="O5755" s="10">
        <f>IFERROR(__xludf.DUMMYFUNCTION("VALUE(REGEXEXTRACT(A5755, ""\d+""))"),8513.0)</f>
        <v>8513</v>
      </c>
    </row>
    <row r="5756">
      <c r="A5756" s="9" t="s">
        <v>20859</v>
      </c>
      <c r="B5756" s="9" t="s">
        <v>20860</v>
      </c>
      <c r="G5756" s="9" t="s">
        <v>20861</v>
      </c>
      <c r="O5756" s="10">
        <f>IFERROR(__xludf.DUMMYFUNCTION("VALUE(REGEXEXTRACT(A5756, ""\d+""))"),8514.0)</f>
        <v>8514</v>
      </c>
    </row>
    <row r="5757">
      <c r="A5757" s="9" t="s">
        <v>20862</v>
      </c>
      <c r="B5757" s="9" t="s">
        <v>20820</v>
      </c>
      <c r="G5757" s="9" t="s">
        <v>20821</v>
      </c>
      <c r="O5757" s="10">
        <f>IFERROR(__xludf.DUMMYFUNCTION("VALUE(REGEXEXTRACT(A5757, ""\d+""))"),8515.0)</f>
        <v>8515</v>
      </c>
    </row>
    <row r="5758">
      <c r="A5758" s="9" t="s">
        <v>20863</v>
      </c>
      <c r="B5758" s="9" t="s">
        <v>20864</v>
      </c>
      <c r="G5758" s="9" t="s">
        <v>20865</v>
      </c>
      <c r="O5758" s="10">
        <f>IFERROR(__xludf.DUMMYFUNCTION("VALUE(REGEXEXTRACT(A5758, ""\d+""))"),8516.0)</f>
        <v>8516</v>
      </c>
    </row>
    <row r="5759">
      <c r="A5759" s="9" t="s">
        <v>20866</v>
      </c>
      <c r="B5759" s="9" t="s">
        <v>20867</v>
      </c>
      <c r="G5759" s="9" t="s">
        <v>20867</v>
      </c>
      <c r="O5759" s="10">
        <f>IFERROR(__xludf.DUMMYFUNCTION("VALUE(REGEXEXTRACT(A5759, ""\d+""))"),8517.0)</f>
        <v>8517</v>
      </c>
    </row>
    <row r="5760">
      <c r="A5760" s="9" t="s">
        <v>20868</v>
      </c>
      <c r="B5760" s="9" t="s">
        <v>20869</v>
      </c>
      <c r="G5760" s="9" t="s">
        <v>20869</v>
      </c>
      <c r="O5760" s="10">
        <f>IFERROR(__xludf.DUMMYFUNCTION("VALUE(REGEXEXTRACT(A5760, ""\d+""))"),8518.0)</f>
        <v>8518</v>
      </c>
    </row>
    <row r="5761">
      <c r="A5761" s="9" t="s">
        <v>20870</v>
      </c>
      <c r="B5761" s="9" t="s">
        <v>6916</v>
      </c>
      <c r="G5761" s="9" t="s">
        <v>6917</v>
      </c>
      <c r="O5761" s="10">
        <f>IFERROR(__xludf.DUMMYFUNCTION("VALUE(REGEXEXTRACT(A5761, ""\d+""))"),8519.0)</f>
        <v>8519</v>
      </c>
    </row>
    <row r="5762">
      <c r="A5762" s="9" t="s">
        <v>20871</v>
      </c>
      <c r="B5762" s="9" t="s">
        <v>2011</v>
      </c>
      <c r="G5762" s="9" t="s">
        <v>20872</v>
      </c>
      <c r="O5762" s="10">
        <f>IFERROR(__xludf.DUMMYFUNCTION("VALUE(REGEXEXTRACT(A5762, ""\d+""))"),8520.0)</f>
        <v>8520</v>
      </c>
    </row>
    <row r="5763">
      <c r="A5763" s="9" t="s">
        <v>20873</v>
      </c>
      <c r="B5763" s="9" t="s">
        <v>6919</v>
      </c>
      <c r="G5763" s="9" t="s">
        <v>20874</v>
      </c>
      <c r="O5763" s="10">
        <f>IFERROR(__xludf.DUMMYFUNCTION("VALUE(REGEXEXTRACT(A5763, ""\d+""))"),8521.0)</f>
        <v>8521</v>
      </c>
    </row>
    <row r="5764">
      <c r="A5764" s="9" t="s">
        <v>20875</v>
      </c>
      <c r="B5764" s="9" t="s">
        <v>20876</v>
      </c>
      <c r="G5764" s="9" t="s">
        <v>20876</v>
      </c>
      <c r="O5764" s="10">
        <f>IFERROR(__xludf.DUMMYFUNCTION("VALUE(REGEXEXTRACT(A5764, ""\d+""))"),8522.0)</f>
        <v>8522</v>
      </c>
    </row>
    <row r="5765">
      <c r="A5765" s="9" t="s">
        <v>20877</v>
      </c>
      <c r="B5765" s="9" t="s">
        <v>20878</v>
      </c>
      <c r="G5765" s="9" t="s">
        <v>20878</v>
      </c>
      <c r="O5765" s="10">
        <f>IFERROR(__xludf.DUMMYFUNCTION("VALUE(REGEXEXTRACT(A5765, ""\d+""))"),8539.0)</f>
        <v>8539</v>
      </c>
    </row>
    <row r="5766">
      <c r="A5766" s="9" t="s">
        <v>20879</v>
      </c>
      <c r="B5766" s="9" t="s">
        <v>20880</v>
      </c>
      <c r="G5766" s="9" t="s">
        <v>20881</v>
      </c>
      <c r="O5766" s="10">
        <f>IFERROR(__xludf.DUMMYFUNCTION("VALUE(REGEXEXTRACT(A5766, ""\d+""))"),8540.0)</f>
        <v>8540</v>
      </c>
    </row>
    <row r="5767">
      <c r="A5767" s="9" t="s">
        <v>20882</v>
      </c>
      <c r="B5767" s="9" t="s">
        <v>20883</v>
      </c>
      <c r="G5767" s="9" t="s">
        <v>20884</v>
      </c>
      <c r="O5767" s="10">
        <f>IFERROR(__xludf.DUMMYFUNCTION("VALUE(REGEXEXTRACT(A5767, ""\d+""))"),8541.0)</f>
        <v>8541</v>
      </c>
    </row>
    <row r="5768">
      <c r="A5768" s="9" t="s">
        <v>20885</v>
      </c>
      <c r="B5768" s="9" t="s">
        <v>20886</v>
      </c>
      <c r="G5768" s="9" t="s">
        <v>20887</v>
      </c>
      <c r="O5768" s="10">
        <f>IFERROR(__xludf.DUMMYFUNCTION("VALUE(REGEXEXTRACT(A5768, ""\d+""))"),8542.0)</f>
        <v>8542</v>
      </c>
    </row>
    <row r="5769">
      <c r="A5769" s="9" t="s">
        <v>20888</v>
      </c>
      <c r="B5769" s="9" t="s">
        <v>20889</v>
      </c>
      <c r="G5769" s="9" t="s">
        <v>20890</v>
      </c>
      <c r="O5769" s="10">
        <f>IFERROR(__xludf.DUMMYFUNCTION("VALUE(REGEXEXTRACT(A5769, ""\d+""))"),8543.0)</f>
        <v>8543</v>
      </c>
    </row>
    <row r="5770">
      <c r="A5770" s="9" t="s">
        <v>20891</v>
      </c>
      <c r="B5770" s="9" t="s">
        <v>20892</v>
      </c>
      <c r="G5770" s="9" t="s">
        <v>20893</v>
      </c>
      <c r="O5770" s="10">
        <f>IFERROR(__xludf.DUMMYFUNCTION("VALUE(REGEXEXTRACT(A5770, ""\d+""))"),8544.0)</f>
        <v>8544</v>
      </c>
    </row>
    <row r="5771">
      <c r="A5771" s="9" t="s">
        <v>20894</v>
      </c>
      <c r="B5771" s="9" t="s">
        <v>20895</v>
      </c>
      <c r="G5771" s="9" t="s">
        <v>20896</v>
      </c>
      <c r="O5771" s="10">
        <f>IFERROR(__xludf.DUMMYFUNCTION("VALUE(REGEXEXTRACT(A5771, ""\d+""))"),8545.0)</f>
        <v>8545</v>
      </c>
    </row>
    <row r="5772">
      <c r="A5772" s="9" t="s">
        <v>20897</v>
      </c>
      <c r="B5772" s="9" t="s">
        <v>20898</v>
      </c>
      <c r="G5772" s="9" t="s">
        <v>20899</v>
      </c>
      <c r="O5772" s="10">
        <f>IFERROR(__xludf.DUMMYFUNCTION("VALUE(REGEXEXTRACT(A5772, ""\d+""))"),8546.0)</f>
        <v>8546</v>
      </c>
    </row>
    <row r="5773">
      <c r="A5773" s="9" t="s">
        <v>20900</v>
      </c>
      <c r="B5773" s="9" t="s">
        <v>20901</v>
      </c>
      <c r="G5773" s="9" t="s">
        <v>20902</v>
      </c>
      <c r="O5773" s="10">
        <f>IFERROR(__xludf.DUMMYFUNCTION("VALUE(REGEXEXTRACT(A5773, ""\d+""))"),8547.0)</f>
        <v>8547</v>
      </c>
    </row>
    <row r="5774">
      <c r="A5774" s="9" t="s">
        <v>20903</v>
      </c>
      <c r="B5774" s="9" t="s">
        <v>20904</v>
      </c>
      <c r="G5774" s="9" t="s">
        <v>20905</v>
      </c>
      <c r="O5774" s="10">
        <f>IFERROR(__xludf.DUMMYFUNCTION("VALUE(REGEXEXTRACT(A5774, ""\d+""))"),8548.0)</f>
        <v>8548</v>
      </c>
    </row>
    <row r="5775">
      <c r="A5775" s="9" t="s">
        <v>20906</v>
      </c>
      <c r="B5775" s="9" t="s">
        <v>20907</v>
      </c>
      <c r="G5775" s="9" t="s">
        <v>20908</v>
      </c>
      <c r="O5775" s="10">
        <f>IFERROR(__xludf.DUMMYFUNCTION("VALUE(REGEXEXTRACT(A5775, ""\d+""))"),8549.0)</f>
        <v>8549</v>
      </c>
    </row>
    <row r="5776">
      <c r="A5776" s="9" t="s">
        <v>20909</v>
      </c>
      <c r="B5776" s="9" t="s">
        <v>20910</v>
      </c>
      <c r="G5776" s="9" t="s">
        <v>20911</v>
      </c>
      <c r="O5776" s="10">
        <f>IFERROR(__xludf.DUMMYFUNCTION("VALUE(REGEXEXTRACT(A5776, ""\d+""))"),8550.0)</f>
        <v>8550</v>
      </c>
    </row>
    <row r="5777">
      <c r="A5777" s="9" t="s">
        <v>20912</v>
      </c>
      <c r="B5777" s="9" t="s">
        <v>20913</v>
      </c>
      <c r="G5777" s="9" t="s">
        <v>20914</v>
      </c>
      <c r="O5777" s="10">
        <f>IFERROR(__xludf.DUMMYFUNCTION("VALUE(REGEXEXTRACT(A5777, ""\d+""))"),8551.0)</f>
        <v>8551</v>
      </c>
    </row>
    <row r="5778">
      <c r="A5778" s="9" t="s">
        <v>20915</v>
      </c>
      <c r="B5778" s="9" t="s">
        <v>20916</v>
      </c>
      <c r="G5778" s="9" t="s">
        <v>20917</v>
      </c>
      <c r="O5778" s="10">
        <f>IFERROR(__xludf.DUMMYFUNCTION("VALUE(REGEXEXTRACT(A5778, ""\d+""))"),8552.0)</f>
        <v>8552</v>
      </c>
    </row>
    <row r="5779">
      <c r="A5779" s="9" t="s">
        <v>20918</v>
      </c>
      <c r="B5779" s="9" t="s">
        <v>20919</v>
      </c>
      <c r="G5779" s="9" t="s">
        <v>20920</v>
      </c>
      <c r="O5779" s="10">
        <f>IFERROR(__xludf.DUMMYFUNCTION("VALUE(REGEXEXTRACT(A5779, ""\d+""))"),8553.0)</f>
        <v>8553</v>
      </c>
    </row>
    <row r="5780">
      <c r="A5780" s="9" t="s">
        <v>20921</v>
      </c>
      <c r="B5780" s="9" t="s">
        <v>20922</v>
      </c>
      <c r="G5780" s="9" t="s">
        <v>20923</v>
      </c>
      <c r="O5780" s="10">
        <f>IFERROR(__xludf.DUMMYFUNCTION("VALUE(REGEXEXTRACT(A5780, ""\d+""))"),8554.0)</f>
        <v>8554</v>
      </c>
    </row>
    <row r="5781">
      <c r="A5781" s="9" t="s">
        <v>20924</v>
      </c>
      <c r="B5781" s="9" t="s">
        <v>20925</v>
      </c>
      <c r="G5781" s="9" t="s">
        <v>20926</v>
      </c>
      <c r="O5781" s="10">
        <f>IFERROR(__xludf.DUMMYFUNCTION("VALUE(REGEXEXTRACT(A5781, ""\d+""))"),8555.0)</f>
        <v>8555</v>
      </c>
    </row>
    <row r="5782">
      <c r="A5782" s="9" t="s">
        <v>20927</v>
      </c>
      <c r="B5782" s="9" t="s">
        <v>20928</v>
      </c>
      <c r="G5782" s="9" t="s">
        <v>20929</v>
      </c>
      <c r="O5782" s="10">
        <f>IFERROR(__xludf.DUMMYFUNCTION("VALUE(REGEXEXTRACT(A5782, ""\d+""))"),8556.0)</f>
        <v>8556</v>
      </c>
    </row>
    <row r="5783">
      <c r="A5783" s="9" t="s">
        <v>20930</v>
      </c>
      <c r="B5783" s="9" t="s">
        <v>20931</v>
      </c>
      <c r="G5783" s="9" t="s">
        <v>20932</v>
      </c>
      <c r="O5783" s="10">
        <f>IFERROR(__xludf.DUMMYFUNCTION("VALUE(REGEXEXTRACT(A5783, ""\d+""))"),8557.0)</f>
        <v>8557</v>
      </c>
    </row>
    <row r="5784">
      <c r="A5784" s="9" t="s">
        <v>20933</v>
      </c>
      <c r="B5784" s="9" t="s">
        <v>20934</v>
      </c>
      <c r="G5784" s="9" t="s">
        <v>20935</v>
      </c>
      <c r="O5784" s="10">
        <f>IFERROR(__xludf.DUMMYFUNCTION("VALUE(REGEXEXTRACT(A5784, ""\d+""))"),8558.0)</f>
        <v>8558</v>
      </c>
    </row>
    <row r="5785">
      <c r="A5785" s="9" t="s">
        <v>20936</v>
      </c>
      <c r="B5785" s="9" t="s">
        <v>20937</v>
      </c>
      <c r="G5785" s="9" t="s">
        <v>20938</v>
      </c>
      <c r="O5785" s="10">
        <f>IFERROR(__xludf.DUMMYFUNCTION("VALUE(REGEXEXTRACT(A5785, ""\d+""))"),8559.0)</f>
        <v>8559</v>
      </c>
    </row>
    <row r="5786">
      <c r="A5786" s="9" t="s">
        <v>20939</v>
      </c>
      <c r="B5786" s="9" t="s">
        <v>20940</v>
      </c>
      <c r="G5786" s="9" t="s">
        <v>20941</v>
      </c>
      <c r="O5786" s="10">
        <f>IFERROR(__xludf.DUMMYFUNCTION("VALUE(REGEXEXTRACT(A5786, ""\d+""))"),8560.0)</f>
        <v>8560</v>
      </c>
    </row>
    <row r="5787">
      <c r="A5787" s="9" t="s">
        <v>20942</v>
      </c>
      <c r="B5787" s="9" t="s">
        <v>20943</v>
      </c>
      <c r="G5787" s="9" t="s">
        <v>20944</v>
      </c>
      <c r="O5787" s="10">
        <f>IFERROR(__xludf.DUMMYFUNCTION("VALUE(REGEXEXTRACT(A5787, ""\d+""))"),8561.0)</f>
        <v>8561</v>
      </c>
    </row>
    <row r="5788">
      <c r="A5788" s="9" t="s">
        <v>20945</v>
      </c>
      <c r="B5788" s="9" t="s">
        <v>20946</v>
      </c>
      <c r="G5788" s="9" t="s">
        <v>20947</v>
      </c>
      <c r="O5788" s="10">
        <f>IFERROR(__xludf.DUMMYFUNCTION("VALUE(REGEXEXTRACT(A5788, ""\d+""))"),8562.0)</f>
        <v>8562</v>
      </c>
    </row>
    <row r="5789">
      <c r="A5789" s="9" t="s">
        <v>20948</v>
      </c>
      <c r="B5789" s="9" t="s">
        <v>20949</v>
      </c>
      <c r="G5789" s="9" t="s">
        <v>20950</v>
      </c>
      <c r="O5789" s="10">
        <f>IFERROR(__xludf.DUMMYFUNCTION("VALUE(REGEXEXTRACT(A5789, ""\d+""))"),8563.0)</f>
        <v>8563</v>
      </c>
    </row>
    <row r="5790">
      <c r="A5790" s="9" t="s">
        <v>20951</v>
      </c>
      <c r="B5790" s="9" t="s">
        <v>20952</v>
      </c>
      <c r="G5790" s="9" t="s">
        <v>20953</v>
      </c>
      <c r="O5790" s="10">
        <f>IFERROR(__xludf.DUMMYFUNCTION("VALUE(REGEXEXTRACT(A5790, ""\d+""))"),8564.0)</f>
        <v>8564</v>
      </c>
    </row>
    <row r="5791">
      <c r="A5791" s="9" t="s">
        <v>20954</v>
      </c>
      <c r="B5791" s="9" t="s">
        <v>20955</v>
      </c>
      <c r="G5791" s="9" t="s">
        <v>20956</v>
      </c>
      <c r="O5791" s="10">
        <f>IFERROR(__xludf.DUMMYFUNCTION("VALUE(REGEXEXTRACT(A5791, ""\d+""))"),8565.0)</f>
        <v>8565</v>
      </c>
    </row>
    <row r="5792">
      <c r="A5792" s="9" t="s">
        <v>20957</v>
      </c>
      <c r="B5792" s="9" t="s">
        <v>20958</v>
      </c>
      <c r="G5792" s="9" t="s">
        <v>20959</v>
      </c>
      <c r="O5792" s="10">
        <f>IFERROR(__xludf.DUMMYFUNCTION("VALUE(REGEXEXTRACT(A5792, ""\d+""))"),8566.0)</f>
        <v>8566</v>
      </c>
    </row>
    <row r="5793">
      <c r="A5793" s="9" t="s">
        <v>20960</v>
      </c>
      <c r="B5793" s="9" t="s">
        <v>20961</v>
      </c>
      <c r="G5793" s="9" t="s">
        <v>20962</v>
      </c>
      <c r="O5793" s="10">
        <f>IFERROR(__xludf.DUMMYFUNCTION("VALUE(REGEXEXTRACT(A5793, ""\d+""))"),8567.0)</f>
        <v>8567</v>
      </c>
    </row>
    <row r="5794">
      <c r="A5794" s="9" t="s">
        <v>20963</v>
      </c>
      <c r="B5794" s="9" t="s">
        <v>20964</v>
      </c>
      <c r="G5794" s="9" t="s">
        <v>20965</v>
      </c>
      <c r="O5794" s="10">
        <f>IFERROR(__xludf.DUMMYFUNCTION("VALUE(REGEXEXTRACT(A5794, ""\d+""))"),8568.0)</f>
        <v>8568</v>
      </c>
    </row>
    <row r="5795">
      <c r="A5795" s="9" t="s">
        <v>20966</v>
      </c>
      <c r="B5795" s="9" t="s">
        <v>20967</v>
      </c>
      <c r="G5795" s="9" t="s">
        <v>20968</v>
      </c>
      <c r="O5795" s="10">
        <f>IFERROR(__xludf.DUMMYFUNCTION("VALUE(REGEXEXTRACT(A5795, ""\d+""))"),8569.0)</f>
        <v>8569</v>
      </c>
    </row>
    <row r="5796">
      <c r="A5796" s="9" t="s">
        <v>20969</v>
      </c>
      <c r="B5796" s="9" t="s">
        <v>20970</v>
      </c>
      <c r="G5796" s="9" t="s">
        <v>20971</v>
      </c>
      <c r="O5796" s="10">
        <f>IFERROR(__xludf.DUMMYFUNCTION("VALUE(REGEXEXTRACT(A5796, ""\d+""))"),8570.0)</f>
        <v>8570</v>
      </c>
    </row>
    <row r="5797">
      <c r="A5797" s="9" t="s">
        <v>20972</v>
      </c>
      <c r="B5797" s="9" t="s">
        <v>20973</v>
      </c>
      <c r="G5797" s="9" t="s">
        <v>20974</v>
      </c>
      <c r="O5797" s="10">
        <f>IFERROR(__xludf.DUMMYFUNCTION("VALUE(REGEXEXTRACT(A5797, ""\d+""))"),8571.0)</f>
        <v>8571</v>
      </c>
    </row>
    <row r="5798">
      <c r="A5798" s="9" t="s">
        <v>20975</v>
      </c>
      <c r="B5798" s="9" t="s">
        <v>20973</v>
      </c>
      <c r="G5798" s="9" t="s">
        <v>20974</v>
      </c>
      <c r="O5798" s="10">
        <f>IFERROR(__xludf.DUMMYFUNCTION("VALUE(REGEXEXTRACT(A5798, ""\d+""))"),8572.0)</f>
        <v>8572</v>
      </c>
    </row>
    <row r="5799">
      <c r="A5799" s="9" t="s">
        <v>20976</v>
      </c>
      <c r="B5799" s="9" t="s">
        <v>20973</v>
      </c>
      <c r="G5799" s="9" t="s">
        <v>20974</v>
      </c>
      <c r="O5799" s="10">
        <f>IFERROR(__xludf.DUMMYFUNCTION("VALUE(REGEXEXTRACT(A5799, ""\d+""))"),8573.0)</f>
        <v>8573</v>
      </c>
    </row>
    <row r="5800">
      <c r="A5800" s="9" t="s">
        <v>20977</v>
      </c>
      <c r="B5800" s="9" t="s">
        <v>20973</v>
      </c>
      <c r="G5800" s="9" t="s">
        <v>20974</v>
      </c>
      <c r="O5800" s="10">
        <f>IFERROR(__xludf.DUMMYFUNCTION("VALUE(REGEXEXTRACT(A5800, ""\d+""))"),8574.0)</f>
        <v>8574</v>
      </c>
    </row>
    <row r="5801">
      <c r="A5801" s="9" t="s">
        <v>20978</v>
      </c>
      <c r="B5801" s="9" t="s">
        <v>20979</v>
      </c>
      <c r="G5801" s="9" t="s">
        <v>20980</v>
      </c>
      <c r="O5801" s="10">
        <f>IFERROR(__xludf.DUMMYFUNCTION("VALUE(REGEXEXTRACT(A5801, ""\d+""))"),8575.0)</f>
        <v>8575</v>
      </c>
    </row>
    <row r="5802">
      <c r="A5802" s="9" t="s">
        <v>20981</v>
      </c>
      <c r="B5802" s="9" t="s">
        <v>20982</v>
      </c>
      <c r="G5802" s="9" t="s">
        <v>20983</v>
      </c>
      <c r="O5802" s="10">
        <f>IFERROR(__xludf.DUMMYFUNCTION("VALUE(REGEXEXTRACT(A5802, ""\d+""))"),8576.0)</f>
        <v>8576</v>
      </c>
    </row>
    <row r="5803">
      <c r="A5803" s="9" t="s">
        <v>20984</v>
      </c>
      <c r="B5803" s="9" t="s">
        <v>20985</v>
      </c>
      <c r="G5803" s="9" t="s">
        <v>20986</v>
      </c>
      <c r="O5803" s="10">
        <f>IFERROR(__xludf.DUMMYFUNCTION("VALUE(REGEXEXTRACT(A5803, ""\d+""))"),8577.0)</f>
        <v>8577</v>
      </c>
    </row>
    <row r="5804">
      <c r="A5804" s="9" t="s">
        <v>20987</v>
      </c>
      <c r="B5804" s="9" t="s">
        <v>20988</v>
      </c>
      <c r="G5804" s="9" t="s">
        <v>20989</v>
      </c>
      <c r="O5804" s="10">
        <f>IFERROR(__xludf.DUMMYFUNCTION("VALUE(REGEXEXTRACT(A5804, ""\d+""))"),8578.0)</f>
        <v>8578</v>
      </c>
    </row>
    <row r="5805">
      <c r="A5805" s="9" t="s">
        <v>20990</v>
      </c>
      <c r="B5805" s="9" t="s">
        <v>20991</v>
      </c>
      <c r="G5805" s="9" t="s">
        <v>20992</v>
      </c>
      <c r="O5805" s="10">
        <f>IFERROR(__xludf.DUMMYFUNCTION("VALUE(REGEXEXTRACT(A5805, ""\d+""))"),8579.0)</f>
        <v>8579</v>
      </c>
    </row>
    <row r="5806">
      <c r="A5806" s="9" t="s">
        <v>20993</v>
      </c>
      <c r="B5806" s="9" t="s">
        <v>20994</v>
      </c>
      <c r="G5806" s="9" t="s">
        <v>20995</v>
      </c>
      <c r="O5806" s="10">
        <f>IFERROR(__xludf.DUMMYFUNCTION("VALUE(REGEXEXTRACT(A5806, ""\d+""))"),8580.0)</f>
        <v>8580</v>
      </c>
    </row>
    <row r="5807">
      <c r="A5807" s="9" t="s">
        <v>20996</v>
      </c>
      <c r="B5807" s="9" t="s">
        <v>20997</v>
      </c>
      <c r="G5807" s="9" t="s">
        <v>20998</v>
      </c>
      <c r="O5807" s="10">
        <f>IFERROR(__xludf.DUMMYFUNCTION("VALUE(REGEXEXTRACT(A5807, ""\d+""))"),8581.0)</f>
        <v>8581</v>
      </c>
    </row>
    <row r="5808">
      <c r="A5808" s="9" t="s">
        <v>20999</v>
      </c>
      <c r="B5808" s="9" t="s">
        <v>21000</v>
      </c>
      <c r="G5808" s="9" t="s">
        <v>21001</v>
      </c>
      <c r="O5808" s="10">
        <f>IFERROR(__xludf.DUMMYFUNCTION("VALUE(REGEXEXTRACT(A5808, ""\d+""))"),8582.0)</f>
        <v>8582</v>
      </c>
    </row>
    <row r="5809">
      <c r="A5809" s="9" t="s">
        <v>21002</v>
      </c>
      <c r="B5809" s="9" t="s">
        <v>21003</v>
      </c>
      <c r="G5809" s="9" t="s">
        <v>21004</v>
      </c>
      <c r="O5809" s="10">
        <f>IFERROR(__xludf.DUMMYFUNCTION("VALUE(REGEXEXTRACT(A5809, ""\d+""))"),8583.0)</f>
        <v>8583</v>
      </c>
    </row>
    <row r="5810">
      <c r="A5810" s="9" t="s">
        <v>21005</v>
      </c>
      <c r="B5810" s="9" t="s">
        <v>21006</v>
      </c>
      <c r="G5810" s="9" t="s">
        <v>21007</v>
      </c>
      <c r="O5810" s="10">
        <f>IFERROR(__xludf.DUMMYFUNCTION("VALUE(REGEXEXTRACT(A5810, ""\d+""))"),8584.0)</f>
        <v>8584</v>
      </c>
    </row>
    <row r="5811">
      <c r="A5811" s="9" t="s">
        <v>21008</v>
      </c>
      <c r="B5811" s="9" t="s">
        <v>21009</v>
      </c>
      <c r="G5811" s="9" t="s">
        <v>21010</v>
      </c>
      <c r="O5811" s="10">
        <f>IFERROR(__xludf.DUMMYFUNCTION("VALUE(REGEXEXTRACT(A5811, ""\d+""))"),8585.0)</f>
        <v>8585</v>
      </c>
    </row>
    <row r="5812">
      <c r="A5812" s="9" t="s">
        <v>21011</v>
      </c>
      <c r="B5812" s="9" t="s">
        <v>21012</v>
      </c>
      <c r="G5812" s="9" t="s">
        <v>21013</v>
      </c>
      <c r="O5812" s="10">
        <f>IFERROR(__xludf.DUMMYFUNCTION("VALUE(REGEXEXTRACT(A5812, ""\d+""))"),8586.0)</f>
        <v>8586</v>
      </c>
    </row>
    <row r="5813">
      <c r="A5813" s="9" t="s">
        <v>21014</v>
      </c>
      <c r="B5813" s="9" t="s">
        <v>21015</v>
      </c>
      <c r="G5813" s="9" t="s">
        <v>21016</v>
      </c>
      <c r="O5813" s="10">
        <f>IFERROR(__xludf.DUMMYFUNCTION("VALUE(REGEXEXTRACT(A5813, ""\d+""))"),8587.0)</f>
        <v>8587</v>
      </c>
    </row>
    <row r="5814">
      <c r="A5814" s="9" t="s">
        <v>21017</v>
      </c>
      <c r="B5814" s="9" t="s">
        <v>21018</v>
      </c>
      <c r="G5814" s="9" t="s">
        <v>21019</v>
      </c>
      <c r="O5814" s="10">
        <f>IFERROR(__xludf.DUMMYFUNCTION("VALUE(REGEXEXTRACT(A5814, ""\d+""))"),8588.0)</f>
        <v>8588</v>
      </c>
    </row>
    <row r="5815">
      <c r="A5815" s="9" t="s">
        <v>21020</v>
      </c>
      <c r="B5815" s="9" t="s">
        <v>21021</v>
      </c>
      <c r="G5815" s="9" t="s">
        <v>21022</v>
      </c>
      <c r="O5815" s="10">
        <f>IFERROR(__xludf.DUMMYFUNCTION("VALUE(REGEXEXTRACT(A5815, ""\d+""))"),8589.0)</f>
        <v>8589</v>
      </c>
    </row>
    <row r="5816">
      <c r="A5816" s="9" t="s">
        <v>21023</v>
      </c>
      <c r="B5816" s="9" t="s">
        <v>21024</v>
      </c>
      <c r="G5816" s="9" t="s">
        <v>21025</v>
      </c>
      <c r="O5816" s="10">
        <f>IFERROR(__xludf.DUMMYFUNCTION("VALUE(REGEXEXTRACT(A5816, ""\d+""))"),8590.0)</f>
        <v>8590</v>
      </c>
    </row>
    <row r="5817">
      <c r="A5817" s="9" t="s">
        <v>21026</v>
      </c>
      <c r="B5817" s="9" t="s">
        <v>21027</v>
      </c>
      <c r="G5817" s="9" t="s">
        <v>21028</v>
      </c>
      <c r="O5817" s="10">
        <f>IFERROR(__xludf.DUMMYFUNCTION("VALUE(REGEXEXTRACT(A5817, ""\d+""))"),8591.0)</f>
        <v>8591</v>
      </c>
    </row>
    <row r="5818">
      <c r="A5818" s="9" t="s">
        <v>21029</v>
      </c>
      <c r="B5818" s="9" t="s">
        <v>21030</v>
      </c>
      <c r="G5818" s="9" t="s">
        <v>21031</v>
      </c>
      <c r="O5818" s="10">
        <f>IFERROR(__xludf.DUMMYFUNCTION("VALUE(REGEXEXTRACT(A5818, ""\d+""))"),8592.0)</f>
        <v>8592</v>
      </c>
    </row>
    <row r="5819">
      <c r="A5819" s="9" t="s">
        <v>21032</v>
      </c>
      <c r="B5819" s="9" t="s">
        <v>21033</v>
      </c>
      <c r="G5819" s="9" t="s">
        <v>21034</v>
      </c>
      <c r="O5819" s="10">
        <f>IFERROR(__xludf.DUMMYFUNCTION("VALUE(REGEXEXTRACT(A5819, ""\d+""))"),8593.0)</f>
        <v>8593</v>
      </c>
    </row>
    <row r="5820">
      <c r="A5820" s="9" t="s">
        <v>21035</v>
      </c>
      <c r="B5820" s="9" t="s">
        <v>21036</v>
      </c>
      <c r="G5820" s="9" t="s">
        <v>21037</v>
      </c>
      <c r="O5820" s="10">
        <f>IFERROR(__xludf.DUMMYFUNCTION("VALUE(REGEXEXTRACT(A5820, ""\d+""))"),8594.0)</f>
        <v>8594</v>
      </c>
    </row>
    <row r="5821">
      <c r="A5821" s="9" t="s">
        <v>21038</v>
      </c>
      <c r="B5821" s="9" t="s">
        <v>21039</v>
      </c>
      <c r="G5821" s="9" t="s">
        <v>21040</v>
      </c>
      <c r="O5821" s="10">
        <f>IFERROR(__xludf.DUMMYFUNCTION("VALUE(REGEXEXTRACT(A5821, ""\d+""))"),8595.0)</f>
        <v>8595</v>
      </c>
    </row>
    <row r="5822">
      <c r="A5822" s="9" t="s">
        <v>21041</v>
      </c>
      <c r="B5822" s="9" t="s">
        <v>21042</v>
      </c>
      <c r="G5822" s="9" t="s">
        <v>21043</v>
      </c>
      <c r="O5822" s="10">
        <f>IFERROR(__xludf.DUMMYFUNCTION("VALUE(REGEXEXTRACT(A5822, ""\d+""))"),8596.0)</f>
        <v>8596</v>
      </c>
    </row>
    <row r="5823">
      <c r="A5823" s="9" t="s">
        <v>21044</v>
      </c>
      <c r="B5823" s="9" t="s">
        <v>21045</v>
      </c>
      <c r="G5823" s="9" t="s">
        <v>21046</v>
      </c>
      <c r="O5823" s="10">
        <f>IFERROR(__xludf.DUMMYFUNCTION("VALUE(REGEXEXTRACT(A5823, ""\d+""))"),8597.0)</f>
        <v>8597</v>
      </c>
    </row>
    <row r="5824">
      <c r="A5824" s="9" t="s">
        <v>21047</v>
      </c>
      <c r="B5824" s="9" t="s">
        <v>21048</v>
      </c>
      <c r="G5824" s="9" t="s">
        <v>21049</v>
      </c>
      <c r="O5824" s="10">
        <f>IFERROR(__xludf.DUMMYFUNCTION("VALUE(REGEXEXTRACT(A5824, ""\d+""))"),8598.0)</f>
        <v>8598</v>
      </c>
    </row>
    <row r="5825">
      <c r="A5825" s="9" t="s">
        <v>21050</v>
      </c>
      <c r="B5825" s="9" t="s">
        <v>21051</v>
      </c>
      <c r="G5825" s="9" t="s">
        <v>21052</v>
      </c>
      <c r="O5825" s="10">
        <f>IFERROR(__xludf.DUMMYFUNCTION("VALUE(REGEXEXTRACT(A5825, ""\d+""))"),8599.0)</f>
        <v>8599</v>
      </c>
    </row>
    <row r="5826">
      <c r="A5826" s="9" t="s">
        <v>21053</v>
      </c>
      <c r="B5826" s="9" t="s">
        <v>21054</v>
      </c>
      <c r="G5826" s="9" t="s">
        <v>21055</v>
      </c>
      <c r="O5826" s="10">
        <f>IFERROR(__xludf.DUMMYFUNCTION("VALUE(REGEXEXTRACT(A5826, ""\d+""))"),8600.0)</f>
        <v>8600</v>
      </c>
    </row>
    <row r="5827">
      <c r="A5827" s="9" t="s">
        <v>21056</v>
      </c>
      <c r="B5827" s="9" t="s">
        <v>21057</v>
      </c>
      <c r="G5827" s="9" t="s">
        <v>21058</v>
      </c>
      <c r="O5827" s="10">
        <f>IFERROR(__xludf.DUMMYFUNCTION("VALUE(REGEXEXTRACT(A5827, ""\d+""))"),8601.0)</f>
        <v>8601</v>
      </c>
    </row>
    <row r="5828">
      <c r="A5828" s="9" t="s">
        <v>21059</v>
      </c>
      <c r="B5828" s="9" t="s">
        <v>21060</v>
      </c>
      <c r="G5828" s="9" t="s">
        <v>21061</v>
      </c>
      <c r="O5828" s="10">
        <f>IFERROR(__xludf.DUMMYFUNCTION("VALUE(REGEXEXTRACT(A5828, ""\d+""))"),8602.0)</f>
        <v>8602</v>
      </c>
    </row>
    <row r="5829">
      <c r="A5829" s="9" t="s">
        <v>21062</v>
      </c>
      <c r="B5829" s="9" t="s">
        <v>21063</v>
      </c>
      <c r="G5829" s="9" t="s">
        <v>21064</v>
      </c>
      <c r="O5829" s="10">
        <f>IFERROR(__xludf.DUMMYFUNCTION("VALUE(REGEXEXTRACT(A5829, ""\d+""))"),8603.0)</f>
        <v>8603</v>
      </c>
    </row>
    <row r="5830">
      <c r="A5830" s="9" t="s">
        <v>21065</v>
      </c>
      <c r="B5830" s="9" t="s">
        <v>21066</v>
      </c>
      <c r="G5830" s="9" t="s">
        <v>21067</v>
      </c>
      <c r="O5830" s="10">
        <f>IFERROR(__xludf.DUMMYFUNCTION("VALUE(REGEXEXTRACT(A5830, ""\d+""))"),8604.0)</f>
        <v>8604</v>
      </c>
    </row>
    <row r="5831">
      <c r="A5831" s="9" t="s">
        <v>21068</v>
      </c>
      <c r="B5831" s="9" t="s">
        <v>21069</v>
      </c>
      <c r="G5831" s="9" t="s">
        <v>21070</v>
      </c>
      <c r="O5831" s="10">
        <f>IFERROR(__xludf.DUMMYFUNCTION("VALUE(REGEXEXTRACT(A5831, ""\d+""))"),8605.0)</f>
        <v>8605</v>
      </c>
    </row>
    <row r="5832">
      <c r="A5832" s="9" t="s">
        <v>21071</v>
      </c>
      <c r="B5832" s="9" t="s">
        <v>21072</v>
      </c>
      <c r="G5832" s="9" t="s">
        <v>21073</v>
      </c>
      <c r="O5832" s="10">
        <f>IFERROR(__xludf.DUMMYFUNCTION("VALUE(REGEXEXTRACT(A5832, ""\d+""))"),8606.0)</f>
        <v>8606</v>
      </c>
    </row>
    <row r="5833">
      <c r="A5833" s="9" t="s">
        <v>21074</v>
      </c>
      <c r="B5833" s="9" t="s">
        <v>21075</v>
      </c>
      <c r="G5833" s="9" t="s">
        <v>21075</v>
      </c>
      <c r="O5833" s="10">
        <f>IFERROR(__xludf.DUMMYFUNCTION("VALUE(REGEXEXTRACT(A5833, ""\d+""))"),8607.0)</f>
        <v>8607</v>
      </c>
    </row>
    <row r="5834">
      <c r="A5834" s="9" t="s">
        <v>21076</v>
      </c>
      <c r="B5834" s="9" t="s">
        <v>21077</v>
      </c>
      <c r="G5834" s="9" t="s">
        <v>21078</v>
      </c>
      <c r="O5834" s="10">
        <f>IFERROR(__xludf.DUMMYFUNCTION("VALUE(REGEXEXTRACT(A5834, ""\d+""))"),8608.0)</f>
        <v>8608</v>
      </c>
    </row>
    <row r="5835">
      <c r="A5835" s="9" t="s">
        <v>21079</v>
      </c>
      <c r="B5835" s="9" t="s">
        <v>21080</v>
      </c>
      <c r="G5835" s="9" t="s">
        <v>21081</v>
      </c>
      <c r="O5835" s="10">
        <f>IFERROR(__xludf.DUMMYFUNCTION("VALUE(REGEXEXTRACT(A5835, ""\d+""))"),8609.0)</f>
        <v>8609</v>
      </c>
    </row>
    <row r="5836">
      <c r="A5836" s="9" t="s">
        <v>21082</v>
      </c>
      <c r="B5836" s="9" t="s">
        <v>21083</v>
      </c>
      <c r="G5836" s="9" t="s">
        <v>21084</v>
      </c>
      <c r="O5836" s="10">
        <f>IFERROR(__xludf.DUMMYFUNCTION("VALUE(REGEXEXTRACT(A5836, ""\d+""))"),8610.0)</f>
        <v>8610</v>
      </c>
    </row>
    <row r="5837">
      <c r="A5837" s="9" t="s">
        <v>21085</v>
      </c>
      <c r="B5837" s="9" t="s">
        <v>21086</v>
      </c>
      <c r="G5837" s="9" t="s">
        <v>21087</v>
      </c>
      <c r="O5837" s="10">
        <f>IFERROR(__xludf.DUMMYFUNCTION("VALUE(REGEXEXTRACT(A5837, ""\d+""))"),8611.0)</f>
        <v>8611</v>
      </c>
    </row>
    <row r="5838">
      <c r="A5838" s="9" t="s">
        <v>21088</v>
      </c>
      <c r="B5838" s="9" t="s">
        <v>21089</v>
      </c>
      <c r="G5838" s="9" t="s">
        <v>21090</v>
      </c>
      <c r="O5838" s="10">
        <f>IFERROR(__xludf.DUMMYFUNCTION("VALUE(REGEXEXTRACT(A5838, ""\d+""))"),8612.0)</f>
        <v>8612</v>
      </c>
    </row>
    <row r="5839">
      <c r="A5839" s="9" t="s">
        <v>21091</v>
      </c>
      <c r="B5839" s="9" t="s">
        <v>21092</v>
      </c>
      <c r="G5839" s="9" t="s">
        <v>21093</v>
      </c>
      <c r="O5839" s="10">
        <f>IFERROR(__xludf.DUMMYFUNCTION("VALUE(REGEXEXTRACT(A5839, ""\d+""))"),8613.0)</f>
        <v>8613</v>
      </c>
    </row>
    <row r="5840">
      <c r="A5840" s="9" t="s">
        <v>21094</v>
      </c>
      <c r="B5840" s="9" t="s">
        <v>21095</v>
      </c>
      <c r="G5840" s="9" t="s">
        <v>21096</v>
      </c>
      <c r="O5840" s="10">
        <f>IFERROR(__xludf.DUMMYFUNCTION("VALUE(REGEXEXTRACT(A5840, ""\d+""))"),8614.0)</f>
        <v>8614</v>
      </c>
    </row>
    <row r="5841">
      <c r="A5841" s="9" t="s">
        <v>21097</v>
      </c>
      <c r="B5841" s="9" t="s">
        <v>21098</v>
      </c>
      <c r="G5841" s="9" t="s">
        <v>21099</v>
      </c>
      <c r="O5841" s="10">
        <f>IFERROR(__xludf.DUMMYFUNCTION("VALUE(REGEXEXTRACT(A5841, ""\d+""))"),8615.0)</f>
        <v>8615</v>
      </c>
    </row>
    <row r="5842">
      <c r="A5842" s="9" t="s">
        <v>21100</v>
      </c>
      <c r="B5842" s="9" t="s">
        <v>21101</v>
      </c>
      <c r="G5842" s="9" t="s">
        <v>21102</v>
      </c>
      <c r="O5842" s="10">
        <f>IFERROR(__xludf.DUMMYFUNCTION("VALUE(REGEXEXTRACT(A5842, ""\d+""))"),8616.0)</f>
        <v>8616</v>
      </c>
    </row>
    <row r="5843">
      <c r="A5843" s="9" t="s">
        <v>21103</v>
      </c>
      <c r="B5843" s="9" t="s">
        <v>21104</v>
      </c>
      <c r="G5843" s="9" t="s">
        <v>21105</v>
      </c>
      <c r="O5843" s="10">
        <f>IFERROR(__xludf.DUMMYFUNCTION("VALUE(REGEXEXTRACT(A5843, ""\d+""))"),8617.0)</f>
        <v>8617</v>
      </c>
    </row>
    <row r="5844">
      <c r="A5844" s="9" t="s">
        <v>21106</v>
      </c>
      <c r="B5844" s="9" t="s">
        <v>21107</v>
      </c>
      <c r="G5844" s="9" t="s">
        <v>21108</v>
      </c>
      <c r="O5844" s="10">
        <f>IFERROR(__xludf.DUMMYFUNCTION("VALUE(REGEXEXTRACT(A5844, ""\d+""))"),8618.0)</f>
        <v>8618</v>
      </c>
    </row>
    <row r="5845">
      <c r="A5845" s="9" t="s">
        <v>21109</v>
      </c>
      <c r="B5845" s="9" t="s">
        <v>21110</v>
      </c>
      <c r="G5845" s="9" t="s">
        <v>21111</v>
      </c>
      <c r="O5845" s="10">
        <f>IFERROR(__xludf.DUMMYFUNCTION("VALUE(REGEXEXTRACT(A5845, ""\d+""))"),8619.0)</f>
        <v>8619</v>
      </c>
    </row>
    <row r="5846">
      <c r="A5846" s="9" t="s">
        <v>21112</v>
      </c>
      <c r="B5846" s="9" t="s">
        <v>21113</v>
      </c>
      <c r="G5846" s="9" t="s">
        <v>21114</v>
      </c>
      <c r="O5846" s="10">
        <f>IFERROR(__xludf.DUMMYFUNCTION("VALUE(REGEXEXTRACT(A5846, ""\d+""))"),8620.0)</f>
        <v>8620</v>
      </c>
    </row>
    <row r="5847">
      <c r="A5847" s="9" t="s">
        <v>21115</v>
      </c>
      <c r="B5847" s="9" t="s">
        <v>21116</v>
      </c>
      <c r="G5847" s="9" t="s">
        <v>21117</v>
      </c>
      <c r="O5847" s="10">
        <f>IFERROR(__xludf.DUMMYFUNCTION("VALUE(REGEXEXTRACT(A5847, ""\d+""))"),8621.0)</f>
        <v>8621</v>
      </c>
    </row>
    <row r="5848">
      <c r="A5848" s="9" t="s">
        <v>21118</v>
      </c>
      <c r="B5848" s="9" t="s">
        <v>21119</v>
      </c>
      <c r="G5848" s="9" t="s">
        <v>21120</v>
      </c>
      <c r="O5848" s="10">
        <f>IFERROR(__xludf.DUMMYFUNCTION("VALUE(REGEXEXTRACT(A5848, ""\d+""))"),8622.0)</f>
        <v>8622</v>
      </c>
    </row>
    <row r="5849">
      <c r="A5849" s="9" t="s">
        <v>21121</v>
      </c>
      <c r="B5849" s="9" t="s">
        <v>21122</v>
      </c>
      <c r="G5849" s="9" t="s">
        <v>21123</v>
      </c>
      <c r="O5849" s="10">
        <f>IFERROR(__xludf.DUMMYFUNCTION("VALUE(REGEXEXTRACT(A5849, ""\d+""))"),8623.0)</f>
        <v>8623</v>
      </c>
    </row>
    <row r="5850">
      <c r="A5850" s="9" t="s">
        <v>21124</v>
      </c>
      <c r="B5850" s="9" t="s">
        <v>21125</v>
      </c>
      <c r="G5850" s="9" t="s">
        <v>21126</v>
      </c>
      <c r="O5850" s="10">
        <f>IFERROR(__xludf.DUMMYFUNCTION("VALUE(REGEXEXTRACT(A5850, ""\d+""))"),8624.0)</f>
        <v>8624</v>
      </c>
    </row>
    <row r="5851">
      <c r="A5851" s="9" t="s">
        <v>21127</v>
      </c>
      <c r="B5851" s="9" t="s">
        <v>21128</v>
      </c>
      <c r="G5851" s="9" t="s">
        <v>21129</v>
      </c>
      <c r="O5851" s="10">
        <f>IFERROR(__xludf.DUMMYFUNCTION("VALUE(REGEXEXTRACT(A5851, ""\d+""))"),8625.0)</f>
        <v>8625</v>
      </c>
    </row>
    <row r="5852">
      <c r="A5852" s="9" t="s">
        <v>21130</v>
      </c>
      <c r="B5852" s="9" t="s">
        <v>21131</v>
      </c>
      <c r="G5852" s="9" t="s">
        <v>21132</v>
      </c>
      <c r="O5852" s="10">
        <f>IFERROR(__xludf.DUMMYFUNCTION("VALUE(REGEXEXTRACT(A5852, ""\d+""))"),8626.0)</f>
        <v>8626</v>
      </c>
    </row>
    <row r="5853">
      <c r="A5853" s="9" t="s">
        <v>21133</v>
      </c>
      <c r="B5853" s="9" t="s">
        <v>21134</v>
      </c>
      <c r="G5853" s="9" t="s">
        <v>21135</v>
      </c>
      <c r="O5853" s="10">
        <f>IFERROR(__xludf.DUMMYFUNCTION("VALUE(REGEXEXTRACT(A5853, ""\d+""))"),8627.0)</f>
        <v>8627</v>
      </c>
    </row>
    <row r="5854">
      <c r="A5854" s="9" t="s">
        <v>21136</v>
      </c>
      <c r="B5854" s="9" t="s">
        <v>21137</v>
      </c>
      <c r="G5854" s="9" t="s">
        <v>21138</v>
      </c>
      <c r="O5854" s="10">
        <f>IFERROR(__xludf.DUMMYFUNCTION("VALUE(REGEXEXTRACT(A5854, ""\d+""))"),8628.0)</f>
        <v>8628</v>
      </c>
    </row>
    <row r="5855">
      <c r="A5855" s="9" t="s">
        <v>21139</v>
      </c>
      <c r="B5855" s="9" t="s">
        <v>21140</v>
      </c>
      <c r="G5855" s="9" t="s">
        <v>21141</v>
      </c>
      <c r="O5855" s="10">
        <f>IFERROR(__xludf.DUMMYFUNCTION("VALUE(REGEXEXTRACT(A5855, ""\d+""))"),8629.0)</f>
        <v>8629</v>
      </c>
    </row>
    <row r="5856">
      <c r="A5856" s="9" t="s">
        <v>21142</v>
      </c>
      <c r="B5856" s="9" t="s">
        <v>21143</v>
      </c>
      <c r="G5856" s="9" t="s">
        <v>21144</v>
      </c>
      <c r="O5856" s="10">
        <f>IFERROR(__xludf.DUMMYFUNCTION("VALUE(REGEXEXTRACT(A5856, ""\d+""))"),8630.0)</f>
        <v>8630</v>
      </c>
    </row>
    <row r="5857">
      <c r="A5857" s="9" t="s">
        <v>21145</v>
      </c>
      <c r="B5857" s="9" t="s">
        <v>21146</v>
      </c>
      <c r="G5857" s="9" t="s">
        <v>21147</v>
      </c>
      <c r="O5857" s="10">
        <f>IFERROR(__xludf.DUMMYFUNCTION("VALUE(REGEXEXTRACT(A5857, ""\d+""))"),8631.0)</f>
        <v>8631</v>
      </c>
    </row>
    <row r="5858">
      <c r="A5858" s="9" t="s">
        <v>21148</v>
      </c>
      <c r="B5858" s="9" t="s">
        <v>21149</v>
      </c>
      <c r="G5858" s="9" t="s">
        <v>21150</v>
      </c>
      <c r="O5858" s="10">
        <f>IFERROR(__xludf.DUMMYFUNCTION("VALUE(REGEXEXTRACT(A5858, ""\d+""))"),8632.0)</f>
        <v>8632</v>
      </c>
    </row>
    <row r="5859">
      <c r="A5859" s="9" t="s">
        <v>21151</v>
      </c>
      <c r="B5859" s="9" t="s">
        <v>21152</v>
      </c>
      <c r="G5859" s="9" t="s">
        <v>21153</v>
      </c>
      <c r="O5859" s="10">
        <f>IFERROR(__xludf.DUMMYFUNCTION("VALUE(REGEXEXTRACT(A5859, ""\d+""))"),8633.0)</f>
        <v>8633</v>
      </c>
    </row>
    <row r="5860">
      <c r="A5860" s="9" t="s">
        <v>21154</v>
      </c>
      <c r="B5860" s="9" t="s">
        <v>21149</v>
      </c>
      <c r="G5860" s="9" t="s">
        <v>21150</v>
      </c>
      <c r="O5860" s="10">
        <f>IFERROR(__xludf.DUMMYFUNCTION("VALUE(REGEXEXTRACT(A5860, ""\d+""))"),8634.0)</f>
        <v>8634</v>
      </c>
    </row>
    <row r="5861">
      <c r="A5861" s="9" t="s">
        <v>21155</v>
      </c>
      <c r="B5861" s="9" t="s">
        <v>21156</v>
      </c>
      <c r="G5861" s="9" t="s">
        <v>21157</v>
      </c>
      <c r="O5861" s="10">
        <f>IFERROR(__xludf.DUMMYFUNCTION("VALUE(REGEXEXTRACT(A5861, ""\d+""))"),8635.0)</f>
        <v>8635</v>
      </c>
    </row>
    <row r="5862">
      <c r="A5862" s="9" t="s">
        <v>21158</v>
      </c>
      <c r="B5862" s="9" t="s">
        <v>21159</v>
      </c>
      <c r="G5862" s="9" t="s">
        <v>21160</v>
      </c>
      <c r="O5862" s="10">
        <f>IFERROR(__xludf.DUMMYFUNCTION("VALUE(REGEXEXTRACT(A5862, ""\d+""))"),8636.0)</f>
        <v>8636</v>
      </c>
    </row>
    <row r="5863">
      <c r="A5863" s="9" t="s">
        <v>21161</v>
      </c>
      <c r="B5863" s="9" t="s">
        <v>21162</v>
      </c>
      <c r="G5863" s="9" t="s">
        <v>21163</v>
      </c>
      <c r="O5863" s="10">
        <f>IFERROR(__xludf.DUMMYFUNCTION("VALUE(REGEXEXTRACT(A5863, ""\d+""))"),8637.0)</f>
        <v>8637</v>
      </c>
    </row>
    <row r="5864">
      <c r="A5864" s="9" t="s">
        <v>21164</v>
      </c>
      <c r="B5864" s="9" t="s">
        <v>21165</v>
      </c>
      <c r="G5864" s="9" t="s">
        <v>21166</v>
      </c>
      <c r="O5864" s="10">
        <f>IFERROR(__xludf.DUMMYFUNCTION("VALUE(REGEXEXTRACT(A5864, ""\d+""))"),8638.0)</f>
        <v>8638</v>
      </c>
    </row>
    <row r="5865">
      <c r="A5865" s="9" t="s">
        <v>21167</v>
      </c>
      <c r="B5865" s="9" t="s">
        <v>21168</v>
      </c>
      <c r="G5865" s="9" t="s">
        <v>21169</v>
      </c>
      <c r="O5865" s="10">
        <f>IFERROR(__xludf.DUMMYFUNCTION("VALUE(REGEXEXTRACT(A5865, ""\d+""))"),8639.0)</f>
        <v>8639</v>
      </c>
    </row>
    <row r="5866">
      <c r="A5866" s="9" t="s">
        <v>21170</v>
      </c>
      <c r="B5866" s="9" t="s">
        <v>21171</v>
      </c>
      <c r="G5866" s="9" t="s">
        <v>21172</v>
      </c>
      <c r="O5866" s="10">
        <f>IFERROR(__xludf.DUMMYFUNCTION("VALUE(REGEXEXTRACT(A5866, ""\d+""))"),8640.0)</f>
        <v>8640</v>
      </c>
    </row>
    <row r="5867">
      <c r="A5867" s="9" t="s">
        <v>21173</v>
      </c>
      <c r="B5867" s="9" t="s">
        <v>21174</v>
      </c>
      <c r="G5867" s="9" t="s">
        <v>21175</v>
      </c>
      <c r="O5867" s="10">
        <f>IFERROR(__xludf.DUMMYFUNCTION("VALUE(REGEXEXTRACT(A5867, ""\d+""))"),8641.0)</f>
        <v>8641</v>
      </c>
    </row>
    <row r="5868">
      <c r="A5868" s="9" t="s">
        <v>21176</v>
      </c>
      <c r="B5868" s="9" t="s">
        <v>21177</v>
      </c>
      <c r="G5868" s="9" t="s">
        <v>21178</v>
      </c>
      <c r="O5868" s="10">
        <f>IFERROR(__xludf.DUMMYFUNCTION("VALUE(REGEXEXTRACT(A5868, ""\d+""))"),8642.0)</f>
        <v>8642</v>
      </c>
    </row>
    <row r="5869">
      <c r="A5869" s="9" t="s">
        <v>21179</v>
      </c>
      <c r="B5869" s="9" t="s">
        <v>21180</v>
      </c>
      <c r="G5869" s="9" t="s">
        <v>21181</v>
      </c>
      <c r="O5869" s="10">
        <f>IFERROR(__xludf.DUMMYFUNCTION("VALUE(REGEXEXTRACT(A5869, ""\d+""))"),8643.0)</f>
        <v>8643</v>
      </c>
    </row>
    <row r="5870">
      <c r="A5870" s="9" t="s">
        <v>21182</v>
      </c>
      <c r="B5870" s="9" t="s">
        <v>21183</v>
      </c>
      <c r="G5870" s="9" t="s">
        <v>21183</v>
      </c>
      <c r="O5870" s="10">
        <f>IFERROR(__xludf.DUMMYFUNCTION("VALUE(REGEXEXTRACT(A5870, ""\d+""))"),8644.0)</f>
        <v>8644</v>
      </c>
    </row>
    <row r="5871">
      <c r="A5871" s="9" t="s">
        <v>21184</v>
      </c>
      <c r="B5871" s="9" t="s">
        <v>21185</v>
      </c>
      <c r="G5871" s="9" t="s">
        <v>21186</v>
      </c>
      <c r="O5871" s="10">
        <f>IFERROR(__xludf.DUMMYFUNCTION("VALUE(REGEXEXTRACT(A5871, ""\d+""))"),8645.0)</f>
        <v>8645</v>
      </c>
    </row>
    <row r="5872">
      <c r="A5872" s="9" t="s">
        <v>21187</v>
      </c>
      <c r="B5872" s="9" t="s">
        <v>21188</v>
      </c>
      <c r="G5872" s="9" t="s">
        <v>21189</v>
      </c>
      <c r="O5872" s="10">
        <f>IFERROR(__xludf.DUMMYFUNCTION("VALUE(REGEXEXTRACT(A5872, ""\d+""))"),8646.0)</f>
        <v>8646</v>
      </c>
    </row>
    <row r="5873">
      <c r="A5873" s="9" t="s">
        <v>21190</v>
      </c>
      <c r="B5873" s="9" t="s">
        <v>21185</v>
      </c>
      <c r="G5873" s="9" t="s">
        <v>21186</v>
      </c>
      <c r="O5873" s="10">
        <f>IFERROR(__xludf.DUMMYFUNCTION("VALUE(REGEXEXTRACT(A5873, ""\d+""))"),8647.0)</f>
        <v>8647</v>
      </c>
    </row>
    <row r="5874">
      <c r="A5874" s="9" t="s">
        <v>21191</v>
      </c>
      <c r="B5874" s="9" t="s">
        <v>21185</v>
      </c>
      <c r="G5874" s="9" t="s">
        <v>21186</v>
      </c>
      <c r="O5874" s="10">
        <f>IFERROR(__xludf.DUMMYFUNCTION("VALUE(REGEXEXTRACT(A5874, ""\d+""))"),8648.0)</f>
        <v>8648</v>
      </c>
    </row>
    <row r="5875">
      <c r="A5875" s="9" t="s">
        <v>21192</v>
      </c>
      <c r="B5875" s="9" t="s">
        <v>21193</v>
      </c>
      <c r="G5875" s="9" t="s">
        <v>21194</v>
      </c>
      <c r="O5875" s="10">
        <f>IFERROR(__xludf.DUMMYFUNCTION("VALUE(REGEXEXTRACT(A5875, ""\d+""))"),8649.0)</f>
        <v>8649</v>
      </c>
    </row>
    <row r="5876">
      <c r="A5876" s="9" t="s">
        <v>21195</v>
      </c>
      <c r="B5876" s="9" t="s">
        <v>21193</v>
      </c>
      <c r="G5876" s="9" t="s">
        <v>21194</v>
      </c>
      <c r="O5876" s="10">
        <f>IFERROR(__xludf.DUMMYFUNCTION("VALUE(REGEXEXTRACT(A5876, ""\d+""))"),8650.0)</f>
        <v>8650</v>
      </c>
    </row>
    <row r="5877">
      <c r="A5877" s="9" t="s">
        <v>21196</v>
      </c>
      <c r="B5877" s="9" t="s">
        <v>21193</v>
      </c>
      <c r="G5877" s="9" t="s">
        <v>21194</v>
      </c>
      <c r="O5877" s="10">
        <f>IFERROR(__xludf.DUMMYFUNCTION("VALUE(REGEXEXTRACT(A5877, ""\d+""))"),8651.0)</f>
        <v>8651</v>
      </c>
    </row>
    <row r="5878">
      <c r="A5878" s="9" t="s">
        <v>21197</v>
      </c>
      <c r="B5878" s="9" t="s">
        <v>21198</v>
      </c>
      <c r="G5878" s="9" t="s">
        <v>21199</v>
      </c>
      <c r="O5878" s="10">
        <f>IFERROR(__xludf.DUMMYFUNCTION("VALUE(REGEXEXTRACT(A5878, ""\d+""))"),8652.0)</f>
        <v>8652</v>
      </c>
    </row>
    <row r="5879">
      <c r="A5879" s="9" t="s">
        <v>21200</v>
      </c>
      <c r="B5879" s="9" t="s">
        <v>21198</v>
      </c>
      <c r="G5879" s="9" t="s">
        <v>21199</v>
      </c>
      <c r="O5879" s="10">
        <f>IFERROR(__xludf.DUMMYFUNCTION("VALUE(REGEXEXTRACT(A5879, ""\d+""))"),8653.0)</f>
        <v>8653</v>
      </c>
    </row>
    <row r="5880">
      <c r="A5880" s="9" t="s">
        <v>21201</v>
      </c>
      <c r="B5880" s="9" t="s">
        <v>21198</v>
      </c>
      <c r="G5880" s="9" t="s">
        <v>21199</v>
      </c>
      <c r="O5880" s="10">
        <f>IFERROR(__xludf.DUMMYFUNCTION("VALUE(REGEXEXTRACT(A5880, ""\d+""))"),8654.0)</f>
        <v>8654</v>
      </c>
    </row>
    <row r="5881">
      <c r="A5881" s="9" t="s">
        <v>21202</v>
      </c>
      <c r="B5881" s="9" t="s">
        <v>21203</v>
      </c>
      <c r="G5881" s="9" t="s">
        <v>21204</v>
      </c>
      <c r="O5881" s="10">
        <f>IFERROR(__xludf.DUMMYFUNCTION("VALUE(REGEXEXTRACT(A5881, ""\d+""))"),8655.0)</f>
        <v>8655</v>
      </c>
    </row>
    <row r="5882">
      <c r="A5882" s="9" t="s">
        <v>21205</v>
      </c>
      <c r="B5882" s="9" t="s">
        <v>21203</v>
      </c>
      <c r="G5882" s="9" t="s">
        <v>21204</v>
      </c>
      <c r="O5882" s="10">
        <f>IFERROR(__xludf.DUMMYFUNCTION("VALUE(REGEXEXTRACT(A5882, ""\d+""))"),8656.0)</f>
        <v>8656</v>
      </c>
    </row>
    <row r="5883">
      <c r="A5883" s="9" t="s">
        <v>21206</v>
      </c>
      <c r="B5883" s="9" t="s">
        <v>21203</v>
      </c>
      <c r="G5883" s="9" t="s">
        <v>21204</v>
      </c>
      <c r="O5883" s="10">
        <f>IFERROR(__xludf.DUMMYFUNCTION("VALUE(REGEXEXTRACT(A5883, ""\d+""))"),8657.0)</f>
        <v>8657</v>
      </c>
    </row>
    <row r="5884">
      <c r="A5884" s="9" t="s">
        <v>21207</v>
      </c>
      <c r="B5884" s="9" t="s">
        <v>21208</v>
      </c>
      <c r="G5884" s="9" t="s">
        <v>21209</v>
      </c>
      <c r="O5884" s="10">
        <f>IFERROR(__xludf.DUMMYFUNCTION("VALUE(REGEXEXTRACT(A5884, ""\d+""))"),8658.0)</f>
        <v>8658</v>
      </c>
    </row>
    <row r="5885">
      <c r="A5885" s="9" t="s">
        <v>21210</v>
      </c>
      <c r="B5885" s="9" t="s">
        <v>21208</v>
      </c>
      <c r="G5885" s="9" t="s">
        <v>21209</v>
      </c>
      <c r="O5885" s="10">
        <f>IFERROR(__xludf.DUMMYFUNCTION("VALUE(REGEXEXTRACT(A5885, ""\d+""))"),8659.0)</f>
        <v>8659</v>
      </c>
    </row>
    <row r="5886">
      <c r="A5886" s="9" t="s">
        <v>21211</v>
      </c>
      <c r="B5886" s="9" t="s">
        <v>21212</v>
      </c>
      <c r="G5886" s="9" t="s">
        <v>21213</v>
      </c>
      <c r="O5886" s="10">
        <f>IFERROR(__xludf.DUMMYFUNCTION("VALUE(REGEXEXTRACT(A5886, ""\d+""))"),8660.0)</f>
        <v>8660</v>
      </c>
    </row>
    <row r="5887">
      <c r="A5887" s="9" t="s">
        <v>21214</v>
      </c>
      <c r="B5887" s="9" t="s">
        <v>21212</v>
      </c>
      <c r="G5887" s="9" t="s">
        <v>21213</v>
      </c>
      <c r="O5887" s="10">
        <f>IFERROR(__xludf.DUMMYFUNCTION("VALUE(REGEXEXTRACT(A5887, ""\d+""))"),8661.0)</f>
        <v>8661</v>
      </c>
    </row>
    <row r="5888">
      <c r="A5888" s="9" t="s">
        <v>21215</v>
      </c>
      <c r="B5888" s="9" t="s">
        <v>21216</v>
      </c>
      <c r="G5888" s="9" t="s">
        <v>21217</v>
      </c>
      <c r="O5888" s="10">
        <f>IFERROR(__xludf.DUMMYFUNCTION("VALUE(REGEXEXTRACT(A5888, ""\d+""))"),8662.0)</f>
        <v>8662</v>
      </c>
    </row>
    <row r="5889">
      <c r="A5889" s="9" t="s">
        <v>21218</v>
      </c>
      <c r="B5889" s="9" t="s">
        <v>21219</v>
      </c>
      <c r="G5889" s="9" t="s">
        <v>21220</v>
      </c>
      <c r="O5889" s="10">
        <f>IFERROR(__xludf.DUMMYFUNCTION("VALUE(REGEXEXTRACT(A5889, ""\d+""))"),8663.0)</f>
        <v>8663</v>
      </c>
    </row>
    <row r="5890">
      <c r="A5890" s="9" t="s">
        <v>21221</v>
      </c>
      <c r="B5890" s="9" t="s">
        <v>21222</v>
      </c>
      <c r="G5890" s="9" t="s">
        <v>21223</v>
      </c>
      <c r="O5890" s="10">
        <f>IFERROR(__xludf.DUMMYFUNCTION("VALUE(REGEXEXTRACT(A5890, ""\d+""))"),8664.0)</f>
        <v>8664</v>
      </c>
    </row>
    <row r="5891">
      <c r="A5891" s="9" t="s">
        <v>21224</v>
      </c>
      <c r="B5891" s="9" t="s">
        <v>21225</v>
      </c>
      <c r="G5891" s="9" t="s">
        <v>21226</v>
      </c>
      <c r="O5891" s="10">
        <f>IFERROR(__xludf.DUMMYFUNCTION("VALUE(REGEXEXTRACT(A5891, ""\d+""))"),8665.0)</f>
        <v>8665</v>
      </c>
    </row>
    <row r="5892">
      <c r="A5892" s="9" t="s">
        <v>21227</v>
      </c>
      <c r="B5892" s="9" t="s">
        <v>21228</v>
      </c>
      <c r="G5892" s="9" t="s">
        <v>21229</v>
      </c>
      <c r="O5892" s="10">
        <f>IFERROR(__xludf.DUMMYFUNCTION("VALUE(REGEXEXTRACT(A5892, ""\d+""))"),8666.0)</f>
        <v>8666</v>
      </c>
    </row>
    <row r="5893">
      <c r="A5893" s="9" t="s">
        <v>21230</v>
      </c>
      <c r="B5893" s="9" t="s">
        <v>21231</v>
      </c>
      <c r="G5893" s="9" t="s">
        <v>21232</v>
      </c>
      <c r="O5893" s="10">
        <f>IFERROR(__xludf.DUMMYFUNCTION("VALUE(REGEXEXTRACT(A5893, ""\d+""))"),8667.0)</f>
        <v>8667</v>
      </c>
    </row>
    <row r="5894">
      <c r="A5894" s="9" t="s">
        <v>21233</v>
      </c>
      <c r="B5894" s="9" t="s">
        <v>21234</v>
      </c>
      <c r="G5894" s="9" t="s">
        <v>21235</v>
      </c>
      <c r="O5894" s="10">
        <f>IFERROR(__xludf.DUMMYFUNCTION("VALUE(REGEXEXTRACT(A5894, ""\d+""))"),8668.0)</f>
        <v>8668</v>
      </c>
    </row>
    <row r="5895">
      <c r="A5895" s="9" t="s">
        <v>21236</v>
      </c>
      <c r="B5895" s="9" t="s">
        <v>21237</v>
      </c>
      <c r="G5895" s="9" t="s">
        <v>21238</v>
      </c>
      <c r="O5895" s="10">
        <f>IFERROR(__xludf.DUMMYFUNCTION("VALUE(REGEXEXTRACT(A5895, ""\d+""))"),8670.0)</f>
        <v>8670</v>
      </c>
    </row>
    <row r="5896">
      <c r="A5896" s="9" t="s">
        <v>21239</v>
      </c>
      <c r="B5896" s="9" t="s">
        <v>21240</v>
      </c>
      <c r="G5896" s="9" t="s">
        <v>21241</v>
      </c>
      <c r="O5896" s="10">
        <f>IFERROR(__xludf.DUMMYFUNCTION("VALUE(REGEXEXTRACT(A5896, ""\d+""))"),8671.0)</f>
        <v>8671</v>
      </c>
    </row>
    <row r="5897">
      <c r="A5897" s="9" t="s">
        <v>21242</v>
      </c>
      <c r="B5897" s="9" t="s">
        <v>21243</v>
      </c>
      <c r="G5897" s="9" t="s">
        <v>21244</v>
      </c>
      <c r="O5897" s="10">
        <f>IFERROR(__xludf.DUMMYFUNCTION("VALUE(REGEXEXTRACT(A5897, ""\d+""))"),8672.0)</f>
        <v>8672</v>
      </c>
    </row>
    <row r="5898">
      <c r="A5898" s="9" t="s">
        <v>21245</v>
      </c>
      <c r="B5898" s="9" t="s">
        <v>21246</v>
      </c>
      <c r="G5898" s="9" t="s">
        <v>21247</v>
      </c>
      <c r="O5898" s="10">
        <f>IFERROR(__xludf.DUMMYFUNCTION("VALUE(REGEXEXTRACT(A5898, ""\d+""))"),8673.0)</f>
        <v>8673</v>
      </c>
    </row>
    <row r="5899">
      <c r="A5899" s="9" t="s">
        <v>21248</v>
      </c>
      <c r="B5899" s="9" t="s">
        <v>21249</v>
      </c>
      <c r="G5899" s="9" t="s">
        <v>21250</v>
      </c>
      <c r="O5899" s="10">
        <f>IFERROR(__xludf.DUMMYFUNCTION("VALUE(REGEXEXTRACT(A5899, ""\d+""))"),8674.0)</f>
        <v>8674</v>
      </c>
    </row>
    <row r="5900">
      <c r="A5900" s="9" t="s">
        <v>21251</v>
      </c>
      <c r="B5900" s="9" t="s">
        <v>21252</v>
      </c>
      <c r="G5900" s="9" t="s">
        <v>21253</v>
      </c>
      <c r="O5900" s="10">
        <f>IFERROR(__xludf.DUMMYFUNCTION("VALUE(REGEXEXTRACT(A5900, ""\d+""))"),8675.0)</f>
        <v>8675</v>
      </c>
    </row>
    <row r="5901">
      <c r="A5901" s="9" t="s">
        <v>21254</v>
      </c>
      <c r="B5901" s="9" t="s">
        <v>21255</v>
      </c>
      <c r="G5901" s="9" t="s">
        <v>21256</v>
      </c>
      <c r="O5901" s="10">
        <f>IFERROR(__xludf.DUMMYFUNCTION("VALUE(REGEXEXTRACT(A5901, ""\d+""))"),8676.0)</f>
        <v>8676</v>
      </c>
    </row>
    <row r="5902">
      <c r="A5902" s="9" t="s">
        <v>21257</v>
      </c>
      <c r="B5902" s="9" t="s">
        <v>21258</v>
      </c>
      <c r="G5902" s="9" t="s">
        <v>21259</v>
      </c>
      <c r="O5902" s="10">
        <f>IFERROR(__xludf.DUMMYFUNCTION("VALUE(REGEXEXTRACT(A5902, ""\d+""))"),8678.0)</f>
        <v>8678</v>
      </c>
    </row>
    <row r="5903">
      <c r="A5903" s="9" t="s">
        <v>21260</v>
      </c>
      <c r="B5903" s="9" t="s">
        <v>21261</v>
      </c>
      <c r="G5903" s="9" t="s">
        <v>21262</v>
      </c>
      <c r="O5903" s="10">
        <f>IFERROR(__xludf.DUMMYFUNCTION("VALUE(REGEXEXTRACT(A5903, ""\d+""))"),8679.0)</f>
        <v>8679</v>
      </c>
    </row>
    <row r="5904">
      <c r="A5904" s="9" t="s">
        <v>21263</v>
      </c>
      <c r="B5904" s="9" t="s">
        <v>21264</v>
      </c>
      <c r="G5904" s="9" t="s">
        <v>21265</v>
      </c>
      <c r="O5904" s="10">
        <f>IFERROR(__xludf.DUMMYFUNCTION("VALUE(REGEXEXTRACT(A5904, ""\d+""))"),8680.0)</f>
        <v>8680</v>
      </c>
    </row>
    <row r="5905">
      <c r="A5905" s="9" t="s">
        <v>21266</v>
      </c>
      <c r="B5905" s="9" t="s">
        <v>21267</v>
      </c>
      <c r="G5905" s="9" t="s">
        <v>21265</v>
      </c>
      <c r="O5905" s="10">
        <f>IFERROR(__xludf.DUMMYFUNCTION("VALUE(REGEXEXTRACT(A5905, ""\d+""))"),8681.0)</f>
        <v>8681</v>
      </c>
    </row>
    <row r="5906">
      <c r="A5906" s="9" t="s">
        <v>21268</v>
      </c>
      <c r="B5906" s="9" t="s">
        <v>21269</v>
      </c>
      <c r="G5906" s="9" t="s">
        <v>21270</v>
      </c>
      <c r="O5906" s="10">
        <f>IFERROR(__xludf.DUMMYFUNCTION("VALUE(REGEXEXTRACT(A5906, ""\d+""))"),8682.0)</f>
        <v>8682</v>
      </c>
    </row>
    <row r="5907">
      <c r="A5907" s="9" t="s">
        <v>21271</v>
      </c>
      <c r="B5907" s="9" t="s">
        <v>21272</v>
      </c>
      <c r="G5907" s="9" t="s">
        <v>21273</v>
      </c>
      <c r="O5907" s="10">
        <f>IFERROR(__xludf.DUMMYFUNCTION("VALUE(REGEXEXTRACT(A5907, ""\d+""))"),8683.0)</f>
        <v>8683</v>
      </c>
    </row>
    <row r="5908">
      <c r="A5908" s="9" t="s">
        <v>21274</v>
      </c>
      <c r="B5908" s="9" t="s">
        <v>21275</v>
      </c>
      <c r="G5908" s="9" t="s">
        <v>21276</v>
      </c>
      <c r="O5908" s="10">
        <f>IFERROR(__xludf.DUMMYFUNCTION("VALUE(REGEXEXTRACT(A5908, ""\d+""))"),8684.0)</f>
        <v>8684</v>
      </c>
    </row>
    <row r="5909">
      <c r="A5909" s="9" t="s">
        <v>21277</v>
      </c>
      <c r="B5909" s="9" t="s">
        <v>13175</v>
      </c>
      <c r="G5909" s="9" t="s">
        <v>21278</v>
      </c>
      <c r="O5909" s="10">
        <f>IFERROR(__xludf.DUMMYFUNCTION("VALUE(REGEXEXTRACT(A5909, ""\d+""))"),8685.0)</f>
        <v>8685</v>
      </c>
    </row>
    <row r="5910">
      <c r="A5910" s="9" t="s">
        <v>21279</v>
      </c>
      <c r="B5910" s="9" t="s">
        <v>13169</v>
      </c>
      <c r="G5910" s="9" t="s">
        <v>21280</v>
      </c>
      <c r="O5910" s="10">
        <f>IFERROR(__xludf.DUMMYFUNCTION("VALUE(REGEXEXTRACT(A5910, ""\d+""))"),8686.0)</f>
        <v>8686</v>
      </c>
    </row>
    <row r="5911">
      <c r="A5911" s="9" t="s">
        <v>21281</v>
      </c>
      <c r="B5911" s="9" t="s">
        <v>21282</v>
      </c>
      <c r="G5911" s="9" t="s">
        <v>21283</v>
      </c>
      <c r="O5911" s="10">
        <f>IFERROR(__xludf.DUMMYFUNCTION("VALUE(REGEXEXTRACT(A5911, ""\d+""))"),8687.0)</f>
        <v>8687</v>
      </c>
    </row>
    <row r="5912">
      <c r="A5912" s="9" t="s">
        <v>21284</v>
      </c>
      <c r="B5912" s="9" t="s">
        <v>21285</v>
      </c>
      <c r="G5912" s="9" t="s">
        <v>21286</v>
      </c>
      <c r="O5912" s="10">
        <f>IFERROR(__xludf.DUMMYFUNCTION("VALUE(REGEXEXTRACT(A5912, ""\d+""))"),8688.0)</f>
        <v>8688</v>
      </c>
    </row>
    <row r="5913">
      <c r="A5913" s="9" t="s">
        <v>21287</v>
      </c>
      <c r="B5913" s="9" t="s">
        <v>21288</v>
      </c>
      <c r="G5913" s="9" t="s">
        <v>21289</v>
      </c>
      <c r="O5913" s="10">
        <f>IFERROR(__xludf.DUMMYFUNCTION("VALUE(REGEXEXTRACT(A5913, ""\d+""))"),8689.0)</f>
        <v>8689</v>
      </c>
    </row>
    <row r="5914">
      <c r="A5914" s="9" t="s">
        <v>21290</v>
      </c>
      <c r="B5914" s="9" t="s">
        <v>21291</v>
      </c>
      <c r="G5914" s="9" t="s">
        <v>21292</v>
      </c>
      <c r="O5914" s="10">
        <f>IFERROR(__xludf.DUMMYFUNCTION("VALUE(REGEXEXTRACT(A5914, ""\d+""))"),8690.0)</f>
        <v>8690</v>
      </c>
    </row>
    <row r="5915">
      <c r="A5915" s="9" t="s">
        <v>21293</v>
      </c>
      <c r="B5915" s="9" t="s">
        <v>21294</v>
      </c>
      <c r="G5915" s="9" t="s">
        <v>21295</v>
      </c>
      <c r="O5915" s="10">
        <f>IFERROR(__xludf.DUMMYFUNCTION("VALUE(REGEXEXTRACT(A5915, ""\d+""))"),8691.0)</f>
        <v>8691</v>
      </c>
    </row>
    <row r="5916">
      <c r="A5916" s="9" t="s">
        <v>21296</v>
      </c>
      <c r="B5916" s="9" t="s">
        <v>21297</v>
      </c>
      <c r="G5916" s="9" t="s">
        <v>21298</v>
      </c>
      <c r="O5916" s="10">
        <f>IFERROR(__xludf.DUMMYFUNCTION("VALUE(REGEXEXTRACT(A5916, ""\d+""))"),8692.0)</f>
        <v>8692</v>
      </c>
    </row>
    <row r="5917">
      <c r="A5917" s="9" t="s">
        <v>21299</v>
      </c>
      <c r="B5917" s="9" t="s">
        <v>21300</v>
      </c>
      <c r="G5917" s="9" t="s">
        <v>21301</v>
      </c>
      <c r="O5917" s="10">
        <f>IFERROR(__xludf.DUMMYFUNCTION("VALUE(REGEXEXTRACT(A5917, ""\d+""))"),8693.0)</f>
        <v>8693</v>
      </c>
    </row>
    <row r="5918">
      <c r="A5918" s="9" t="s">
        <v>21302</v>
      </c>
      <c r="B5918" s="9" t="s">
        <v>21303</v>
      </c>
      <c r="G5918" s="9" t="s">
        <v>21304</v>
      </c>
      <c r="O5918" s="10">
        <f>IFERROR(__xludf.DUMMYFUNCTION("VALUE(REGEXEXTRACT(A5918, ""\d+""))"),8694.0)</f>
        <v>8694</v>
      </c>
    </row>
    <row r="5919">
      <c r="A5919" s="9" t="s">
        <v>21305</v>
      </c>
      <c r="B5919" s="9" t="s">
        <v>21306</v>
      </c>
      <c r="G5919" s="9" t="s">
        <v>21307</v>
      </c>
      <c r="O5919" s="10">
        <f>IFERROR(__xludf.DUMMYFUNCTION("VALUE(REGEXEXTRACT(A5919, ""\d+""))"),8695.0)</f>
        <v>8695</v>
      </c>
    </row>
    <row r="5920">
      <c r="A5920" s="9" t="s">
        <v>21308</v>
      </c>
      <c r="B5920" s="9" t="s">
        <v>21309</v>
      </c>
      <c r="G5920" s="9" t="s">
        <v>21310</v>
      </c>
      <c r="O5920" s="10">
        <f>IFERROR(__xludf.DUMMYFUNCTION("VALUE(REGEXEXTRACT(A5920, ""\d+""))"),8696.0)</f>
        <v>8696</v>
      </c>
    </row>
    <row r="5921">
      <c r="A5921" s="9" t="s">
        <v>21311</v>
      </c>
      <c r="B5921" s="9" t="s">
        <v>21312</v>
      </c>
      <c r="G5921" s="9" t="s">
        <v>21313</v>
      </c>
      <c r="O5921" s="10">
        <f>IFERROR(__xludf.DUMMYFUNCTION("VALUE(REGEXEXTRACT(A5921, ""\d+""))"),8697.0)</f>
        <v>8697</v>
      </c>
    </row>
    <row r="5922">
      <c r="A5922" s="9" t="s">
        <v>21314</v>
      </c>
      <c r="B5922" s="9" t="s">
        <v>21315</v>
      </c>
      <c r="G5922" s="9" t="s">
        <v>21316</v>
      </c>
      <c r="O5922" s="10">
        <f>IFERROR(__xludf.DUMMYFUNCTION("VALUE(REGEXEXTRACT(A5922, ""\d+""))"),8698.0)</f>
        <v>8698</v>
      </c>
    </row>
    <row r="5923">
      <c r="A5923" s="9" t="s">
        <v>21317</v>
      </c>
      <c r="B5923" s="9" t="s">
        <v>21318</v>
      </c>
      <c r="G5923" s="9" t="s">
        <v>21319</v>
      </c>
      <c r="O5923" s="10">
        <f>IFERROR(__xludf.DUMMYFUNCTION("VALUE(REGEXEXTRACT(A5923, ""\d+""))"),8699.0)</f>
        <v>8699</v>
      </c>
    </row>
    <row r="5924">
      <c r="A5924" s="9" t="s">
        <v>21320</v>
      </c>
      <c r="B5924" s="9" t="s">
        <v>21321</v>
      </c>
      <c r="G5924" s="9" t="s">
        <v>21322</v>
      </c>
      <c r="O5924" s="10">
        <f>IFERROR(__xludf.DUMMYFUNCTION("VALUE(REGEXEXTRACT(A5924, ""\d+""))"),8700.0)</f>
        <v>8700</v>
      </c>
    </row>
    <row r="5925">
      <c r="A5925" s="9" t="s">
        <v>21323</v>
      </c>
      <c r="B5925" s="9" t="s">
        <v>21324</v>
      </c>
      <c r="G5925" s="9" t="s">
        <v>21325</v>
      </c>
      <c r="O5925" s="10">
        <f>IFERROR(__xludf.DUMMYFUNCTION("VALUE(REGEXEXTRACT(A5925, ""\d+""))"),8701.0)</f>
        <v>8701</v>
      </c>
    </row>
    <row r="5926">
      <c r="A5926" s="9" t="s">
        <v>21326</v>
      </c>
      <c r="B5926" s="9" t="s">
        <v>21327</v>
      </c>
      <c r="G5926" s="9" t="s">
        <v>21328</v>
      </c>
      <c r="O5926" s="10">
        <f>IFERROR(__xludf.DUMMYFUNCTION("VALUE(REGEXEXTRACT(A5926, ""\d+""))"),8702.0)</f>
        <v>8702</v>
      </c>
    </row>
    <row r="5927">
      <c r="A5927" s="9" t="s">
        <v>21329</v>
      </c>
      <c r="B5927" s="9" t="s">
        <v>21330</v>
      </c>
      <c r="G5927" s="9" t="s">
        <v>21331</v>
      </c>
      <c r="O5927" s="10">
        <f>IFERROR(__xludf.DUMMYFUNCTION("VALUE(REGEXEXTRACT(A5927, ""\d+""))"),8703.0)</f>
        <v>8703</v>
      </c>
    </row>
    <row r="5928">
      <c r="A5928" s="9" t="s">
        <v>21332</v>
      </c>
      <c r="B5928" s="9" t="s">
        <v>21333</v>
      </c>
      <c r="G5928" s="9" t="s">
        <v>21334</v>
      </c>
      <c r="O5928" s="10">
        <f>IFERROR(__xludf.DUMMYFUNCTION("VALUE(REGEXEXTRACT(A5928, ""\d+""))"),8704.0)</f>
        <v>8704</v>
      </c>
    </row>
    <row r="5929">
      <c r="A5929" s="9" t="s">
        <v>21335</v>
      </c>
      <c r="B5929" s="9" t="s">
        <v>21336</v>
      </c>
      <c r="G5929" s="9" t="s">
        <v>21337</v>
      </c>
      <c r="O5929" s="10">
        <f>IFERROR(__xludf.DUMMYFUNCTION("VALUE(REGEXEXTRACT(A5929, ""\d+""))"),8705.0)</f>
        <v>8705</v>
      </c>
    </row>
    <row r="5930">
      <c r="A5930" s="9" t="s">
        <v>21338</v>
      </c>
      <c r="B5930" s="9" t="s">
        <v>21339</v>
      </c>
      <c r="G5930" s="9" t="s">
        <v>21340</v>
      </c>
      <c r="O5930" s="10">
        <f>IFERROR(__xludf.DUMMYFUNCTION("VALUE(REGEXEXTRACT(A5930, ""\d+""))"),8706.0)</f>
        <v>8706</v>
      </c>
    </row>
    <row r="5931">
      <c r="A5931" s="9" t="s">
        <v>21341</v>
      </c>
      <c r="B5931" s="9" t="s">
        <v>21342</v>
      </c>
      <c r="G5931" s="9" t="s">
        <v>21343</v>
      </c>
      <c r="O5931" s="10">
        <f>IFERROR(__xludf.DUMMYFUNCTION("VALUE(REGEXEXTRACT(A5931, ""\d+""))"),8708.0)</f>
        <v>8708</v>
      </c>
    </row>
    <row r="5932">
      <c r="A5932" s="9" t="s">
        <v>21344</v>
      </c>
      <c r="B5932" s="9" t="s">
        <v>21345</v>
      </c>
      <c r="G5932" s="9" t="s">
        <v>21346</v>
      </c>
      <c r="O5932" s="10">
        <f>IFERROR(__xludf.DUMMYFUNCTION("VALUE(REGEXEXTRACT(A5932, ""\d+""))"),8709.0)</f>
        <v>8709</v>
      </c>
    </row>
    <row r="5933">
      <c r="A5933" s="9" t="s">
        <v>21347</v>
      </c>
      <c r="B5933" s="9" t="s">
        <v>21348</v>
      </c>
      <c r="G5933" s="9" t="s">
        <v>21349</v>
      </c>
      <c r="O5933" s="10">
        <f>IFERROR(__xludf.DUMMYFUNCTION("VALUE(REGEXEXTRACT(A5933, ""\d+""))"),8710.0)</f>
        <v>8710</v>
      </c>
    </row>
    <row r="5934">
      <c r="A5934" s="9" t="s">
        <v>21350</v>
      </c>
      <c r="B5934" s="9" t="s">
        <v>21351</v>
      </c>
      <c r="G5934" s="9" t="s">
        <v>21352</v>
      </c>
      <c r="O5934" s="10">
        <f>IFERROR(__xludf.DUMMYFUNCTION("VALUE(REGEXEXTRACT(A5934, ""\d+""))"),8711.0)</f>
        <v>8711</v>
      </c>
    </row>
    <row r="5935">
      <c r="A5935" s="9" t="s">
        <v>21353</v>
      </c>
      <c r="B5935" s="9" t="s">
        <v>21354</v>
      </c>
      <c r="G5935" s="9" t="s">
        <v>21355</v>
      </c>
      <c r="O5935" s="10">
        <f>IFERROR(__xludf.DUMMYFUNCTION("VALUE(REGEXEXTRACT(A5935, ""\d+""))"),8712.0)</f>
        <v>8712</v>
      </c>
    </row>
    <row r="5936">
      <c r="A5936" s="9" t="s">
        <v>21356</v>
      </c>
      <c r="B5936" s="9" t="s">
        <v>21357</v>
      </c>
      <c r="G5936" s="9" t="s">
        <v>21358</v>
      </c>
      <c r="O5936" s="10">
        <f>IFERROR(__xludf.DUMMYFUNCTION("VALUE(REGEXEXTRACT(A5936, ""\d+""))"),8713.0)</f>
        <v>8713</v>
      </c>
    </row>
    <row r="5937">
      <c r="A5937" s="9" t="s">
        <v>21359</v>
      </c>
      <c r="B5937" s="9" t="s">
        <v>21360</v>
      </c>
      <c r="G5937" s="9" t="s">
        <v>21361</v>
      </c>
      <c r="O5937" s="10">
        <f>IFERROR(__xludf.DUMMYFUNCTION("VALUE(REGEXEXTRACT(A5937, ""\d+""))"),8716.0)</f>
        <v>8716</v>
      </c>
    </row>
    <row r="5938">
      <c r="A5938" s="9" t="s">
        <v>21362</v>
      </c>
      <c r="B5938" s="9" t="s">
        <v>21363</v>
      </c>
      <c r="G5938" s="9" t="s">
        <v>21364</v>
      </c>
      <c r="O5938" s="10">
        <f>IFERROR(__xludf.DUMMYFUNCTION("VALUE(REGEXEXTRACT(A5938, ""\d+""))"),8717.0)</f>
        <v>8717</v>
      </c>
    </row>
    <row r="5939">
      <c r="A5939" s="9" t="s">
        <v>21365</v>
      </c>
      <c r="B5939" s="9" t="s">
        <v>21366</v>
      </c>
      <c r="G5939" s="9" t="s">
        <v>21367</v>
      </c>
      <c r="O5939" s="10">
        <f>IFERROR(__xludf.DUMMYFUNCTION("VALUE(REGEXEXTRACT(A5939, ""\d+""))"),8718.0)</f>
        <v>8718</v>
      </c>
    </row>
    <row r="5940">
      <c r="A5940" s="9" t="s">
        <v>21368</v>
      </c>
      <c r="B5940" s="9" t="s">
        <v>21369</v>
      </c>
      <c r="G5940" s="9" t="s">
        <v>21370</v>
      </c>
      <c r="O5940" s="10">
        <f>IFERROR(__xludf.DUMMYFUNCTION("VALUE(REGEXEXTRACT(A5940, ""\d+""))"),8720.0)</f>
        <v>8720</v>
      </c>
    </row>
    <row r="5941">
      <c r="A5941" s="9" t="s">
        <v>21371</v>
      </c>
      <c r="B5941" s="9" t="s">
        <v>21372</v>
      </c>
      <c r="G5941" s="9" t="s">
        <v>21373</v>
      </c>
      <c r="O5941" s="10">
        <f>IFERROR(__xludf.DUMMYFUNCTION("VALUE(REGEXEXTRACT(A5941, ""\d+""))"),8721.0)</f>
        <v>8721</v>
      </c>
    </row>
    <row r="5942">
      <c r="A5942" s="9" t="s">
        <v>21374</v>
      </c>
      <c r="B5942" s="9" t="s">
        <v>21375</v>
      </c>
      <c r="G5942" s="9" t="s">
        <v>21376</v>
      </c>
      <c r="O5942" s="10">
        <f>IFERROR(__xludf.DUMMYFUNCTION("VALUE(REGEXEXTRACT(A5942, ""\d+""))"),8722.0)</f>
        <v>8722</v>
      </c>
    </row>
    <row r="5943">
      <c r="A5943" s="9" t="s">
        <v>21377</v>
      </c>
      <c r="B5943" s="9" t="s">
        <v>21378</v>
      </c>
      <c r="G5943" s="9" t="s">
        <v>21379</v>
      </c>
      <c r="O5943" s="10">
        <f>IFERROR(__xludf.DUMMYFUNCTION("VALUE(REGEXEXTRACT(A5943, ""\d+""))"),8723.0)</f>
        <v>8723</v>
      </c>
    </row>
    <row r="5944">
      <c r="A5944" s="9" t="s">
        <v>21380</v>
      </c>
      <c r="B5944" s="9" t="s">
        <v>21381</v>
      </c>
      <c r="G5944" s="9" t="s">
        <v>21382</v>
      </c>
      <c r="O5944" s="10">
        <f>IFERROR(__xludf.DUMMYFUNCTION("VALUE(REGEXEXTRACT(A5944, ""\d+""))"),8724.0)</f>
        <v>8724</v>
      </c>
    </row>
    <row r="5945">
      <c r="A5945" s="9" t="s">
        <v>21383</v>
      </c>
      <c r="B5945" s="9" t="s">
        <v>21384</v>
      </c>
      <c r="G5945" s="9" t="s">
        <v>21385</v>
      </c>
      <c r="O5945" s="10">
        <f>IFERROR(__xludf.DUMMYFUNCTION("VALUE(REGEXEXTRACT(A5945, ""\d+""))"),8725.0)</f>
        <v>8725</v>
      </c>
    </row>
    <row r="5946">
      <c r="A5946" s="9" t="s">
        <v>21386</v>
      </c>
      <c r="B5946" s="9" t="s">
        <v>21387</v>
      </c>
      <c r="G5946" s="9" t="s">
        <v>21388</v>
      </c>
      <c r="O5946" s="10">
        <f>IFERROR(__xludf.DUMMYFUNCTION("VALUE(REGEXEXTRACT(A5946, ""\d+""))"),8726.0)</f>
        <v>8726</v>
      </c>
    </row>
    <row r="5947">
      <c r="A5947" s="9" t="s">
        <v>21389</v>
      </c>
      <c r="B5947" s="9" t="s">
        <v>21390</v>
      </c>
      <c r="G5947" s="9" t="s">
        <v>21391</v>
      </c>
      <c r="O5947" s="10">
        <f>IFERROR(__xludf.DUMMYFUNCTION("VALUE(REGEXEXTRACT(A5947, ""\d+""))"),8727.0)</f>
        <v>8727</v>
      </c>
    </row>
    <row r="5948">
      <c r="A5948" s="9" t="s">
        <v>21392</v>
      </c>
      <c r="B5948" s="9" t="s">
        <v>21393</v>
      </c>
      <c r="G5948" s="9" t="s">
        <v>21394</v>
      </c>
      <c r="O5948" s="10">
        <f>IFERROR(__xludf.DUMMYFUNCTION("VALUE(REGEXEXTRACT(A5948, ""\d+""))"),8728.0)</f>
        <v>8728</v>
      </c>
    </row>
    <row r="5949">
      <c r="A5949" s="9" t="s">
        <v>21395</v>
      </c>
      <c r="B5949" s="9" t="s">
        <v>21396</v>
      </c>
      <c r="G5949" s="9" t="s">
        <v>21397</v>
      </c>
      <c r="O5949" s="10">
        <f>IFERROR(__xludf.DUMMYFUNCTION("VALUE(REGEXEXTRACT(A5949, ""\d+""))"),8729.0)</f>
        <v>8729</v>
      </c>
    </row>
    <row r="5950">
      <c r="A5950" s="9" t="s">
        <v>21398</v>
      </c>
      <c r="B5950" s="9" t="s">
        <v>21399</v>
      </c>
      <c r="G5950" s="9" t="s">
        <v>21400</v>
      </c>
      <c r="O5950" s="10">
        <f>IFERROR(__xludf.DUMMYFUNCTION("VALUE(REGEXEXTRACT(A5950, ""\d+""))"),8730.0)</f>
        <v>8730</v>
      </c>
    </row>
    <row r="5951">
      <c r="A5951" s="9" t="s">
        <v>21401</v>
      </c>
      <c r="B5951" s="9" t="s">
        <v>21402</v>
      </c>
      <c r="G5951" s="9" t="s">
        <v>21403</v>
      </c>
      <c r="O5951" s="10">
        <f>IFERROR(__xludf.DUMMYFUNCTION("VALUE(REGEXEXTRACT(A5951, ""\d+""))"),8731.0)</f>
        <v>8731</v>
      </c>
    </row>
    <row r="5952">
      <c r="A5952" s="9" t="s">
        <v>21404</v>
      </c>
      <c r="B5952" s="9" t="s">
        <v>21405</v>
      </c>
      <c r="G5952" s="9" t="s">
        <v>21406</v>
      </c>
      <c r="O5952" s="10">
        <f>IFERROR(__xludf.DUMMYFUNCTION("VALUE(REGEXEXTRACT(A5952, ""\d+""))"),8732.0)</f>
        <v>8732</v>
      </c>
    </row>
    <row r="5953">
      <c r="A5953" s="9" t="s">
        <v>21407</v>
      </c>
      <c r="B5953" s="9" t="s">
        <v>21408</v>
      </c>
      <c r="G5953" s="9" t="s">
        <v>21409</v>
      </c>
      <c r="O5953" s="10">
        <f>IFERROR(__xludf.DUMMYFUNCTION("VALUE(REGEXEXTRACT(A5953, ""\d+""))"),8733.0)</f>
        <v>8733</v>
      </c>
    </row>
    <row r="5954">
      <c r="A5954" s="9" t="s">
        <v>21410</v>
      </c>
      <c r="B5954" s="9" t="s">
        <v>21411</v>
      </c>
      <c r="G5954" s="9" t="s">
        <v>21412</v>
      </c>
      <c r="O5954" s="10">
        <f>IFERROR(__xludf.DUMMYFUNCTION("VALUE(REGEXEXTRACT(A5954, ""\d+""))"),8734.0)</f>
        <v>8734</v>
      </c>
    </row>
    <row r="5955">
      <c r="A5955" s="9" t="s">
        <v>21413</v>
      </c>
      <c r="B5955" s="9" t="s">
        <v>21414</v>
      </c>
      <c r="G5955" s="9" t="s">
        <v>21415</v>
      </c>
      <c r="O5955" s="10">
        <f>IFERROR(__xludf.DUMMYFUNCTION("VALUE(REGEXEXTRACT(A5955, ""\d+""))"),8735.0)</f>
        <v>8735</v>
      </c>
    </row>
    <row r="5956">
      <c r="A5956" s="9" t="s">
        <v>21416</v>
      </c>
      <c r="B5956" s="9" t="s">
        <v>21417</v>
      </c>
      <c r="G5956" s="9" t="s">
        <v>21418</v>
      </c>
      <c r="O5956" s="10">
        <f>IFERROR(__xludf.DUMMYFUNCTION("VALUE(REGEXEXTRACT(A5956, ""\d+""))"),8736.0)</f>
        <v>8736</v>
      </c>
    </row>
    <row r="5957">
      <c r="A5957" s="9" t="s">
        <v>21419</v>
      </c>
      <c r="B5957" s="9" t="s">
        <v>21420</v>
      </c>
      <c r="G5957" s="9" t="s">
        <v>21421</v>
      </c>
      <c r="O5957" s="10">
        <f>IFERROR(__xludf.DUMMYFUNCTION("VALUE(REGEXEXTRACT(A5957, ""\d+""))"),8737.0)</f>
        <v>8737</v>
      </c>
    </row>
    <row r="5958">
      <c r="A5958" s="9" t="s">
        <v>21422</v>
      </c>
      <c r="B5958" s="9" t="s">
        <v>21423</v>
      </c>
      <c r="G5958" s="9" t="s">
        <v>21424</v>
      </c>
      <c r="O5958" s="10">
        <f>IFERROR(__xludf.DUMMYFUNCTION("VALUE(REGEXEXTRACT(A5958, ""\d+""))"),8738.0)</f>
        <v>8738</v>
      </c>
    </row>
    <row r="5959">
      <c r="A5959" s="9" t="s">
        <v>21425</v>
      </c>
      <c r="B5959" s="9" t="s">
        <v>21426</v>
      </c>
      <c r="G5959" s="9" t="s">
        <v>21427</v>
      </c>
      <c r="O5959" s="10">
        <f>IFERROR(__xludf.DUMMYFUNCTION("VALUE(REGEXEXTRACT(A5959, ""\d+""))"),8739.0)</f>
        <v>8739</v>
      </c>
    </row>
    <row r="5960">
      <c r="A5960" s="9" t="s">
        <v>21428</v>
      </c>
      <c r="B5960" s="9" t="s">
        <v>21429</v>
      </c>
      <c r="G5960" s="9" t="s">
        <v>21430</v>
      </c>
      <c r="O5960" s="10">
        <f>IFERROR(__xludf.DUMMYFUNCTION("VALUE(REGEXEXTRACT(A5960, ""\d+""))"),8740.0)</f>
        <v>8740</v>
      </c>
    </row>
    <row r="5961">
      <c r="A5961" s="9" t="s">
        <v>21431</v>
      </c>
      <c r="B5961" s="9" t="s">
        <v>21432</v>
      </c>
      <c r="G5961" s="9" t="s">
        <v>21433</v>
      </c>
      <c r="O5961" s="10">
        <f>IFERROR(__xludf.DUMMYFUNCTION("VALUE(REGEXEXTRACT(A5961, ""\d+""))"),8741.0)</f>
        <v>8741</v>
      </c>
    </row>
    <row r="5962">
      <c r="A5962" s="9" t="s">
        <v>21434</v>
      </c>
      <c r="B5962" s="9" t="s">
        <v>21435</v>
      </c>
      <c r="G5962" s="9" t="s">
        <v>21436</v>
      </c>
      <c r="O5962" s="10">
        <f>IFERROR(__xludf.DUMMYFUNCTION("VALUE(REGEXEXTRACT(A5962, ""\d+""))"),8742.0)</f>
        <v>8742</v>
      </c>
    </row>
    <row r="5963">
      <c r="A5963" s="9" t="s">
        <v>21437</v>
      </c>
      <c r="B5963" s="9" t="s">
        <v>21438</v>
      </c>
      <c r="G5963" s="9" t="s">
        <v>21439</v>
      </c>
      <c r="O5963" s="10">
        <f>IFERROR(__xludf.DUMMYFUNCTION("VALUE(REGEXEXTRACT(A5963, ""\d+""))"),8743.0)</f>
        <v>8743</v>
      </c>
    </row>
    <row r="5964">
      <c r="A5964" s="9" t="s">
        <v>21440</v>
      </c>
      <c r="B5964" s="9" t="s">
        <v>21441</v>
      </c>
      <c r="G5964" s="9" t="s">
        <v>21442</v>
      </c>
      <c r="O5964" s="10">
        <f>IFERROR(__xludf.DUMMYFUNCTION("VALUE(REGEXEXTRACT(A5964, ""\d+""))"),8744.0)</f>
        <v>8744</v>
      </c>
    </row>
    <row r="5965">
      <c r="A5965" s="9" t="s">
        <v>21443</v>
      </c>
      <c r="B5965" s="9" t="s">
        <v>21444</v>
      </c>
      <c r="G5965" s="9" t="s">
        <v>21445</v>
      </c>
      <c r="O5965" s="10">
        <f>IFERROR(__xludf.DUMMYFUNCTION("VALUE(REGEXEXTRACT(A5965, ""\d+""))"),8746.0)</f>
        <v>8746</v>
      </c>
    </row>
    <row r="5966">
      <c r="A5966" s="9" t="s">
        <v>21446</v>
      </c>
      <c r="B5966" s="9" t="s">
        <v>21447</v>
      </c>
      <c r="G5966" s="9" t="s">
        <v>21448</v>
      </c>
      <c r="O5966" s="10">
        <f>IFERROR(__xludf.DUMMYFUNCTION("VALUE(REGEXEXTRACT(A5966, ""\d+""))"),8747.0)</f>
        <v>8747</v>
      </c>
    </row>
    <row r="5967">
      <c r="A5967" s="9" t="s">
        <v>21449</v>
      </c>
      <c r="B5967" s="9" t="s">
        <v>21450</v>
      </c>
      <c r="G5967" s="9" t="s">
        <v>21451</v>
      </c>
      <c r="O5967" s="10">
        <f>IFERROR(__xludf.DUMMYFUNCTION("VALUE(REGEXEXTRACT(A5967, ""\d+""))"),8748.0)</f>
        <v>8748</v>
      </c>
    </row>
    <row r="5968">
      <c r="A5968" s="9" t="s">
        <v>21452</v>
      </c>
      <c r="B5968" s="9" t="s">
        <v>21453</v>
      </c>
      <c r="G5968" s="9" t="s">
        <v>21454</v>
      </c>
      <c r="O5968" s="10">
        <f>IFERROR(__xludf.DUMMYFUNCTION("VALUE(REGEXEXTRACT(A5968, ""\d+""))"),8750.0)</f>
        <v>8750</v>
      </c>
    </row>
    <row r="5969">
      <c r="A5969" s="9" t="s">
        <v>21455</v>
      </c>
      <c r="B5969" s="9" t="s">
        <v>21453</v>
      </c>
      <c r="G5969" s="9" t="s">
        <v>21454</v>
      </c>
      <c r="O5969" s="10">
        <f>IFERROR(__xludf.DUMMYFUNCTION("VALUE(REGEXEXTRACT(A5969, ""\d+""))"),8751.0)</f>
        <v>8751</v>
      </c>
    </row>
    <row r="5970">
      <c r="A5970" s="9" t="s">
        <v>21456</v>
      </c>
      <c r="B5970" s="9" t="s">
        <v>21457</v>
      </c>
      <c r="G5970" s="9" t="s">
        <v>21458</v>
      </c>
      <c r="O5970" s="10">
        <f>IFERROR(__xludf.DUMMYFUNCTION("VALUE(REGEXEXTRACT(A5970, ""\d+""))"),8752.0)</f>
        <v>8752</v>
      </c>
    </row>
    <row r="5971">
      <c r="A5971" s="9" t="s">
        <v>21459</v>
      </c>
      <c r="B5971" s="9" t="s">
        <v>21457</v>
      </c>
      <c r="G5971" s="9" t="s">
        <v>21458</v>
      </c>
      <c r="O5971" s="10">
        <f>IFERROR(__xludf.DUMMYFUNCTION("VALUE(REGEXEXTRACT(A5971, ""\d+""))"),8753.0)</f>
        <v>8753</v>
      </c>
    </row>
    <row r="5972">
      <c r="A5972" s="9" t="s">
        <v>21460</v>
      </c>
      <c r="B5972" s="9" t="s">
        <v>21461</v>
      </c>
      <c r="G5972" s="9" t="s">
        <v>21462</v>
      </c>
      <c r="O5972" s="10">
        <f>IFERROR(__xludf.DUMMYFUNCTION("VALUE(REGEXEXTRACT(A5972, ""\d+""))"),8754.0)</f>
        <v>8754</v>
      </c>
    </row>
    <row r="5973">
      <c r="A5973" s="9" t="s">
        <v>21463</v>
      </c>
      <c r="B5973" s="9" t="s">
        <v>21464</v>
      </c>
      <c r="G5973" s="9" t="s">
        <v>21465</v>
      </c>
      <c r="O5973" s="10">
        <f>IFERROR(__xludf.DUMMYFUNCTION("VALUE(REGEXEXTRACT(A5973, ""\d+""))"),8755.0)</f>
        <v>8755</v>
      </c>
    </row>
    <row r="5974">
      <c r="A5974" s="9" t="s">
        <v>21466</v>
      </c>
      <c r="B5974" s="9" t="s">
        <v>21467</v>
      </c>
      <c r="G5974" s="9" t="s">
        <v>21468</v>
      </c>
      <c r="O5974" s="10">
        <f>IFERROR(__xludf.DUMMYFUNCTION("VALUE(REGEXEXTRACT(A5974, ""\d+""))"),8756.0)</f>
        <v>8756</v>
      </c>
    </row>
    <row r="5975">
      <c r="A5975" s="9" t="s">
        <v>21469</v>
      </c>
      <c r="B5975" s="9" t="s">
        <v>21470</v>
      </c>
      <c r="G5975" s="9" t="s">
        <v>21471</v>
      </c>
      <c r="O5975" s="10">
        <f>IFERROR(__xludf.DUMMYFUNCTION("VALUE(REGEXEXTRACT(A5975, ""\d+""))"),8757.0)</f>
        <v>8757</v>
      </c>
    </row>
    <row r="5976">
      <c r="A5976" s="9" t="s">
        <v>21472</v>
      </c>
      <c r="B5976" s="9" t="s">
        <v>21473</v>
      </c>
      <c r="G5976" s="9" t="s">
        <v>21474</v>
      </c>
      <c r="O5976" s="10">
        <f>IFERROR(__xludf.DUMMYFUNCTION("VALUE(REGEXEXTRACT(A5976, ""\d+""))"),8758.0)</f>
        <v>8758</v>
      </c>
    </row>
    <row r="5977">
      <c r="A5977" s="9" t="s">
        <v>21475</v>
      </c>
      <c r="B5977" s="9" t="s">
        <v>21476</v>
      </c>
      <c r="G5977" s="9" t="s">
        <v>21477</v>
      </c>
      <c r="O5977" s="10">
        <f>IFERROR(__xludf.DUMMYFUNCTION("VALUE(REGEXEXTRACT(A5977, ""\d+""))"),8759.0)</f>
        <v>8759</v>
      </c>
    </row>
    <row r="5978">
      <c r="A5978" s="9" t="s">
        <v>21478</v>
      </c>
      <c r="B5978" s="9" t="s">
        <v>21479</v>
      </c>
      <c r="G5978" s="9" t="s">
        <v>21480</v>
      </c>
      <c r="O5978" s="10">
        <f>IFERROR(__xludf.DUMMYFUNCTION("VALUE(REGEXEXTRACT(A5978, ""\d+""))"),8760.0)</f>
        <v>8760</v>
      </c>
    </row>
    <row r="5979">
      <c r="A5979" s="9" t="s">
        <v>21481</v>
      </c>
      <c r="B5979" s="9" t="s">
        <v>21482</v>
      </c>
      <c r="G5979" s="9" t="s">
        <v>21483</v>
      </c>
      <c r="O5979" s="10">
        <f>IFERROR(__xludf.DUMMYFUNCTION("VALUE(REGEXEXTRACT(A5979, ""\d+""))"),8762.0)</f>
        <v>8762</v>
      </c>
    </row>
    <row r="5980">
      <c r="A5980" s="9" t="s">
        <v>21484</v>
      </c>
      <c r="B5980" s="9" t="s">
        <v>21485</v>
      </c>
      <c r="G5980" s="9" t="s">
        <v>21486</v>
      </c>
      <c r="O5980" s="10">
        <f>IFERROR(__xludf.DUMMYFUNCTION("VALUE(REGEXEXTRACT(A5980, ""\d+""))"),8763.0)</f>
        <v>8763</v>
      </c>
    </row>
    <row r="5981">
      <c r="A5981" s="9" t="s">
        <v>21487</v>
      </c>
      <c r="B5981" s="9" t="s">
        <v>21488</v>
      </c>
      <c r="G5981" s="9" t="s">
        <v>21480</v>
      </c>
      <c r="O5981" s="10">
        <f>IFERROR(__xludf.DUMMYFUNCTION("VALUE(REGEXEXTRACT(A5981, ""\d+""))"),8764.0)</f>
        <v>8764</v>
      </c>
    </row>
    <row r="5982">
      <c r="A5982" s="9" t="s">
        <v>21489</v>
      </c>
      <c r="B5982" s="9" t="s">
        <v>21490</v>
      </c>
      <c r="G5982" s="9" t="s">
        <v>21491</v>
      </c>
      <c r="O5982" s="10">
        <f>IFERROR(__xludf.DUMMYFUNCTION("VALUE(REGEXEXTRACT(A5982, ""\d+""))"),8765.0)</f>
        <v>8765</v>
      </c>
    </row>
    <row r="5983">
      <c r="A5983" s="9" t="s">
        <v>21492</v>
      </c>
      <c r="B5983" s="9" t="s">
        <v>21493</v>
      </c>
      <c r="G5983" s="9" t="s">
        <v>21494</v>
      </c>
      <c r="O5983" s="10">
        <f>IFERROR(__xludf.DUMMYFUNCTION("VALUE(REGEXEXTRACT(A5983, ""\d+""))"),8766.0)</f>
        <v>8766</v>
      </c>
    </row>
    <row r="5984">
      <c r="A5984" s="9" t="s">
        <v>21495</v>
      </c>
      <c r="B5984" s="9" t="s">
        <v>21496</v>
      </c>
      <c r="G5984" s="9" t="s">
        <v>21497</v>
      </c>
      <c r="O5984" s="10">
        <f>IFERROR(__xludf.DUMMYFUNCTION("VALUE(REGEXEXTRACT(A5984, ""\d+""))"),8767.0)</f>
        <v>8767</v>
      </c>
    </row>
    <row r="5985">
      <c r="A5985" s="9" t="s">
        <v>21498</v>
      </c>
      <c r="B5985" s="9" t="s">
        <v>21499</v>
      </c>
      <c r="G5985" s="9" t="s">
        <v>21500</v>
      </c>
      <c r="O5985" s="10">
        <f>IFERROR(__xludf.DUMMYFUNCTION("VALUE(REGEXEXTRACT(A5985, ""\d+""))"),8768.0)</f>
        <v>8768</v>
      </c>
    </row>
    <row r="5986">
      <c r="A5986" s="9" t="s">
        <v>21501</v>
      </c>
      <c r="B5986" s="9" t="s">
        <v>21502</v>
      </c>
      <c r="G5986" s="9" t="s">
        <v>21503</v>
      </c>
      <c r="O5986" s="10">
        <f>IFERROR(__xludf.DUMMYFUNCTION("VALUE(REGEXEXTRACT(A5986, ""\d+""))"),8769.0)</f>
        <v>8769</v>
      </c>
    </row>
    <row r="5987">
      <c r="A5987" s="9" t="s">
        <v>21504</v>
      </c>
      <c r="B5987" s="9" t="s">
        <v>21505</v>
      </c>
      <c r="G5987" s="9" t="s">
        <v>21506</v>
      </c>
      <c r="O5987" s="10">
        <f>IFERROR(__xludf.DUMMYFUNCTION("VALUE(REGEXEXTRACT(A5987, ""\d+""))"),8770.0)</f>
        <v>8770</v>
      </c>
    </row>
    <row r="5988">
      <c r="A5988" s="9" t="s">
        <v>21507</v>
      </c>
      <c r="B5988" s="9" t="s">
        <v>21508</v>
      </c>
      <c r="G5988" s="9" t="s">
        <v>21509</v>
      </c>
      <c r="O5988" s="10">
        <f>IFERROR(__xludf.DUMMYFUNCTION("VALUE(REGEXEXTRACT(A5988, ""\d+""))"),8771.0)</f>
        <v>8771</v>
      </c>
    </row>
    <row r="5989">
      <c r="A5989" s="9" t="s">
        <v>21510</v>
      </c>
      <c r="B5989" s="9" t="s">
        <v>21511</v>
      </c>
      <c r="G5989" s="9" t="s">
        <v>21512</v>
      </c>
      <c r="O5989" s="10">
        <f>IFERROR(__xludf.DUMMYFUNCTION("VALUE(REGEXEXTRACT(A5989, ""\d+""))"),8772.0)</f>
        <v>8772</v>
      </c>
    </row>
    <row r="5990">
      <c r="A5990" s="9" t="s">
        <v>21513</v>
      </c>
      <c r="B5990" s="9" t="s">
        <v>21514</v>
      </c>
      <c r="G5990" s="9" t="s">
        <v>21515</v>
      </c>
      <c r="O5990" s="10">
        <f>IFERROR(__xludf.DUMMYFUNCTION("VALUE(REGEXEXTRACT(A5990, ""\d+""))"),8773.0)</f>
        <v>8773</v>
      </c>
    </row>
    <row r="5991">
      <c r="A5991" s="9" t="s">
        <v>21516</v>
      </c>
      <c r="B5991" s="9" t="s">
        <v>21517</v>
      </c>
      <c r="G5991" s="9" t="s">
        <v>21518</v>
      </c>
      <c r="O5991" s="10">
        <f>IFERROR(__xludf.DUMMYFUNCTION("VALUE(REGEXEXTRACT(A5991, ""\d+""))"),8774.0)</f>
        <v>8774</v>
      </c>
    </row>
    <row r="5992">
      <c r="A5992" s="9" t="s">
        <v>21519</v>
      </c>
      <c r="B5992" s="9" t="s">
        <v>21520</v>
      </c>
      <c r="G5992" s="9" t="s">
        <v>21521</v>
      </c>
      <c r="O5992" s="10">
        <f>IFERROR(__xludf.DUMMYFUNCTION("VALUE(REGEXEXTRACT(A5992, ""\d+""))"),8775.0)</f>
        <v>8775</v>
      </c>
    </row>
    <row r="5993">
      <c r="A5993" s="9" t="s">
        <v>21522</v>
      </c>
      <c r="B5993" s="9" t="s">
        <v>21523</v>
      </c>
      <c r="G5993" s="9" t="s">
        <v>21524</v>
      </c>
      <c r="O5993" s="10">
        <f>IFERROR(__xludf.DUMMYFUNCTION("VALUE(REGEXEXTRACT(A5993, ""\d+""))"),8776.0)</f>
        <v>8776</v>
      </c>
    </row>
    <row r="5994">
      <c r="A5994" s="9" t="s">
        <v>21525</v>
      </c>
      <c r="B5994" s="9" t="s">
        <v>21526</v>
      </c>
      <c r="G5994" s="9" t="s">
        <v>21527</v>
      </c>
      <c r="O5994" s="10">
        <f>IFERROR(__xludf.DUMMYFUNCTION("VALUE(REGEXEXTRACT(A5994, ""\d+""))"),8777.0)</f>
        <v>8777</v>
      </c>
    </row>
    <row r="5995">
      <c r="A5995" s="9" t="s">
        <v>21528</v>
      </c>
      <c r="B5995" s="9" t="s">
        <v>21529</v>
      </c>
      <c r="G5995" s="9" t="s">
        <v>21530</v>
      </c>
      <c r="O5995" s="10">
        <f>IFERROR(__xludf.DUMMYFUNCTION("VALUE(REGEXEXTRACT(A5995, ""\d+""))"),8778.0)</f>
        <v>8778</v>
      </c>
    </row>
    <row r="5996">
      <c r="A5996" s="9" t="s">
        <v>21531</v>
      </c>
      <c r="B5996" s="9" t="s">
        <v>21532</v>
      </c>
      <c r="G5996" s="9" t="s">
        <v>21533</v>
      </c>
      <c r="O5996" s="10">
        <f>IFERROR(__xludf.DUMMYFUNCTION("VALUE(REGEXEXTRACT(A5996, ""\d+""))"),8779.0)</f>
        <v>8779</v>
      </c>
    </row>
    <row r="5997">
      <c r="A5997" s="9" t="s">
        <v>21534</v>
      </c>
      <c r="B5997" s="9" t="s">
        <v>21535</v>
      </c>
      <c r="G5997" s="9" t="s">
        <v>21536</v>
      </c>
      <c r="O5997" s="10">
        <f>IFERROR(__xludf.DUMMYFUNCTION("VALUE(REGEXEXTRACT(A5997, ""\d+""))"),8780.0)</f>
        <v>8780</v>
      </c>
    </row>
    <row r="5998">
      <c r="A5998" s="9" t="s">
        <v>21537</v>
      </c>
      <c r="B5998" s="9" t="s">
        <v>21538</v>
      </c>
      <c r="G5998" s="9" t="s">
        <v>21539</v>
      </c>
      <c r="O5998" s="10">
        <f>IFERROR(__xludf.DUMMYFUNCTION("VALUE(REGEXEXTRACT(A5998, ""\d+""))"),8781.0)</f>
        <v>8781</v>
      </c>
    </row>
    <row r="5999">
      <c r="A5999" s="9" t="s">
        <v>21540</v>
      </c>
      <c r="B5999" s="9" t="s">
        <v>17121</v>
      </c>
      <c r="G5999" s="9" t="s">
        <v>17122</v>
      </c>
      <c r="O5999" s="10">
        <f>IFERROR(__xludf.DUMMYFUNCTION("VALUE(REGEXEXTRACT(A5999, ""\d+""))"),8782.0)</f>
        <v>8782</v>
      </c>
    </row>
    <row r="6000">
      <c r="A6000" s="9" t="s">
        <v>21541</v>
      </c>
      <c r="B6000" s="9" t="s">
        <v>21542</v>
      </c>
      <c r="G6000" s="9" t="s">
        <v>21543</v>
      </c>
      <c r="O6000" s="10">
        <f>IFERROR(__xludf.DUMMYFUNCTION("VALUE(REGEXEXTRACT(A6000, ""\d+""))"),8783.0)</f>
        <v>8783</v>
      </c>
    </row>
    <row r="6001">
      <c r="A6001" s="9" t="s">
        <v>21544</v>
      </c>
      <c r="B6001" s="9" t="s">
        <v>21545</v>
      </c>
      <c r="G6001" s="9" t="s">
        <v>21546</v>
      </c>
      <c r="O6001" s="10">
        <f>IFERROR(__xludf.DUMMYFUNCTION("VALUE(REGEXEXTRACT(A6001, ""\d+""))"),8784.0)</f>
        <v>8784</v>
      </c>
    </row>
    <row r="6002">
      <c r="A6002" s="9" t="s">
        <v>21547</v>
      </c>
      <c r="B6002" s="9" t="s">
        <v>21548</v>
      </c>
      <c r="G6002" s="9" t="s">
        <v>21549</v>
      </c>
      <c r="O6002" s="10">
        <f>IFERROR(__xludf.DUMMYFUNCTION("VALUE(REGEXEXTRACT(A6002, ""\d+""))"),8785.0)</f>
        <v>8785</v>
      </c>
    </row>
    <row r="6003">
      <c r="A6003" s="9" t="s">
        <v>21550</v>
      </c>
      <c r="B6003" s="9" t="s">
        <v>21551</v>
      </c>
      <c r="G6003" s="9" t="s">
        <v>21552</v>
      </c>
      <c r="O6003" s="10">
        <f>IFERROR(__xludf.DUMMYFUNCTION("VALUE(REGEXEXTRACT(A6003, ""\d+""))"),8786.0)</f>
        <v>8786</v>
      </c>
    </row>
    <row r="6004">
      <c r="A6004" s="9" t="s">
        <v>21553</v>
      </c>
      <c r="B6004" s="9" t="s">
        <v>21554</v>
      </c>
      <c r="G6004" s="9" t="s">
        <v>21555</v>
      </c>
      <c r="O6004" s="10">
        <f>IFERROR(__xludf.DUMMYFUNCTION("VALUE(REGEXEXTRACT(A6004, ""\d+""))"),8787.0)</f>
        <v>8787</v>
      </c>
    </row>
    <row r="6005">
      <c r="A6005" s="9" t="s">
        <v>21556</v>
      </c>
      <c r="B6005" s="9" t="s">
        <v>21557</v>
      </c>
      <c r="G6005" s="9" t="s">
        <v>21558</v>
      </c>
      <c r="O6005" s="10">
        <f>IFERROR(__xludf.DUMMYFUNCTION("VALUE(REGEXEXTRACT(A6005, ""\d+""))"),8788.0)</f>
        <v>8788</v>
      </c>
    </row>
    <row r="6006">
      <c r="A6006" s="9" t="s">
        <v>21559</v>
      </c>
      <c r="B6006" s="9" t="s">
        <v>4183</v>
      </c>
      <c r="G6006" s="9" t="s">
        <v>4184</v>
      </c>
      <c r="O6006" s="10">
        <f>IFERROR(__xludf.DUMMYFUNCTION("VALUE(REGEXEXTRACT(A6006, ""\d+""))"),8789.0)</f>
        <v>8789</v>
      </c>
    </row>
    <row r="6007">
      <c r="A6007" s="9" t="s">
        <v>21560</v>
      </c>
      <c r="B6007" s="9" t="s">
        <v>4183</v>
      </c>
      <c r="G6007" s="9" t="s">
        <v>4184</v>
      </c>
      <c r="O6007" s="10">
        <f>IFERROR(__xludf.DUMMYFUNCTION("VALUE(REGEXEXTRACT(A6007, ""\d+""))"),8790.0)</f>
        <v>8790</v>
      </c>
    </row>
    <row r="6008">
      <c r="A6008" s="9" t="s">
        <v>21561</v>
      </c>
      <c r="B6008" s="9" t="s">
        <v>4183</v>
      </c>
      <c r="G6008" s="9" t="s">
        <v>4184</v>
      </c>
      <c r="O6008" s="10">
        <f>IFERROR(__xludf.DUMMYFUNCTION("VALUE(REGEXEXTRACT(A6008, ""\d+""))"),8791.0)</f>
        <v>8791</v>
      </c>
    </row>
    <row r="6009">
      <c r="A6009" s="9" t="s">
        <v>21562</v>
      </c>
      <c r="B6009" s="9" t="s">
        <v>21563</v>
      </c>
      <c r="G6009" s="9" t="s">
        <v>21564</v>
      </c>
      <c r="O6009" s="10">
        <f>IFERROR(__xludf.DUMMYFUNCTION("VALUE(REGEXEXTRACT(A6009, ""\d+""))"),8792.0)</f>
        <v>8792</v>
      </c>
    </row>
    <row r="6010">
      <c r="A6010" s="9" t="s">
        <v>21565</v>
      </c>
      <c r="B6010" s="9" t="s">
        <v>21566</v>
      </c>
      <c r="G6010" s="9" t="s">
        <v>21567</v>
      </c>
      <c r="O6010" s="10">
        <f>IFERROR(__xludf.DUMMYFUNCTION("VALUE(REGEXEXTRACT(A6010, ""\d+""))"),8793.0)</f>
        <v>8793</v>
      </c>
    </row>
    <row r="6011">
      <c r="A6011" s="9" t="s">
        <v>21568</v>
      </c>
      <c r="B6011" s="9" t="s">
        <v>21563</v>
      </c>
      <c r="G6011" s="9" t="s">
        <v>21564</v>
      </c>
      <c r="O6011" s="10">
        <f>IFERROR(__xludf.DUMMYFUNCTION("VALUE(REGEXEXTRACT(A6011, ""\d+""))"),8794.0)</f>
        <v>8794</v>
      </c>
    </row>
    <row r="6012">
      <c r="A6012" s="9" t="s">
        <v>21569</v>
      </c>
      <c r="B6012" s="9" t="s">
        <v>21570</v>
      </c>
      <c r="G6012" s="9" t="s">
        <v>21571</v>
      </c>
      <c r="O6012" s="10">
        <f>IFERROR(__xludf.DUMMYFUNCTION("VALUE(REGEXEXTRACT(A6012, ""\d+""))"),8795.0)</f>
        <v>8795</v>
      </c>
    </row>
    <row r="6013">
      <c r="A6013" s="9" t="s">
        <v>21572</v>
      </c>
      <c r="B6013" s="9" t="s">
        <v>21573</v>
      </c>
      <c r="G6013" s="9" t="s">
        <v>21574</v>
      </c>
      <c r="O6013" s="10">
        <f>IFERROR(__xludf.DUMMYFUNCTION("VALUE(REGEXEXTRACT(A6013, ""\d+""))"),8796.0)</f>
        <v>8796</v>
      </c>
    </row>
    <row r="6014">
      <c r="A6014" s="9" t="s">
        <v>21575</v>
      </c>
      <c r="B6014" s="9" t="s">
        <v>21576</v>
      </c>
      <c r="G6014" s="9" t="s">
        <v>21577</v>
      </c>
      <c r="O6014" s="10">
        <f>IFERROR(__xludf.DUMMYFUNCTION("VALUE(REGEXEXTRACT(A6014, ""\d+""))"),8797.0)</f>
        <v>8797</v>
      </c>
    </row>
    <row r="6015">
      <c r="A6015" s="9" t="s">
        <v>21578</v>
      </c>
      <c r="B6015" s="9" t="s">
        <v>21579</v>
      </c>
      <c r="G6015" s="9" t="s">
        <v>21580</v>
      </c>
      <c r="O6015" s="10">
        <f>IFERROR(__xludf.DUMMYFUNCTION("VALUE(REGEXEXTRACT(A6015, ""\d+""))"),8798.0)</f>
        <v>8798</v>
      </c>
    </row>
    <row r="6016">
      <c r="A6016" s="9" t="s">
        <v>21581</v>
      </c>
      <c r="B6016" s="9" t="s">
        <v>21582</v>
      </c>
      <c r="G6016" s="9" t="s">
        <v>21583</v>
      </c>
      <c r="O6016" s="10">
        <f>IFERROR(__xludf.DUMMYFUNCTION("VALUE(REGEXEXTRACT(A6016, ""\d+""))"),8799.0)</f>
        <v>8799</v>
      </c>
    </row>
    <row r="6017">
      <c r="A6017" s="9" t="s">
        <v>21584</v>
      </c>
      <c r="B6017" s="9" t="s">
        <v>21585</v>
      </c>
      <c r="G6017" s="9" t="s">
        <v>21586</v>
      </c>
      <c r="O6017" s="10">
        <f>IFERROR(__xludf.DUMMYFUNCTION("VALUE(REGEXEXTRACT(A6017, ""\d+""))"),8800.0)</f>
        <v>8800</v>
      </c>
    </row>
    <row r="6018">
      <c r="A6018" s="9" t="s">
        <v>21587</v>
      </c>
      <c r="B6018" s="9" t="s">
        <v>21588</v>
      </c>
      <c r="G6018" s="9" t="s">
        <v>21589</v>
      </c>
      <c r="O6018" s="10">
        <f>IFERROR(__xludf.DUMMYFUNCTION("VALUE(REGEXEXTRACT(A6018, ""\d+""))"),8801.0)</f>
        <v>8801</v>
      </c>
    </row>
    <row r="6019">
      <c r="A6019" s="9" t="s">
        <v>21590</v>
      </c>
      <c r="B6019" s="9" t="s">
        <v>21591</v>
      </c>
      <c r="G6019" s="9" t="s">
        <v>21592</v>
      </c>
      <c r="O6019" s="10">
        <f>IFERROR(__xludf.DUMMYFUNCTION("VALUE(REGEXEXTRACT(A6019, ""\d+""))"),8802.0)</f>
        <v>8802</v>
      </c>
    </row>
    <row r="6020">
      <c r="A6020" s="9" t="s">
        <v>21593</v>
      </c>
      <c r="B6020" s="9" t="s">
        <v>21594</v>
      </c>
      <c r="G6020" s="9" t="s">
        <v>21595</v>
      </c>
      <c r="O6020" s="10">
        <f>IFERROR(__xludf.DUMMYFUNCTION("VALUE(REGEXEXTRACT(A6020, ""\d+""))"),8803.0)</f>
        <v>8803</v>
      </c>
    </row>
    <row r="6021">
      <c r="A6021" s="9" t="s">
        <v>21596</v>
      </c>
      <c r="B6021" s="9" t="s">
        <v>21597</v>
      </c>
      <c r="G6021" s="9" t="s">
        <v>21598</v>
      </c>
      <c r="O6021" s="10">
        <f>IFERROR(__xludf.DUMMYFUNCTION("VALUE(REGEXEXTRACT(A6021, ""\d+""))"),8804.0)</f>
        <v>8804</v>
      </c>
    </row>
    <row r="6022">
      <c r="A6022" s="9" t="s">
        <v>21599</v>
      </c>
      <c r="B6022" s="9" t="s">
        <v>21600</v>
      </c>
      <c r="G6022" s="9" t="s">
        <v>21601</v>
      </c>
      <c r="O6022" s="10">
        <f>IFERROR(__xludf.DUMMYFUNCTION("VALUE(REGEXEXTRACT(A6022, ""\d+""))"),8805.0)</f>
        <v>8805</v>
      </c>
    </row>
    <row r="6023">
      <c r="A6023" s="9" t="s">
        <v>21602</v>
      </c>
      <c r="B6023" s="9" t="s">
        <v>21603</v>
      </c>
      <c r="G6023" s="9" t="s">
        <v>21604</v>
      </c>
      <c r="O6023" s="10">
        <f>IFERROR(__xludf.DUMMYFUNCTION("VALUE(REGEXEXTRACT(A6023, ""\d+""))"),8806.0)</f>
        <v>8806</v>
      </c>
    </row>
    <row r="6024">
      <c r="A6024" s="9" t="s">
        <v>21605</v>
      </c>
      <c r="B6024" s="9" t="s">
        <v>21606</v>
      </c>
      <c r="G6024" s="9" t="s">
        <v>21607</v>
      </c>
      <c r="O6024" s="10">
        <f>IFERROR(__xludf.DUMMYFUNCTION("VALUE(REGEXEXTRACT(A6024, ""\d+""))"),8807.0)</f>
        <v>8807</v>
      </c>
    </row>
    <row r="6025">
      <c r="A6025" s="9" t="s">
        <v>21608</v>
      </c>
      <c r="B6025" s="9" t="s">
        <v>21609</v>
      </c>
      <c r="G6025" s="9" t="s">
        <v>21610</v>
      </c>
      <c r="O6025" s="10">
        <f>IFERROR(__xludf.DUMMYFUNCTION("VALUE(REGEXEXTRACT(A6025, ""\d+""))"),8808.0)</f>
        <v>8808</v>
      </c>
    </row>
    <row r="6026">
      <c r="A6026" s="9" t="s">
        <v>21611</v>
      </c>
      <c r="B6026" s="9" t="s">
        <v>21612</v>
      </c>
      <c r="G6026" s="9" t="s">
        <v>21613</v>
      </c>
      <c r="O6026" s="10">
        <f>IFERROR(__xludf.DUMMYFUNCTION("VALUE(REGEXEXTRACT(A6026, ""\d+""))"),8809.0)</f>
        <v>8809</v>
      </c>
    </row>
    <row r="6027">
      <c r="A6027" s="9" t="s">
        <v>21614</v>
      </c>
      <c r="B6027" s="9" t="s">
        <v>21615</v>
      </c>
      <c r="G6027" s="9" t="s">
        <v>21616</v>
      </c>
      <c r="O6027" s="10">
        <f>IFERROR(__xludf.DUMMYFUNCTION("VALUE(REGEXEXTRACT(A6027, ""\d+""))"),8810.0)</f>
        <v>8810</v>
      </c>
    </row>
    <row r="6028">
      <c r="A6028" s="9" t="s">
        <v>21617</v>
      </c>
      <c r="B6028" s="9" t="s">
        <v>21618</v>
      </c>
      <c r="G6028" s="9" t="s">
        <v>21619</v>
      </c>
      <c r="O6028" s="10">
        <f>IFERROR(__xludf.DUMMYFUNCTION("VALUE(REGEXEXTRACT(A6028, ""\d+""))"),8811.0)</f>
        <v>8811</v>
      </c>
    </row>
    <row r="6029">
      <c r="A6029" s="9" t="s">
        <v>21620</v>
      </c>
      <c r="B6029" s="9" t="s">
        <v>21621</v>
      </c>
      <c r="G6029" s="9" t="s">
        <v>21622</v>
      </c>
      <c r="O6029" s="10">
        <f>IFERROR(__xludf.DUMMYFUNCTION("VALUE(REGEXEXTRACT(A6029, ""\d+""))"),8812.0)</f>
        <v>8812</v>
      </c>
    </row>
    <row r="6030">
      <c r="A6030" s="9" t="s">
        <v>21623</v>
      </c>
      <c r="B6030" s="9" t="s">
        <v>21624</v>
      </c>
      <c r="G6030" s="9" t="s">
        <v>21625</v>
      </c>
      <c r="O6030" s="10">
        <f>IFERROR(__xludf.DUMMYFUNCTION("VALUE(REGEXEXTRACT(A6030, ""\d+""))"),8813.0)</f>
        <v>8813</v>
      </c>
    </row>
    <row r="6031">
      <c r="A6031" s="9" t="s">
        <v>21626</v>
      </c>
      <c r="B6031" s="9" t="s">
        <v>21627</v>
      </c>
      <c r="G6031" s="9" t="s">
        <v>21628</v>
      </c>
      <c r="O6031" s="10">
        <f>IFERROR(__xludf.DUMMYFUNCTION("VALUE(REGEXEXTRACT(A6031, ""\d+""))"),8814.0)</f>
        <v>8814</v>
      </c>
    </row>
    <row r="6032">
      <c r="A6032" s="9" t="s">
        <v>21629</v>
      </c>
      <c r="B6032" s="9" t="s">
        <v>21630</v>
      </c>
      <c r="G6032" s="9" t="s">
        <v>21631</v>
      </c>
      <c r="O6032" s="10">
        <f>IFERROR(__xludf.DUMMYFUNCTION("VALUE(REGEXEXTRACT(A6032, ""\d+""))"),8815.0)</f>
        <v>8815</v>
      </c>
    </row>
    <row r="6033">
      <c r="A6033" s="9" t="s">
        <v>21632</v>
      </c>
      <c r="B6033" s="9" t="s">
        <v>21633</v>
      </c>
      <c r="G6033" s="9" t="s">
        <v>21634</v>
      </c>
      <c r="O6033" s="10">
        <f>IFERROR(__xludf.DUMMYFUNCTION("VALUE(REGEXEXTRACT(A6033, ""\d+""))"),8816.0)</f>
        <v>8816</v>
      </c>
    </row>
    <row r="6034">
      <c r="A6034" s="9" t="s">
        <v>21635</v>
      </c>
      <c r="B6034" s="9" t="s">
        <v>21636</v>
      </c>
      <c r="G6034" s="9" t="s">
        <v>21637</v>
      </c>
      <c r="O6034" s="10">
        <f>IFERROR(__xludf.DUMMYFUNCTION("VALUE(REGEXEXTRACT(A6034, ""\d+""))"),8817.0)</f>
        <v>8817</v>
      </c>
    </row>
    <row r="6035">
      <c r="A6035" s="9" t="s">
        <v>21638</v>
      </c>
      <c r="B6035" s="9" t="s">
        <v>21639</v>
      </c>
      <c r="G6035" s="9" t="s">
        <v>21640</v>
      </c>
      <c r="O6035" s="10">
        <f>IFERROR(__xludf.DUMMYFUNCTION("VALUE(REGEXEXTRACT(A6035, ""\d+""))"),8818.0)</f>
        <v>8818</v>
      </c>
    </row>
    <row r="6036">
      <c r="A6036" s="9" t="s">
        <v>21641</v>
      </c>
      <c r="B6036" s="9" t="s">
        <v>21642</v>
      </c>
      <c r="G6036" s="9" t="s">
        <v>21643</v>
      </c>
      <c r="O6036" s="10">
        <f>IFERROR(__xludf.DUMMYFUNCTION("VALUE(REGEXEXTRACT(A6036, ""\d+""))"),8819.0)</f>
        <v>8819</v>
      </c>
    </row>
    <row r="6037">
      <c r="A6037" s="9" t="s">
        <v>21644</v>
      </c>
      <c r="B6037" s="9" t="s">
        <v>21645</v>
      </c>
      <c r="G6037" s="9" t="s">
        <v>21646</v>
      </c>
      <c r="O6037" s="10">
        <f>IFERROR(__xludf.DUMMYFUNCTION("VALUE(REGEXEXTRACT(A6037, ""\d+""))"),8820.0)</f>
        <v>8820</v>
      </c>
    </row>
    <row r="6038">
      <c r="A6038" s="9" t="s">
        <v>21647</v>
      </c>
      <c r="B6038" s="9" t="s">
        <v>21645</v>
      </c>
      <c r="G6038" s="9" t="s">
        <v>21646</v>
      </c>
      <c r="O6038" s="10">
        <f>IFERROR(__xludf.DUMMYFUNCTION("VALUE(REGEXEXTRACT(A6038, ""\d+""))"),8821.0)</f>
        <v>8821</v>
      </c>
    </row>
    <row r="6039">
      <c r="A6039" s="9" t="s">
        <v>21648</v>
      </c>
      <c r="B6039" s="9" t="s">
        <v>21649</v>
      </c>
      <c r="G6039" s="9" t="s">
        <v>21650</v>
      </c>
      <c r="O6039" s="10">
        <f>IFERROR(__xludf.DUMMYFUNCTION("VALUE(REGEXEXTRACT(A6039, ""\d+""))"),8822.0)</f>
        <v>8822</v>
      </c>
    </row>
    <row r="6040">
      <c r="A6040" s="9" t="s">
        <v>21651</v>
      </c>
      <c r="B6040" s="9" t="s">
        <v>21652</v>
      </c>
      <c r="G6040" s="9" t="s">
        <v>21653</v>
      </c>
      <c r="O6040" s="10">
        <f>IFERROR(__xludf.DUMMYFUNCTION("VALUE(REGEXEXTRACT(A6040, ""\d+""))"),8823.0)</f>
        <v>8823</v>
      </c>
    </row>
    <row r="6041">
      <c r="A6041" s="9" t="s">
        <v>21654</v>
      </c>
      <c r="B6041" s="9" t="s">
        <v>21655</v>
      </c>
      <c r="G6041" s="9" t="s">
        <v>21656</v>
      </c>
      <c r="O6041" s="10">
        <f>IFERROR(__xludf.DUMMYFUNCTION("VALUE(REGEXEXTRACT(A6041, ""\d+""))"),8824.0)</f>
        <v>8824</v>
      </c>
    </row>
    <row r="6042">
      <c r="A6042" s="9" t="s">
        <v>21657</v>
      </c>
      <c r="B6042" s="9" t="s">
        <v>21658</v>
      </c>
      <c r="G6042" s="9" t="s">
        <v>21659</v>
      </c>
      <c r="O6042" s="10">
        <f>IFERROR(__xludf.DUMMYFUNCTION("VALUE(REGEXEXTRACT(A6042, ""\d+""))"),8825.0)</f>
        <v>8825</v>
      </c>
    </row>
    <row r="6043">
      <c r="A6043" s="9" t="s">
        <v>21660</v>
      </c>
      <c r="B6043" s="9" t="s">
        <v>21661</v>
      </c>
      <c r="G6043" s="9" t="s">
        <v>21662</v>
      </c>
      <c r="O6043" s="10">
        <f>IFERROR(__xludf.DUMMYFUNCTION("VALUE(REGEXEXTRACT(A6043, ""\d+""))"),8826.0)</f>
        <v>8826</v>
      </c>
    </row>
    <row r="6044">
      <c r="A6044" s="9" t="s">
        <v>21663</v>
      </c>
      <c r="B6044" s="9" t="s">
        <v>21664</v>
      </c>
      <c r="G6044" s="9" t="s">
        <v>21665</v>
      </c>
      <c r="O6044" s="10">
        <f>IFERROR(__xludf.DUMMYFUNCTION("VALUE(REGEXEXTRACT(A6044, ""\d+""))"),8827.0)</f>
        <v>8827</v>
      </c>
    </row>
    <row r="6045">
      <c r="A6045" s="9" t="s">
        <v>21666</v>
      </c>
      <c r="B6045" s="9" t="s">
        <v>21667</v>
      </c>
      <c r="G6045" s="9" t="s">
        <v>21668</v>
      </c>
      <c r="O6045" s="10">
        <f>IFERROR(__xludf.DUMMYFUNCTION("VALUE(REGEXEXTRACT(A6045, ""\d+""))"),8828.0)</f>
        <v>8828</v>
      </c>
    </row>
    <row r="6046">
      <c r="A6046" s="9" t="s">
        <v>21669</v>
      </c>
      <c r="B6046" s="9" t="s">
        <v>21670</v>
      </c>
      <c r="G6046" s="9" t="s">
        <v>21671</v>
      </c>
      <c r="O6046" s="10">
        <f>IFERROR(__xludf.DUMMYFUNCTION("VALUE(REGEXEXTRACT(A6046, ""\d+""))"),8829.0)</f>
        <v>8829</v>
      </c>
    </row>
    <row r="6047">
      <c r="A6047" s="9" t="s">
        <v>21672</v>
      </c>
      <c r="B6047" s="9" t="s">
        <v>21673</v>
      </c>
      <c r="G6047" s="9" t="s">
        <v>21674</v>
      </c>
      <c r="O6047" s="10">
        <f>IFERROR(__xludf.DUMMYFUNCTION("VALUE(REGEXEXTRACT(A6047, ""\d+""))"),8830.0)</f>
        <v>8830</v>
      </c>
    </row>
    <row r="6048">
      <c r="A6048" s="9" t="s">
        <v>21675</v>
      </c>
      <c r="B6048" s="9" t="s">
        <v>21676</v>
      </c>
      <c r="G6048" s="9" t="s">
        <v>21677</v>
      </c>
      <c r="O6048" s="10">
        <f>IFERROR(__xludf.DUMMYFUNCTION("VALUE(REGEXEXTRACT(A6048, ""\d+""))"),8831.0)</f>
        <v>8831</v>
      </c>
    </row>
    <row r="6049">
      <c r="A6049" s="9" t="s">
        <v>21678</v>
      </c>
      <c r="B6049" s="9" t="s">
        <v>21673</v>
      </c>
      <c r="G6049" s="9" t="s">
        <v>21674</v>
      </c>
      <c r="O6049" s="10">
        <f>IFERROR(__xludf.DUMMYFUNCTION("VALUE(REGEXEXTRACT(A6049, ""\d+""))"),8832.0)</f>
        <v>8832</v>
      </c>
    </row>
    <row r="6050">
      <c r="A6050" s="9" t="s">
        <v>21679</v>
      </c>
      <c r="B6050" s="9" t="s">
        <v>21676</v>
      </c>
      <c r="G6050" s="9" t="s">
        <v>21677</v>
      </c>
      <c r="O6050" s="10">
        <f>IFERROR(__xludf.DUMMYFUNCTION("VALUE(REGEXEXTRACT(A6050, ""\d+""))"),8833.0)</f>
        <v>8833</v>
      </c>
    </row>
    <row r="6051">
      <c r="A6051" s="9" t="s">
        <v>21680</v>
      </c>
      <c r="B6051" s="9" t="s">
        <v>21681</v>
      </c>
      <c r="G6051" s="9" t="s">
        <v>21682</v>
      </c>
      <c r="O6051" s="10">
        <f>IFERROR(__xludf.DUMMYFUNCTION("VALUE(REGEXEXTRACT(A6051, ""\d+""))"),8834.0)</f>
        <v>8834</v>
      </c>
    </row>
    <row r="6052">
      <c r="A6052" s="9" t="s">
        <v>21683</v>
      </c>
      <c r="B6052" s="9" t="s">
        <v>21684</v>
      </c>
      <c r="G6052" s="9" t="s">
        <v>21685</v>
      </c>
      <c r="O6052" s="10">
        <f>IFERROR(__xludf.DUMMYFUNCTION("VALUE(REGEXEXTRACT(A6052, ""\d+""))"),8835.0)</f>
        <v>8835</v>
      </c>
    </row>
    <row r="6053">
      <c r="A6053" s="9" t="s">
        <v>21686</v>
      </c>
      <c r="B6053" s="9" t="s">
        <v>21687</v>
      </c>
      <c r="G6053" s="9" t="s">
        <v>21688</v>
      </c>
      <c r="O6053" s="10">
        <f>IFERROR(__xludf.DUMMYFUNCTION("VALUE(REGEXEXTRACT(A6053, ""\d+""))"),8836.0)</f>
        <v>8836</v>
      </c>
    </row>
    <row r="6054">
      <c r="A6054" s="9" t="s">
        <v>21689</v>
      </c>
      <c r="B6054" s="9" t="s">
        <v>21690</v>
      </c>
      <c r="G6054" s="9" t="s">
        <v>21691</v>
      </c>
      <c r="O6054" s="10">
        <f>IFERROR(__xludf.DUMMYFUNCTION("VALUE(REGEXEXTRACT(A6054, ""\d+""))"),8837.0)</f>
        <v>8837</v>
      </c>
    </row>
    <row r="6055">
      <c r="A6055" s="9" t="s">
        <v>21692</v>
      </c>
      <c r="B6055" s="9" t="s">
        <v>21693</v>
      </c>
      <c r="G6055" s="9" t="s">
        <v>21694</v>
      </c>
      <c r="O6055" s="10">
        <f>IFERROR(__xludf.DUMMYFUNCTION("VALUE(REGEXEXTRACT(A6055, ""\d+""))"),8838.0)</f>
        <v>8838</v>
      </c>
    </row>
    <row r="6056">
      <c r="A6056" s="9" t="s">
        <v>21695</v>
      </c>
      <c r="B6056" s="9" t="s">
        <v>21696</v>
      </c>
      <c r="G6056" s="9" t="s">
        <v>21697</v>
      </c>
      <c r="O6056" s="10">
        <f>IFERROR(__xludf.DUMMYFUNCTION("VALUE(REGEXEXTRACT(A6056, ""\d+""))"),8839.0)</f>
        <v>8839</v>
      </c>
    </row>
    <row r="6057">
      <c r="A6057" s="9" t="s">
        <v>21698</v>
      </c>
      <c r="B6057" s="9" t="s">
        <v>21699</v>
      </c>
      <c r="G6057" s="9" t="s">
        <v>21697</v>
      </c>
      <c r="O6057" s="10">
        <f>IFERROR(__xludf.DUMMYFUNCTION("VALUE(REGEXEXTRACT(A6057, ""\d+""))"),8840.0)</f>
        <v>8840</v>
      </c>
    </row>
    <row r="6058">
      <c r="A6058" s="9" t="s">
        <v>21700</v>
      </c>
      <c r="B6058" s="9" t="s">
        <v>21701</v>
      </c>
      <c r="G6058" s="9" t="s">
        <v>21702</v>
      </c>
      <c r="O6058" s="10">
        <f>IFERROR(__xludf.DUMMYFUNCTION("VALUE(REGEXEXTRACT(A6058, ""\d+""))"),8841.0)</f>
        <v>8841</v>
      </c>
    </row>
    <row r="6059">
      <c r="A6059" s="9" t="s">
        <v>21703</v>
      </c>
      <c r="B6059" s="9" t="s">
        <v>21704</v>
      </c>
      <c r="G6059" s="9" t="s">
        <v>21705</v>
      </c>
      <c r="O6059" s="10">
        <f>IFERROR(__xludf.DUMMYFUNCTION("VALUE(REGEXEXTRACT(A6059, ""\d+""))"),8842.0)</f>
        <v>8842</v>
      </c>
    </row>
    <row r="6060">
      <c r="A6060" s="9" t="s">
        <v>21706</v>
      </c>
      <c r="B6060" s="9" t="s">
        <v>21707</v>
      </c>
      <c r="G6060" s="9" t="s">
        <v>21708</v>
      </c>
      <c r="O6060" s="10">
        <f>IFERROR(__xludf.DUMMYFUNCTION("VALUE(REGEXEXTRACT(A6060, ""\d+""))"),8843.0)</f>
        <v>8843</v>
      </c>
    </row>
    <row r="6061">
      <c r="A6061" s="9" t="s">
        <v>21709</v>
      </c>
      <c r="B6061" s="9" t="s">
        <v>21710</v>
      </c>
      <c r="G6061" s="9" t="s">
        <v>2799</v>
      </c>
      <c r="O6061" s="10">
        <f>IFERROR(__xludf.DUMMYFUNCTION("VALUE(REGEXEXTRACT(A6061, ""\d+""))"),8844.0)</f>
        <v>8844</v>
      </c>
    </row>
    <row r="6062">
      <c r="A6062" s="9" t="s">
        <v>21711</v>
      </c>
      <c r="B6062" s="9" t="s">
        <v>21710</v>
      </c>
      <c r="G6062" s="9" t="s">
        <v>2799</v>
      </c>
      <c r="O6062" s="10">
        <f>IFERROR(__xludf.DUMMYFUNCTION("VALUE(REGEXEXTRACT(A6062, ""\d+""))"),8845.0)</f>
        <v>8845</v>
      </c>
    </row>
    <row r="6063">
      <c r="A6063" s="9" t="s">
        <v>21712</v>
      </c>
      <c r="B6063" s="9" t="s">
        <v>21713</v>
      </c>
      <c r="G6063" s="9" t="s">
        <v>21714</v>
      </c>
      <c r="O6063" s="10">
        <f>IFERROR(__xludf.DUMMYFUNCTION("VALUE(REGEXEXTRACT(A6063, ""\d+""))"),8846.0)</f>
        <v>8846</v>
      </c>
    </row>
    <row r="6064">
      <c r="A6064" s="9" t="s">
        <v>21715</v>
      </c>
      <c r="B6064" s="9" t="s">
        <v>21716</v>
      </c>
      <c r="G6064" s="9" t="s">
        <v>21717</v>
      </c>
      <c r="O6064" s="10">
        <f>IFERROR(__xludf.DUMMYFUNCTION("VALUE(REGEXEXTRACT(A6064, ""\d+""))"),8848.0)</f>
        <v>8848</v>
      </c>
    </row>
    <row r="6065">
      <c r="A6065" s="9" t="s">
        <v>21718</v>
      </c>
      <c r="B6065" s="9" t="s">
        <v>21719</v>
      </c>
      <c r="G6065" s="9" t="s">
        <v>21720</v>
      </c>
      <c r="O6065" s="10">
        <f>IFERROR(__xludf.DUMMYFUNCTION("VALUE(REGEXEXTRACT(A6065, ""\d+""))"),8850.0)</f>
        <v>8850</v>
      </c>
    </row>
    <row r="6066">
      <c r="A6066" s="9" t="s">
        <v>21721</v>
      </c>
      <c r="B6066" s="9" t="s">
        <v>21722</v>
      </c>
      <c r="G6066" s="9" t="s">
        <v>21723</v>
      </c>
      <c r="O6066" s="10">
        <f>IFERROR(__xludf.DUMMYFUNCTION("VALUE(REGEXEXTRACT(A6066, ""\d+""))"),8851.0)</f>
        <v>8851</v>
      </c>
    </row>
    <row r="6067">
      <c r="A6067" s="9" t="s">
        <v>21724</v>
      </c>
      <c r="B6067" s="9" t="s">
        <v>21725</v>
      </c>
      <c r="G6067" s="9" t="s">
        <v>21726</v>
      </c>
      <c r="O6067" s="10">
        <f>IFERROR(__xludf.DUMMYFUNCTION("VALUE(REGEXEXTRACT(A6067, ""\d+""))"),8852.0)</f>
        <v>8852</v>
      </c>
    </row>
    <row r="6068">
      <c r="A6068" s="9" t="s">
        <v>21727</v>
      </c>
      <c r="B6068" s="9" t="s">
        <v>21728</v>
      </c>
      <c r="G6068" s="9" t="s">
        <v>21729</v>
      </c>
      <c r="O6068" s="10">
        <f>IFERROR(__xludf.DUMMYFUNCTION("VALUE(REGEXEXTRACT(A6068, ""\d+""))"),8853.0)</f>
        <v>8853</v>
      </c>
    </row>
    <row r="6069">
      <c r="A6069" s="9" t="s">
        <v>21730</v>
      </c>
      <c r="B6069" s="9" t="s">
        <v>21731</v>
      </c>
      <c r="G6069" s="9" t="s">
        <v>21732</v>
      </c>
      <c r="O6069" s="10">
        <f>IFERROR(__xludf.DUMMYFUNCTION("VALUE(REGEXEXTRACT(A6069, ""\d+""))"),8854.0)</f>
        <v>8854</v>
      </c>
    </row>
    <row r="6070">
      <c r="A6070" s="9" t="s">
        <v>21733</v>
      </c>
      <c r="B6070" s="9" t="s">
        <v>21734</v>
      </c>
      <c r="G6070" s="9" t="s">
        <v>21735</v>
      </c>
      <c r="O6070" s="10">
        <f>IFERROR(__xludf.DUMMYFUNCTION("VALUE(REGEXEXTRACT(A6070, ""\d+""))"),8855.0)</f>
        <v>8855</v>
      </c>
    </row>
    <row r="6071">
      <c r="A6071" s="9" t="s">
        <v>21736</v>
      </c>
      <c r="B6071" s="9" t="s">
        <v>21737</v>
      </c>
      <c r="G6071" s="9" t="s">
        <v>21738</v>
      </c>
      <c r="O6071" s="10">
        <f>IFERROR(__xludf.DUMMYFUNCTION("VALUE(REGEXEXTRACT(A6071, ""\d+""))"),8856.0)</f>
        <v>8856</v>
      </c>
    </row>
    <row r="6072">
      <c r="A6072" s="9" t="s">
        <v>21739</v>
      </c>
      <c r="B6072" s="9" t="s">
        <v>21740</v>
      </c>
      <c r="G6072" s="9" t="s">
        <v>21741</v>
      </c>
      <c r="O6072" s="10">
        <f>IFERROR(__xludf.DUMMYFUNCTION("VALUE(REGEXEXTRACT(A6072, ""\d+""))"),8857.0)</f>
        <v>8857</v>
      </c>
    </row>
    <row r="6073">
      <c r="A6073" s="9" t="s">
        <v>21742</v>
      </c>
      <c r="B6073" s="9" t="s">
        <v>21743</v>
      </c>
      <c r="G6073" s="9" t="s">
        <v>21744</v>
      </c>
      <c r="O6073" s="10">
        <f>IFERROR(__xludf.DUMMYFUNCTION("VALUE(REGEXEXTRACT(A6073, ""\d+""))"),8858.0)</f>
        <v>8858</v>
      </c>
    </row>
    <row r="6074">
      <c r="A6074" s="9" t="s">
        <v>21745</v>
      </c>
      <c r="B6074" s="9" t="s">
        <v>21743</v>
      </c>
      <c r="G6074" s="9" t="s">
        <v>21744</v>
      </c>
      <c r="O6074" s="10">
        <f>IFERROR(__xludf.DUMMYFUNCTION("VALUE(REGEXEXTRACT(A6074, ""\d+""))"),8859.0)</f>
        <v>8859</v>
      </c>
    </row>
    <row r="6075">
      <c r="A6075" s="9" t="s">
        <v>21746</v>
      </c>
      <c r="B6075" s="9" t="s">
        <v>21743</v>
      </c>
      <c r="G6075" s="9" t="s">
        <v>21744</v>
      </c>
      <c r="O6075" s="10">
        <f>IFERROR(__xludf.DUMMYFUNCTION("VALUE(REGEXEXTRACT(A6075, ""\d+""))"),8860.0)</f>
        <v>8860</v>
      </c>
    </row>
    <row r="6076">
      <c r="A6076" s="9" t="s">
        <v>21747</v>
      </c>
      <c r="B6076" s="9" t="s">
        <v>21743</v>
      </c>
      <c r="G6076" s="9" t="s">
        <v>21744</v>
      </c>
      <c r="O6076" s="10">
        <f>IFERROR(__xludf.DUMMYFUNCTION("VALUE(REGEXEXTRACT(A6076, ""\d+""))"),8861.0)</f>
        <v>8861</v>
      </c>
    </row>
    <row r="6077">
      <c r="A6077" s="9" t="s">
        <v>21748</v>
      </c>
      <c r="B6077" s="9" t="s">
        <v>21749</v>
      </c>
      <c r="G6077" s="9" t="s">
        <v>21750</v>
      </c>
      <c r="O6077" s="10">
        <f>IFERROR(__xludf.DUMMYFUNCTION("VALUE(REGEXEXTRACT(A6077, ""\d+""))"),8862.0)</f>
        <v>8862</v>
      </c>
    </row>
    <row r="6078">
      <c r="A6078" s="9" t="s">
        <v>21751</v>
      </c>
      <c r="B6078" s="9" t="s">
        <v>21752</v>
      </c>
      <c r="G6078" s="9" t="s">
        <v>21753</v>
      </c>
      <c r="O6078" s="10">
        <f>IFERROR(__xludf.DUMMYFUNCTION("VALUE(REGEXEXTRACT(A6078, ""\d+""))"),8863.0)</f>
        <v>8863</v>
      </c>
    </row>
    <row r="6079">
      <c r="A6079" s="9" t="s">
        <v>21754</v>
      </c>
      <c r="B6079" s="9" t="s">
        <v>21755</v>
      </c>
      <c r="G6079" s="9" t="s">
        <v>21756</v>
      </c>
      <c r="O6079" s="10">
        <f>IFERROR(__xludf.DUMMYFUNCTION("VALUE(REGEXEXTRACT(A6079, ""\d+""))"),8864.0)</f>
        <v>8864</v>
      </c>
    </row>
    <row r="6080">
      <c r="A6080" s="9" t="s">
        <v>21757</v>
      </c>
      <c r="B6080" s="9" t="s">
        <v>21758</v>
      </c>
      <c r="G6080" s="9" t="s">
        <v>21759</v>
      </c>
      <c r="O6080" s="10">
        <f>IFERROR(__xludf.DUMMYFUNCTION("VALUE(REGEXEXTRACT(A6080, ""\d+""))"),8865.0)</f>
        <v>8865</v>
      </c>
    </row>
    <row r="6081">
      <c r="A6081" s="9" t="s">
        <v>21760</v>
      </c>
      <c r="B6081" s="9" t="s">
        <v>21761</v>
      </c>
      <c r="G6081" s="9" t="s">
        <v>21762</v>
      </c>
      <c r="O6081" s="10">
        <f>IFERROR(__xludf.DUMMYFUNCTION("VALUE(REGEXEXTRACT(A6081, ""\d+""))"),8866.0)</f>
        <v>8866</v>
      </c>
    </row>
    <row r="6082">
      <c r="A6082" s="9" t="s">
        <v>21763</v>
      </c>
      <c r="B6082" s="9" t="s">
        <v>21764</v>
      </c>
      <c r="G6082" s="9" t="s">
        <v>21765</v>
      </c>
      <c r="O6082" s="10">
        <f>IFERROR(__xludf.DUMMYFUNCTION("VALUE(REGEXEXTRACT(A6082, ""\d+""))"),8867.0)</f>
        <v>8867</v>
      </c>
    </row>
    <row r="6083">
      <c r="A6083" s="9" t="s">
        <v>21766</v>
      </c>
      <c r="B6083" s="9" t="s">
        <v>21767</v>
      </c>
      <c r="G6083" s="9" t="s">
        <v>21768</v>
      </c>
      <c r="O6083" s="10">
        <f>IFERROR(__xludf.DUMMYFUNCTION("VALUE(REGEXEXTRACT(A6083, ""\d+""))"),8868.0)</f>
        <v>8868</v>
      </c>
    </row>
    <row r="6084">
      <c r="A6084" s="9" t="s">
        <v>21769</v>
      </c>
      <c r="B6084" s="9" t="s">
        <v>21770</v>
      </c>
      <c r="G6084" s="9" t="s">
        <v>21771</v>
      </c>
      <c r="O6084" s="10">
        <f>IFERROR(__xludf.DUMMYFUNCTION("VALUE(REGEXEXTRACT(A6084, ""\d+""))"),8869.0)</f>
        <v>8869</v>
      </c>
    </row>
    <row r="6085">
      <c r="A6085" s="9" t="s">
        <v>21772</v>
      </c>
      <c r="B6085" s="9" t="s">
        <v>21773</v>
      </c>
      <c r="G6085" s="9" t="s">
        <v>21774</v>
      </c>
      <c r="O6085" s="10">
        <f>IFERROR(__xludf.DUMMYFUNCTION("VALUE(REGEXEXTRACT(A6085, ""\d+""))"),8870.0)</f>
        <v>8870</v>
      </c>
    </row>
    <row r="6086">
      <c r="A6086" s="9" t="s">
        <v>21775</v>
      </c>
      <c r="B6086" s="9" t="s">
        <v>21776</v>
      </c>
      <c r="G6086" s="9" t="s">
        <v>21777</v>
      </c>
      <c r="O6086" s="10">
        <f>IFERROR(__xludf.DUMMYFUNCTION("VALUE(REGEXEXTRACT(A6086, ""\d+""))"),8871.0)</f>
        <v>8871</v>
      </c>
    </row>
    <row r="6087">
      <c r="A6087" s="9" t="s">
        <v>21778</v>
      </c>
      <c r="B6087" s="9" t="s">
        <v>21776</v>
      </c>
      <c r="G6087" s="9" t="s">
        <v>21777</v>
      </c>
      <c r="O6087" s="10">
        <f>IFERROR(__xludf.DUMMYFUNCTION("VALUE(REGEXEXTRACT(A6087, ""\d+""))"),8872.0)</f>
        <v>8872</v>
      </c>
    </row>
    <row r="6088">
      <c r="A6088" s="9" t="s">
        <v>21779</v>
      </c>
      <c r="B6088" s="9" t="s">
        <v>21780</v>
      </c>
      <c r="G6088" s="9" t="s">
        <v>21781</v>
      </c>
      <c r="O6088" s="10">
        <f>IFERROR(__xludf.DUMMYFUNCTION("VALUE(REGEXEXTRACT(A6088, ""\d+""))"),8873.0)</f>
        <v>8873</v>
      </c>
    </row>
    <row r="6089">
      <c r="A6089" s="9" t="s">
        <v>21782</v>
      </c>
      <c r="B6089" s="9" t="s">
        <v>21780</v>
      </c>
      <c r="G6089" s="9" t="s">
        <v>21781</v>
      </c>
      <c r="O6089" s="10">
        <f>IFERROR(__xludf.DUMMYFUNCTION("VALUE(REGEXEXTRACT(A6089, ""\d+""))"),8874.0)</f>
        <v>8874</v>
      </c>
    </row>
    <row r="6090">
      <c r="A6090" s="9" t="s">
        <v>21783</v>
      </c>
      <c r="B6090" s="9" t="s">
        <v>21780</v>
      </c>
      <c r="G6090" s="9" t="s">
        <v>21781</v>
      </c>
      <c r="O6090" s="10">
        <f>IFERROR(__xludf.DUMMYFUNCTION("VALUE(REGEXEXTRACT(A6090, ""\d+""))"),8875.0)</f>
        <v>8875</v>
      </c>
    </row>
    <row r="6091">
      <c r="A6091" s="9" t="s">
        <v>21784</v>
      </c>
      <c r="B6091" s="9" t="s">
        <v>21780</v>
      </c>
      <c r="G6091" s="9" t="s">
        <v>21781</v>
      </c>
      <c r="O6091" s="10">
        <f>IFERROR(__xludf.DUMMYFUNCTION("VALUE(REGEXEXTRACT(A6091, ""\d+""))"),8876.0)</f>
        <v>8876</v>
      </c>
    </row>
    <row r="6092">
      <c r="A6092" s="9" t="s">
        <v>21785</v>
      </c>
      <c r="B6092" s="9" t="s">
        <v>21786</v>
      </c>
      <c r="G6092" s="9" t="s">
        <v>21787</v>
      </c>
      <c r="O6092" s="10">
        <f>IFERROR(__xludf.DUMMYFUNCTION("VALUE(REGEXEXTRACT(A6092, ""\d+""))"),8877.0)</f>
        <v>8877</v>
      </c>
    </row>
    <row r="6093">
      <c r="A6093" s="9" t="s">
        <v>21788</v>
      </c>
      <c r="B6093" s="9" t="s">
        <v>21789</v>
      </c>
      <c r="G6093" s="9" t="s">
        <v>21790</v>
      </c>
      <c r="O6093" s="10">
        <f>IFERROR(__xludf.DUMMYFUNCTION("VALUE(REGEXEXTRACT(A6093, ""\d+""))"),8878.0)</f>
        <v>8878</v>
      </c>
    </row>
    <row r="6094">
      <c r="A6094" s="9" t="s">
        <v>21791</v>
      </c>
      <c r="B6094" s="9" t="s">
        <v>21792</v>
      </c>
      <c r="G6094" s="9" t="s">
        <v>21793</v>
      </c>
      <c r="O6094" s="10">
        <f>IFERROR(__xludf.DUMMYFUNCTION("VALUE(REGEXEXTRACT(A6094, ""\d+""))"),8879.0)</f>
        <v>8879</v>
      </c>
    </row>
    <row r="6095">
      <c r="A6095" s="9" t="s">
        <v>21794</v>
      </c>
      <c r="B6095" s="9" t="s">
        <v>21795</v>
      </c>
      <c r="G6095" s="9" t="s">
        <v>21796</v>
      </c>
      <c r="O6095" s="10">
        <f>IFERROR(__xludf.DUMMYFUNCTION("VALUE(REGEXEXTRACT(A6095, ""\d+""))"),8880.0)</f>
        <v>8880</v>
      </c>
    </row>
    <row r="6096">
      <c r="A6096" s="9" t="s">
        <v>21797</v>
      </c>
      <c r="B6096" s="9" t="s">
        <v>21798</v>
      </c>
      <c r="G6096" s="9" t="s">
        <v>21799</v>
      </c>
      <c r="O6096" s="10">
        <f>IFERROR(__xludf.DUMMYFUNCTION("VALUE(REGEXEXTRACT(A6096, ""\d+""))"),8885.0)</f>
        <v>8885</v>
      </c>
    </row>
    <row r="6097">
      <c r="A6097" s="9" t="s">
        <v>21800</v>
      </c>
      <c r="B6097" s="9" t="s">
        <v>21798</v>
      </c>
      <c r="G6097" s="9" t="s">
        <v>21799</v>
      </c>
      <c r="O6097" s="10">
        <f>IFERROR(__xludf.DUMMYFUNCTION("VALUE(REGEXEXTRACT(A6097, ""\d+""))"),8886.0)</f>
        <v>8886</v>
      </c>
    </row>
    <row r="6098">
      <c r="A6098" s="9" t="s">
        <v>21801</v>
      </c>
      <c r="B6098" s="9" t="s">
        <v>21798</v>
      </c>
      <c r="G6098" s="9" t="s">
        <v>21799</v>
      </c>
      <c r="O6098" s="10">
        <f>IFERROR(__xludf.DUMMYFUNCTION("VALUE(REGEXEXTRACT(A6098, ""\d+""))"),8887.0)</f>
        <v>8887</v>
      </c>
    </row>
    <row r="6099">
      <c r="A6099" s="9" t="s">
        <v>21802</v>
      </c>
      <c r="B6099" s="9" t="s">
        <v>21798</v>
      </c>
      <c r="G6099" s="9" t="s">
        <v>21799</v>
      </c>
      <c r="O6099" s="10">
        <f>IFERROR(__xludf.DUMMYFUNCTION("VALUE(REGEXEXTRACT(A6099, ""\d+""))"),8888.0)</f>
        <v>8888</v>
      </c>
    </row>
    <row r="6100">
      <c r="A6100" s="9" t="s">
        <v>21803</v>
      </c>
      <c r="B6100" s="9" t="s">
        <v>21804</v>
      </c>
      <c r="G6100" s="9" t="s">
        <v>21805</v>
      </c>
      <c r="O6100" s="10">
        <f>IFERROR(__xludf.DUMMYFUNCTION("VALUE(REGEXEXTRACT(A6100, ""\d+""))"),8889.0)</f>
        <v>8889</v>
      </c>
    </row>
    <row r="6101">
      <c r="A6101" s="9" t="s">
        <v>21806</v>
      </c>
      <c r="B6101" s="9" t="s">
        <v>21804</v>
      </c>
      <c r="G6101" s="9" t="s">
        <v>21805</v>
      </c>
      <c r="O6101" s="10">
        <f>IFERROR(__xludf.DUMMYFUNCTION("VALUE(REGEXEXTRACT(A6101, ""\d+""))"),8890.0)</f>
        <v>8890</v>
      </c>
    </row>
    <row r="6102">
      <c r="A6102" s="9" t="s">
        <v>21807</v>
      </c>
      <c r="B6102" s="9" t="s">
        <v>21804</v>
      </c>
      <c r="G6102" s="9" t="s">
        <v>21805</v>
      </c>
      <c r="O6102" s="10">
        <f>IFERROR(__xludf.DUMMYFUNCTION("VALUE(REGEXEXTRACT(A6102, ""\d+""))"),8891.0)</f>
        <v>8891</v>
      </c>
    </row>
    <row r="6103">
      <c r="A6103" s="9" t="s">
        <v>21808</v>
      </c>
      <c r="B6103" s="9" t="s">
        <v>21804</v>
      </c>
      <c r="G6103" s="9" t="s">
        <v>21805</v>
      </c>
      <c r="O6103" s="10">
        <f>IFERROR(__xludf.DUMMYFUNCTION("VALUE(REGEXEXTRACT(A6103, ""\d+""))"),8892.0)</f>
        <v>8892</v>
      </c>
    </row>
    <row r="6104">
      <c r="A6104" s="9" t="s">
        <v>21809</v>
      </c>
      <c r="B6104" s="9" t="s">
        <v>21810</v>
      </c>
      <c r="G6104" s="9" t="s">
        <v>21811</v>
      </c>
      <c r="O6104" s="10">
        <f>IFERROR(__xludf.DUMMYFUNCTION("VALUE(REGEXEXTRACT(A6104, ""\d+""))"),8893.0)</f>
        <v>8893</v>
      </c>
    </row>
    <row r="6105">
      <c r="A6105" s="9" t="s">
        <v>21812</v>
      </c>
      <c r="B6105" s="9" t="s">
        <v>21810</v>
      </c>
      <c r="G6105" s="9" t="s">
        <v>21811</v>
      </c>
      <c r="O6105" s="10">
        <f>IFERROR(__xludf.DUMMYFUNCTION("VALUE(REGEXEXTRACT(A6105, ""\d+""))"),8894.0)</f>
        <v>8894</v>
      </c>
    </row>
    <row r="6106">
      <c r="A6106" s="9" t="s">
        <v>21813</v>
      </c>
      <c r="B6106" s="9" t="s">
        <v>21810</v>
      </c>
      <c r="G6106" s="9" t="s">
        <v>21811</v>
      </c>
      <c r="O6106" s="10">
        <f>IFERROR(__xludf.DUMMYFUNCTION("VALUE(REGEXEXTRACT(A6106, ""\d+""))"),8895.0)</f>
        <v>8895</v>
      </c>
    </row>
    <row r="6107">
      <c r="A6107" s="9" t="s">
        <v>21814</v>
      </c>
      <c r="B6107" s="9" t="s">
        <v>21810</v>
      </c>
      <c r="G6107" s="9" t="s">
        <v>21811</v>
      </c>
      <c r="O6107" s="10">
        <f>IFERROR(__xludf.DUMMYFUNCTION("VALUE(REGEXEXTRACT(A6107, ""\d+""))"),8896.0)</f>
        <v>8896</v>
      </c>
    </row>
    <row r="6108">
      <c r="A6108" s="9" t="s">
        <v>21815</v>
      </c>
      <c r="B6108" s="9" t="s">
        <v>21816</v>
      </c>
      <c r="G6108" s="9" t="s">
        <v>21817</v>
      </c>
      <c r="O6108" s="10">
        <f>IFERROR(__xludf.DUMMYFUNCTION("VALUE(REGEXEXTRACT(A6108, ""\d+""))"),8897.0)</f>
        <v>8897</v>
      </c>
    </row>
    <row r="6109">
      <c r="A6109" s="9" t="s">
        <v>21818</v>
      </c>
      <c r="B6109" s="9" t="s">
        <v>21819</v>
      </c>
      <c r="G6109" s="9" t="s">
        <v>21820</v>
      </c>
      <c r="O6109" s="10">
        <f>IFERROR(__xludf.DUMMYFUNCTION("VALUE(REGEXEXTRACT(A6109, ""\d+""))"),8900.0)</f>
        <v>8900</v>
      </c>
    </row>
    <row r="6110">
      <c r="A6110" s="9" t="s">
        <v>21821</v>
      </c>
      <c r="B6110" s="9" t="s">
        <v>21822</v>
      </c>
      <c r="G6110" s="9" t="s">
        <v>21823</v>
      </c>
      <c r="O6110" s="10">
        <f>IFERROR(__xludf.DUMMYFUNCTION("VALUE(REGEXEXTRACT(A6110, ""\d+""))"),8901.0)</f>
        <v>8901</v>
      </c>
    </row>
    <row r="6111">
      <c r="A6111" s="9" t="s">
        <v>21824</v>
      </c>
      <c r="B6111" s="9" t="s">
        <v>21822</v>
      </c>
      <c r="G6111" s="9" t="s">
        <v>21823</v>
      </c>
      <c r="O6111" s="10">
        <f>IFERROR(__xludf.DUMMYFUNCTION("VALUE(REGEXEXTRACT(A6111, ""\d+""))"),8902.0)</f>
        <v>8902</v>
      </c>
    </row>
    <row r="6112">
      <c r="A6112" s="9" t="s">
        <v>21825</v>
      </c>
      <c r="B6112" s="9" t="s">
        <v>21826</v>
      </c>
      <c r="G6112" s="9" t="s">
        <v>21827</v>
      </c>
      <c r="O6112" s="10">
        <f>IFERROR(__xludf.DUMMYFUNCTION("VALUE(REGEXEXTRACT(A6112, ""\d+""))"),8903.0)</f>
        <v>8903</v>
      </c>
    </row>
    <row r="6113">
      <c r="A6113" s="9" t="s">
        <v>21828</v>
      </c>
      <c r="B6113" s="9" t="s">
        <v>21829</v>
      </c>
      <c r="G6113" s="9" t="s">
        <v>21830</v>
      </c>
      <c r="O6113" s="10">
        <f>IFERROR(__xludf.DUMMYFUNCTION("VALUE(REGEXEXTRACT(A6113, ""\d+""))"),8904.0)</f>
        <v>8904</v>
      </c>
    </row>
    <row r="6114">
      <c r="A6114" s="9" t="s">
        <v>21831</v>
      </c>
      <c r="B6114" s="9" t="s">
        <v>21822</v>
      </c>
      <c r="G6114" s="9" t="s">
        <v>21823</v>
      </c>
      <c r="O6114" s="10">
        <f>IFERROR(__xludf.DUMMYFUNCTION("VALUE(REGEXEXTRACT(A6114, ""\d+""))"),8905.0)</f>
        <v>8905</v>
      </c>
    </row>
    <row r="6115">
      <c r="A6115" s="9" t="s">
        <v>21832</v>
      </c>
      <c r="B6115" s="9" t="s">
        <v>21822</v>
      </c>
      <c r="G6115" s="9" t="s">
        <v>21823</v>
      </c>
      <c r="O6115" s="10">
        <f>IFERROR(__xludf.DUMMYFUNCTION("VALUE(REGEXEXTRACT(A6115, ""\d+""))"),8906.0)</f>
        <v>8906</v>
      </c>
    </row>
    <row r="6116">
      <c r="A6116" s="9" t="s">
        <v>21833</v>
      </c>
      <c r="B6116" s="9" t="s">
        <v>21834</v>
      </c>
      <c r="G6116" s="9" t="s">
        <v>21835</v>
      </c>
      <c r="O6116" s="10">
        <f>IFERROR(__xludf.DUMMYFUNCTION("VALUE(REGEXEXTRACT(A6116, ""\d+""))"),8907.0)</f>
        <v>8907</v>
      </c>
    </row>
    <row r="6117">
      <c r="A6117" s="9" t="s">
        <v>21836</v>
      </c>
      <c r="B6117" s="9" t="s">
        <v>21837</v>
      </c>
      <c r="G6117" s="9" t="s">
        <v>21838</v>
      </c>
      <c r="O6117" s="10">
        <f>IFERROR(__xludf.DUMMYFUNCTION("VALUE(REGEXEXTRACT(A6117, ""\d+""))"),8908.0)</f>
        <v>8908</v>
      </c>
    </row>
    <row r="6118">
      <c r="A6118" s="9" t="s">
        <v>21839</v>
      </c>
      <c r="B6118" s="9" t="s">
        <v>21840</v>
      </c>
      <c r="G6118" s="9" t="s">
        <v>21841</v>
      </c>
      <c r="O6118" s="10">
        <f>IFERROR(__xludf.DUMMYFUNCTION("VALUE(REGEXEXTRACT(A6118, ""\d+""))"),8909.0)</f>
        <v>8909</v>
      </c>
    </row>
    <row r="6119">
      <c r="A6119" s="9" t="s">
        <v>21842</v>
      </c>
      <c r="B6119" s="9" t="s">
        <v>21843</v>
      </c>
      <c r="G6119" s="9" t="s">
        <v>21844</v>
      </c>
      <c r="O6119" s="10">
        <f>IFERROR(__xludf.DUMMYFUNCTION("VALUE(REGEXEXTRACT(A6119, ""\d+""))"),8910.0)</f>
        <v>8910</v>
      </c>
    </row>
    <row r="6120">
      <c r="A6120" s="9" t="s">
        <v>21845</v>
      </c>
      <c r="B6120" s="9" t="s">
        <v>21846</v>
      </c>
      <c r="G6120" s="9" t="s">
        <v>21847</v>
      </c>
      <c r="O6120" s="10">
        <f>IFERROR(__xludf.DUMMYFUNCTION("VALUE(REGEXEXTRACT(A6120, ""\d+""))"),8911.0)</f>
        <v>8911</v>
      </c>
    </row>
    <row r="6121">
      <c r="A6121" s="9" t="s">
        <v>21848</v>
      </c>
      <c r="B6121" s="9" t="s">
        <v>21849</v>
      </c>
      <c r="G6121" s="9" t="s">
        <v>21850</v>
      </c>
      <c r="O6121" s="10">
        <f>IFERROR(__xludf.DUMMYFUNCTION("VALUE(REGEXEXTRACT(A6121, ""\d+""))"),8912.0)</f>
        <v>8912</v>
      </c>
    </row>
    <row r="6122">
      <c r="A6122" s="9" t="s">
        <v>21851</v>
      </c>
      <c r="B6122" s="9" t="s">
        <v>21852</v>
      </c>
      <c r="G6122" s="9" t="s">
        <v>21853</v>
      </c>
      <c r="O6122" s="10">
        <f>IFERROR(__xludf.DUMMYFUNCTION("VALUE(REGEXEXTRACT(A6122, ""\d+""))"),8914.0)</f>
        <v>8914</v>
      </c>
    </row>
    <row r="6123">
      <c r="A6123" s="9" t="s">
        <v>21854</v>
      </c>
      <c r="B6123" s="9" t="s">
        <v>21855</v>
      </c>
      <c r="G6123" s="9" t="s">
        <v>21856</v>
      </c>
      <c r="O6123" s="10">
        <f>IFERROR(__xludf.DUMMYFUNCTION("VALUE(REGEXEXTRACT(A6123, ""\d+""))"),8915.0)</f>
        <v>8915</v>
      </c>
    </row>
    <row r="6124">
      <c r="A6124" s="9" t="s">
        <v>21857</v>
      </c>
      <c r="B6124" s="9" t="s">
        <v>21855</v>
      </c>
      <c r="G6124" s="9" t="s">
        <v>21856</v>
      </c>
      <c r="O6124" s="10">
        <f>IFERROR(__xludf.DUMMYFUNCTION("VALUE(REGEXEXTRACT(A6124, ""\d+""))"),8916.0)</f>
        <v>8916</v>
      </c>
    </row>
    <row r="6125">
      <c r="A6125" s="9" t="s">
        <v>21858</v>
      </c>
      <c r="B6125" s="9" t="s">
        <v>21859</v>
      </c>
      <c r="G6125" s="9" t="s">
        <v>21860</v>
      </c>
      <c r="O6125" s="10">
        <f>IFERROR(__xludf.DUMMYFUNCTION("VALUE(REGEXEXTRACT(A6125, ""\d+""))"),8917.0)</f>
        <v>8917</v>
      </c>
    </row>
    <row r="6126">
      <c r="A6126" s="9" t="s">
        <v>21861</v>
      </c>
      <c r="B6126" s="9" t="s">
        <v>21862</v>
      </c>
      <c r="G6126" s="9" t="s">
        <v>21863</v>
      </c>
      <c r="O6126" s="10">
        <f>IFERROR(__xludf.DUMMYFUNCTION("VALUE(REGEXEXTRACT(A6126, ""\d+""))"),8918.0)</f>
        <v>8918</v>
      </c>
    </row>
    <row r="6127">
      <c r="A6127" s="9" t="s">
        <v>21864</v>
      </c>
      <c r="B6127" s="9" t="s">
        <v>21865</v>
      </c>
      <c r="G6127" s="9" t="s">
        <v>21866</v>
      </c>
      <c r="O6127" s="10">
        <f>IFERROR(__xludf.DUMMYFUNCTION("VALUE(REGEXEXTRACT(A6127, ""\d+""))"),8919.0)</f>
        <v>8919</v>
      </c>
    </row>
    <row r="6128">
      <c r="A6128" s="9" t="s">
        <v>21867</v>
      </c>
      <c r="B6128" s="9" t="s">
        <v>21868</v>
      </c>
      <c r="G6128" s="9" t="s">
        <v>21869</v>
      </c>
      <c r="O6128" s="10">
        <f>IFERROR(__xludf.DUMMYFUNCTION("VALUE(REGEXEXTRACT(A6128, ""\d+""))"),8920.0)</f>
        <v>8920</v>
      </c>
    </row>
    <row r="6129">
      <c r="A6129" s="9" t="s">
        <v>21870</v>
      </c>
      <c r="B6129" s="9" t="s">
        <v>21871</v>
      </c>
      <c r="G6129" s="9" t="s">
        <v>21872</v>
      </c>
      <c r="O6129" s="10">
        <f>IFERROR(__xludf.DUMMYFUNCTION("VALUE(REGEXEXTRACT(A6129, ""\d+""))"),8921.0)</f>
        <v>8921</v>
      </c>
    </row>
    <row r="6130">
      <c r="A6130" s="9" t="s">
        <v>21873</v>
      </c>
      <c r="B6130" s="9" t="s">
        <v>21865</v>
      </c>
      <c r="G6130" s="9" t="s">
        <v>21866</v>
      </c>
      <c r="O6130" s="10">
        <f>IFERROR(__xludf.DUMMYFUNCTION("VALUE(REGEXEXTRACT(A6130, ""\d+""))"),8922.0)</f>
        <v>8922</v>
      </c>
    </row>
    <row r="6131">
      <c r="A6131" s="9" t="s">
        <v>21874</v>
      </c>
      <c r="B6131" s="9" t="s">
        <v>21871</v>
      </c>
      <c r="G6131" s="9" t="s">
        <v>21872</v>
      </c>
      <c r="O6131" s="10">
        <f>IFERROR(__xludf.DUMMYFUNCTION("VALUE(REGEXEXTRACT(A6131, ""\d+""))"),8923.0)</f>
        <v>8923</v>
      </c>
    </row>
    <row r="6132">
      <c r="A6132" s="9" t="s">
        <v>21875</v>
      </c>
      <c r="B6132" s="9" t="s">
        <v>21868</v>
      </c>
      <c r="G6132" s="9" t="s">
        <v>21869</v>
      </c>
      <c r="O6132" s="10">
        <f>IFERROR(__xludf.DUMMYFUNCTION("VALUE(REGEXEXTRACT(A6132, ""\d+""))"),8924.0)</f>
        <v>8924</v>
      </c>
    </row>
    <row r="6133">
      <c r="A6133" s="9" t="s">
        <v>21876</v>
      </c>
      <c r="B6133" s="9" t="s">
        <v>21877</v>
      </c>
      <c r="G6133" s="9" t="s">
        <v>21878</v>
      </c>
      <c r="O6133" s="10">
        <f>IFERROR(__xludf.DUMMYFUNCTION("VALUE(REGEXEXTRACT(A6133, ""\d+""))"),8925.0)</f>
        <v>8925</v>
      </c>
    </row>
    <row r="6134">
      <c r="A6134" s="9" t="s">
        <v>21879</v>
      </c>
      <c r="B6134" s="9" t="s">
        <v>21880</v>
      </c>
      <c r="G6134" s="9" t="s">
        <v>21881</v>
      </c>
      <c r="O6134" s="10">
        <f>IFERROR(__xludf.DUMMYFUNCTION("VALUE(REGEXEXTRACT(A6134, ""\d+""))"),8926.0)</f>
        <v>8926</v>
      </c>
    </row>
    <row r="6135">
      <c r="A6135" s="9" t="s">
        <v>21882</v>
      </c>
      <c r="B6135" s="9" t="s">
        <v>21883</v>
      </c>
      <c r="G6135" s="9" t="s">
        <v>21884</v>
      </c>
      <c r="O6135" s="10">
        <f>IFERROR(__xludf.DUMMYFUNCTION("VALUE(REGEXEXTRACT(A6135, ""\d+""))"),8927.0)</f>
        <v>8927</v>
      </c>
    </row>
    <row r="6136">
      <c r="A6136" s="9" t="s">
        <v>21885</v>
      </c>
      <c r="B6136" s="9" t="s">
        <v>21886</v>
      </c>
      <c r="G6136" s="9" t="s">
        <v>21887</v>
      </c>
      <c r="O6136" s="10">
        <f>IFERROR(__xludf.DUMMYFUNCTION("VALUE(REGEXEXTRACT(A6136, ""\d+""))"),8928.0)</f>
        <v>8928</v>
      </c>
    </row>
    <row r="6137">
      <c r="A6137" s="9" t="s">
        <v>21888</v>
      </c>
      <c r="B6137" s="9" t="s">
        <v>21889</v>
      </c>
      <c r="G6137" s="9" t="s">
        <v>21890</v>
      </c>
      <c r="O6137" s="10">
        <f>IFERROR(__xludf.DUMMYFUNCTION("VALUE(REGEXEXTRACT(A6137, ""\d+""))"),8929.0)</f>
        <v>8929</v>
      </c>
    </row>
    <row r="6138">
      <c r="A6138" s="9" t="s">
        <v>21891</v>
      </c>
      <c r="B6138" s="9" t="s">
        <v>21892</v>
      </c>
      <c r="G6138" s="9" t="s">
        <v>21893</v>
      </c>
      <c r="O6138" s="10">
        <f>IFERROR(__xludf.DUMMYFUNCTION("VALUE(REGEXEXTRACT(A6138, ""\d+""))"),8930.0)</f>
        <v>8930</v>
      </c>
    </row>
    <row r="6139">
      <c r="A6139" s="9" t="s">
        <v>21894</v>
      </c>
      <c r="B6139" s="9" t="s">
        <v>13441</v>
      </c>
      <c r="G6139" s="9" t="s">
        <v>21895</v>
      </c>
      <c r="O6139" s="10">
        <f>IFERROR(__xludf.DUMMYFUNCTION("VALUE(REGEXEXTRACT(A6139, ""\d+""))"),8931.0)</f>
        <v>8931</v>
      </c>
    </row>
    <row r="6140">
      <c r="A6140" s="9" t="s">
        <v>21896</v>
      </c>
      <c r="B6140" s="9" t="s">
        <v>21897</v>
      </c>
      <c r="G6140" s="9" t="s">
        <v>21898</v>
      </c>
      <c r="O6140" s="10">
        <f>IFERROR(__xludf.DUMMYFUNCTION("VALUE(REGEXEXTRACT(A6140, ""\d+""))"),8932.0)</f>
        <v>8932</v>
      </c>
    </row>
    <row r="6141">
      <c r="A6141" s="9" t="s">
        <v>21899</v>
      </c>
      <c r="B6141" s="9" t="s">
        <v>21900</v>
      </c>
      <c r="G6141" s="9" t="s">
        <v>21901</v>
      </c>
      <c r="O6141" s="10">
        <f>IFERROR(__xludf.DUMMYFUNCTION("VALUE(REGEXEXTRACT(A6141, ""\d+""))"),8933.0)</f>
        <v>8933</v>
      </c>
    </row>
    <row r="6142">
      <c r="A6142" s="9" t="s">
        <v>21902</v>
      </c>
      <c r="B6142" s="9" t="s">
        <v>21903</v>
      </c>
      <c r="G6142" s="9" t="s">
        <v>21904</v>
      </c>
      <c r="O6142" s="10">
        <f>IFERROR(__xludf.DUMMYFUNCTION("VALUE(REGEXEXTRACT(A6142, ""\d+""))"),8934.0)</f>
        <v>8934</v>
      </c>
    </row>
    <row r="6143">
      <c r="A6143" s="9" t="s">
        <v>21905</v>
      </c>
      <c r="B6143" s="9" t="s">
        <v>21906</v>
      </c>
      <c r="G6143" s="9" t="s">
        <v>21907</v>
      </c>
      <c r="O6143" s="10">
        <f>IFERROR(__xludf.DUMMYFUNCTION("VALUE(REGEXEXTRACT(A6143, ""\d+""))"),8935.0)</f>
        <v>8935</v>
      </c>
    </row>
    <row r="6144">
      <c r="A6144" s="9" t="s">
        <v>21908</v>
      </c>
      <c r="B6144" s="9" t="s">
        <v>21909</v>
      </c>
      <c r="G6144" s="9" t="s">
        <v>21910</v>
      </c>
      <c r="O6144" s="10">
        <f>IFERROR(__xludf.DUMMYFUNCTION("VALUE(REGEXEXTRACT(A6144, ""\d+""))"),8936.0)</f>
        <v>8936</v>
      </c>
    </row>
    <row r="6145">
      <c r="A6145" s="9" t="s">
        <v>21911</v>
      </c>
      <c r="B6145" s="9" t="s">
        <v>21912</v>
      </c>
      <c r="G6145" s="9" t="s">
        <v>21913</v>
      </c>
      <c r="O6145" s="10">
        <f>IFERROR(__xludf.DUMMYFUNCTION("VALUE(REGEXEXTRACT(A6145, ""\d+""))"),8937.0)</f>
        <v>8937</v>
      </c>
    </row>
    <row r="6146">
      <c r="A6146" s="9" t="s">
        <v>21914</v>
      </c>
      <c r="B6146" s="9" t="s">
        <v>21915</v>
      </c>
      <c r="G6146" s="9" t="s">
        <v>21916</v>
      </c>
      <c r="O6146" s="10">
        <f>IFERROR(__xludf.DUMMYFUNCTION("VALUE(REGEXEXTRACT(A6146, ""\d+""))"),8938.0)</f>
        <v>8938</v>
      </c>
    </row>
    <row r="6147">
      <c r="A6147" s="9" t="s">
        <v>21917</v>
      </c>
      <c r="B6147" s="9" t="s">
        <v>21918</v>
      </c>
      <c r="G6147" s="9" t="s">
        <v>21919</v>
      </c>
      <c r="O6147" s="10">
        <f>IFERROR(__xludf.DUMMYFUNCTION("VALUE(REGEXEXTRACT(A6147, ""\d+""))"),8939.0)</f>
        <v>8939</v>
      </c>
    </row>
    <row r="6148">
      <c r="A6148" s="9" t="s">
        <v>21920</v>
      </c>
      <c r="B6148" s="9" t="s">
        <v>21921</v>
      </c>
      <c r="G6148" s="9" t="s">
        <v>21922</v>
      </c>
      <c r="O6148" s="10">
        <f>IFERROR(__xludf.DUMMYFUNCTION("VALUE(REGEXEXTRACT(A6148, ""\d+""))"),8940.0)</f>
        <v>8940</v>
      </c>
    </row>
    <row r="6149">
      <c r="A6149" s="9" t="s">
        <v>21923</v>
      </c>
      <c r="B6149" s="9" t="s">
        <v>21924</v>
      </c>
      <c r="G6149" s="9" t="s">
        <v>21925</v>
      </c>
      <c r="O6149" s="10">
        <f>IFERROR(__xludf.DUMMYFUNCTION("VALUE(REGEXEXTRACT(A6149, ""\d+""))"),8941.0)</f>
        <v>8941</v>
      </c>
    </row>
    <row r="6150">
      <c r="A6150" s="9" t="s">
        <v>21926</v>
      </c>
      <c r="B6150" s="9" t="s">
        <v>21927</v>
      </c>
      <c r="G6150" s="9" t="s">
        <v>21928</v>
      </c>
      <c r="O6150" s="10">
        <f>IFERROR(__xludf.DUMMYFUNCTION("VALUE(REGEXEXTRACT(A6150, ""\d+""))"),8942.0)</f>
        <v>8942</v>
      </c>
    </row>
    <row r="6151">
      <c r="A6151" s="9" t="s">
        <v>21929</v>
      </c>
      <c r="B6151" s="9" t="s">
        <v>21930</v>
      </c>
      <c r="G6151" s="9" t="s">
        <v>21931</v>
      </c>
      <c r="O6151" s="10">
        <f>IFERROR(__xludf.DUMMYFUNCTION("VALUE(REGEXEXTRACT(A6151, ""\d+""))"),8943.0)</f>
        <v>8943</v>
      </c>
    </row>
    <row r="6152">
      <c r="A6152" s="9" t="s">
        <v>21932</v>
      </c>
      <c r="B6152" s="9" t="s">
        <v>21933</v>
      </c>
      <c r="G6152" s="9" t="s">
        <v>21934</v>
      </c>
      <c r="O6152" s="10">
        <f>IFERROR(__xludf.DUMMYFUNCTION("VALUE(REGEXEXTRACT(A6152, ""\d+""))"),8944.0)</f>
        <v>8944</v>
      </c>
    </row>
    <row r="6153">
      <c r="A6153" s="9" t="s">
        <v>21935</v>
      </c>
      <c r="B6153" s="9" t="s">
        <v>21936</v>
      </c>
      <c r="G6153" s="9" t="s">
        <v>21937</v>
      </c>
      <c r="O6153" s="10">
        <f>IFERROR(__xludf.DUMMYFUNCTION("VALUE(REGEXEXTRACT(A6153, ""\d+""))"),8945.0)</f>
        <v>8945</v>
      </c>
    </row>
    <row r="6154">
      <c r="A6154" s="9" t="s">
        <v>21938</v>
      </c>
      <c r="B6154" s="9" t="s">
        <v>21939</v>
      </c>
      <c r="G6154" s="9" t="s">
        <v>21940</v>
      </c>
      <c r="O6154" s="10">
        <f>IFERROR(__xludf.DUMMYFUNCTION("VALUE(REGEXEXTRACT(A6154, ""\d+""))"),8946.0)</f>
        <v>8946</v>
      </c>
    </row>
    <row r="6155">
      <c r="A6155" s="9" t="s">
        <v>21941</v>
      </c>
      <c r="B6155" s="9" t="s">
        <v>21942</v>
      </c>
      <c r="G6155" s="9" t="s">
        <v>21943</v>
      </c>
      <c r="O6155" s="10">
        <f>IFERROR(__xludf.DUMMYFUNCTION("VALUE(REGEXEXTRACT(A6155, ""\d+""))"),8947.0)</f>
        <v>8947</v>
      </c>
    </row>
    <row r="6156">
      <c r="A6156" s="9" t="s">
        <v>21944</v>
      </c>
      <c r="B6156" s="9" t="s">
        <v>21945</v>
      </c>
      <c r="G6156" s="9" t="s">
        <v>21946</v>
      </c>
      <c r="O6156" s="10">
        <f>IFERROR(__xludf.DUMMYFUNCTION("VALUE(REGEXEXTRACT(A6156, ""\d+""))"),8948.0)</f>
        <v>8948</v>
      </c>
    </row>
    <row r="6157">
      <c r="A6157" s="9" t="s">
        <v>21947</v>
      </c>
      <c r="B6157" s="9" t="s">
        <v>21948</v>
      </c>
      <c r="G6157" s="9" t="s">
        <v>21949</v>
      </c>
      <c r="O6157" s="10">
        <f>IFERROR(__xludf.DUMMYFUNCTION("VALUE(REGEXEXTRACT(A6157, ""\d+""))"),8949.0)</f>
        <v>8949</v>
      </c>
    </row>
    <row r="6158">
      <c r="A6158" s="9" t="s">
        <v>21950</v>
      </c>
      <c r="B6158" s="9" t="s">
        <v>21951</v>
      </c>
      <c r="G6158" s="9" t="s">
        <v>21952</v>
      </c>
      <c r="O6158" s="10">
        <f>IFERROR(__xludf.DUMMYFUNCTION("VALUE(REGEXEXTRACT(A6158, ""\d+""))"),8950.0)</f>
        <v>8950</v>
      </c>
    </row>
    <row r="6159">
      <c r="A6159" s="9" t="s">
        <v>21953</v>
      </c>
      <c r="B6159" s="9" t="s">
        <v>21954</v>
      </c>
      <c r="G6159" s="9" t="s">
        <v>21955</v>
      </c>
      <c r="O6159" s="10">
        <f>IFERROR(__xludf.DUMMYFUNCTION("VALUE(REGEXEXTRACT(A6159, ""\d+""))"),8951.0)</f>
        <v>8951</v>
      </c>
    </row>
    <row r="6160">
      <c r="A6160" s="9" t="s">
        <v>21956</v>
      </c>
      <c r="B6160" s="9" t="s">
        <v>21957</v>
      </c>
      <c r="G6160" s="9" t="s">
        <v>21958</v>
      </c>
      <c r="O6160" s="10">
        <f>IFERROR(__xludf.DUMMYFUNCTION("VALUE(REGEXEXTRACT(A6160, ""\d+""))"),8952.0)</f>
        <v>8952</v>
      </c>
    </row>
    <row r="6161">
      <c r="A6161" s="9" t="s">
        <v>21959</v>
      </c>
      <c r="B6161" s="9" t="s">
        <v>21960</v>
      </c>
      <c r="G6161" s="9" t="s">
        <v>21961</v>
      </c>
      <c r="O6161" s="10">
        <f>IFERROR(__xludf.DUMMYFUNCTION("VALUE(REGEXEXTRACT(A6161, ""\d+""))"),8953.0)</f>
        <v>8953</v>
      </c>
    </row>
    <row r="6162">
      <c r="A6162" s="9" t="s">
        <v>21962</v>
      </c>
      <c r="B6162" s="9" t="s">
        <v>21963</v>
      </c>
      <c r="G6162" s="9" t="s">
        <v>21964</v>
      </c>
      <c r="O6162" s="10">
        <f>IFERROR(__xludf.DUMMYFUNCTION("VALUE(REGEXEXTRACT(A6162, ""\d+""))"),8954.0)</f>
        <v>8954</v>
      </c>
    </row>
    <row r="6163">
      <c r="A6163" s="9" t="s">
        <v>21965</v>
      </c>
      <c r="B6163" s="9" t="s">
        <v>21966</v>
      </c>
      <c r="G6163" s="9" t="s">
        <v>21967</v>
      </c>
      <c r="O6163" s="10">
        <f>IFERROR(__xludf.DUMMYFUNCTION("VALUE(REGEXEXTRACT(A6163, ""\d+""))"),8955.0)</f>
        <v>8955</v>
      </c>
    </row>
    <row r="6164">
      <c r="A6164" s="9" t="s">
        <v>21968</v>
      </c>
      <c r="B6164" s="9" t="s">
        <v>21969</v>
      </c>
      <c r="G6164" s="9" t="s">
        <v>21970</v>
      </c>
      <c r="O6164" s="10">
        <f>IFERROR(__xludf.DUMMYFUNCTION("VALUE(REGEXEXTRACT(A6164, ""\d+""))"),8956.0)</f>
        <v>8956</v>
      </c>
    </row>
    <row r="6165">
      <c r="A6165" s="9" t="s">
        <v>21971</v>
      </c>
      <c r="B6165" s="9" t="s">
        <v>21972</v>
      </c>
      <c r="G6165" s="9" t="s">
        <v>21973</v>
      </c>
      <c r="O6165" s="10">
        <f>IFERROR(__xludf.DUMMYFUNCTION("VALUE(REGEXEXTRACT(A6165, ""\d+""))"),8957.0)</f>
        <v>8957</v>
      </c>
    </row>
    <row r="6166">
      <c r="A6166" s="9" t="s">
        <v>21974</v>
      </c>
      <c r="B6166" s="9" t="s">
        <v>21969</v>
      </c>
      <c r="G6166" s="9" t="s">
        <v>21970</v>
      </c>
      <c r="O6166" s="10">
        <f>IFERROR(__xludf.DUMMYFUNCTION("VALUE(REGEXEXTRACT(A6166, ""\d+""))"),8958.0)</f>
        <v>8958</v>
      </c>
    </row>
    <row r="6167">
      <c r="A6167" s="9" t="s">
        <v>21975</v>
      </c>
      <c r="B6167" s="9" t="s">
        <v>21976</v>
      </c>
      <c r="G6167" s="9" t="s">
        <v>21977</v>
      </c>
      <c r="O6167" s="10">
        <f>IFERROR(__xludf.DUMMYFUNCTION("VALUE(REGEXEXTRACT(A6167, ""\d+""))"),8959.0)</f>
        <v>8959</v>
      </c>
    </row>
    <row r="6168">
      <c r="A6168" s="9" t="s">
        <v>21978</v>
      </c>
      <c r="B6168" s="9" t="s">
        <v>21979</v>
      </c>
      <c r="G6168" s="9" t="s">
        <v>21980</v>
      </c>
      <c r="O6168" s="10">
        <f>IFERROR(__xludf.DUMMYFUNCTION("VALUE(REGEXEXTRACT(A6168, ""\d+""))"),8960.0)</f>
        <v>8960</v>
      </c>
    </row>
    <row r="6169">
      <c r="A6169" s="9" t="s">
        <v>21981</v>
      </c>
      <c r="B6169" s="9" t="s">
        <v>21982</v>
      </c>
      <c r="G6169" s="9" t="s">
        <v>21983</v>
      </c>
      <c r="O6169" s="10">
        <f>IFERROR(__xludf.DUMMYFUNCTION("VALUE(REGEXEXTRACT(A6169, ""\d+""))"),8961.0)</f>
        <v>8961</v>
      </c>
    </row>
    <row r="6170">
      <c r="A6170" s="9" t="s">
        <v>21984</v>
      </c>
      <c r="B6170" s="9" t="s">
        <v>21985</v>
      </c>
      <c r="G6170" s="9" t="s">
        <v>21986</v>
      </c>
      <c r="O6170" s="10">
        <f>IFERROR(__xludf.DUMMYFUNCTION("VALUE(REGEXEXTRACT(A6170, ""\d+""))"),8962.0)</f>
        <v>8962</v>
      </c>
    </row>
    <row r="6171">
      <c r="A6171" s="9" t="s">
        <v>21987</v>
      </c>
      <c r="B6171" s="9" t="s">
        <v>21988</v>
      </c>
      <c r="G6171" s="9" t="s">
        <v>21989</v>
      </c>
      <c r="O6171" s="10">
        <f>IFERROR(__xludf.DUMMYFUNCTION("VALUE(REGEXEXTRACT(A6171, ""\d+""))"),8963.0)</f>
        <v>8963</v>
      </c>
    </row>
    <row r="6172">
      <c r="A6172" s="9" t="s">
        <v>21990</v>
      </c>
      <c r="B6172" s="9" t="s">
        <v>21991</v>
      </c>
      <c r="G6172" s="9" t="s">
        <v>21992</v>
      </c>
      <c r="O6172" s="10">
        <f>IFERROR(__xludf.DUMMYFUNCTION("VALUE(REGEXEXTRACT(A6172, ""\d+""))"),8964.0)</f>
        <v>8964</v>
      </c>
    </row>
    <row r="6173">
      <c r="A6173" s="9" t="s">
        <v>21993</v>
      </c>
      <c r="B6173" s="9" t="s">
        <v>21994</v>
      </c>
      <c r="G6173" s="9" t="s">
        <v>21995</v>
      </c>
      <c r="O6173" s="10">
        <f>IFERROR(__xludf.DUMMYFUNCTION("VALUE(REGEXEXTRACT(A6173, ""\d+""))"),8965.0)</f>
        <v>8965</v>
      </c>
    </row>
    <row r="6174">
      <c r="A6174" s="9" t="s">
        <v>21996</v>
      </c>
      <c r="B6174" s="9" t="s">
        <v>21997</v>
      </c>
      <c r="G6174" s="9" t="s">
        <v>21998</v>
      </c>
      <c r="O6174" s="10">
        <f>IFERROR(__xludf.DUMMYFUNCTION("VALUE(REGEXEXTRACT(A6174, ""\d+""))"),8966.0)</f>
        <v>8966</v>
      </c>
    </row>
    <row r="6175">
      <c r="A6175" s="9" t="s">
        <v>21999</v>
      </c>
      <c r="B6175" s="9" t="s">
        <v>22000</v>
      </c>
      <c r="G6175" s="9" t="s">
        <v>22001</v>
      </c>
      <c r="O6175" s="10">
        <f>IFERROR(__xludf.DUMMYFUNCTION("VALUE(REGEXEXTRACT(A6175, ""\d+""))"),8967.0)</f>
        <v>8967</v>
      </c>
    </row>
    <row r="6176">
      <c r="A6176" s="9" t="s">
        <v>22002</v>
      </c>
      <c r="B6176" s="9" t="s">
        <v>22003</v>
      </c>
      <c r="G6176" s="9" t="s">
        <v>22004</v>
      </c>
      <c r="O6176" s="10">
        <f>IFERROR(__xludf.DUMMYFUNCTION("VALUE(REGEXEXTRACT(A6176, ""\d+""))"),8970.0)</f>
        <v>8970</v>
      </c>
    </row>
    <row r="6177">
      <c r="A6177" s="9" t="s">
        <v>22005</v>
      </c>
      <c r="B6177" s="9" t="s">
        <v>22006</v>
      </c>
      <c r="G6177" s="9" t="s">
        <v>22007</v>
      </c>
      <c r="O6177" s="10">
        <f>IFERROR(__xludf.DUMMYFUNCTION("VALUE(REGEXEXTRACT(A6177, ""\d+""))"),8971.0)</f>
        <v>8971</v>
      </c>
    </row>
    <row r="6178">
      <c r="A6178" s="9" t="s">
        <v>22008</v>
      </c>
      <c r="B6178" s="9" t="s">
        <v>22009</v>
      </c>
      <c r="G6178" s="9" t="s">
        <v>22010</v>
      </c>
      <c r="O6178" s="10">
        <f>IFERROR(__xludf.DUMMYFUNCTION("VALUE(REGEXEXTRACT(A6178, ""\d+""))"),8972.0)</f>
        <v>8972</v>
      </c>
    </row>
    <row r="6179">
      <c r="A6179" s="9" t="s">
        <v>22011</v>
      </c>
      <c r="B6179" s="9" t="s">
        <v>22012</v>
      </c>
      <c r="G6179" s="9" t="s">
        <v>22013</v>
      </c>
      <c r="O6179" s="10">
        <f>IFERROR(__xludf.DUMMYFUNCTION("VALUE(REGEXEXTRACT(A6179, ""\d+""))"),8973.0)</f>
        <v>8973</v>
      </c>
    </row>
    <row r="6180">
      <c r="A6180" s="9" t="s">
        <v>22014</v>
      </c>
      <c r="B6180" s="9" t="s">
        <v>22015</v>
      </c>
      <c r="G6180" s="9" t="s">
        <v>22016</v>
      </c>
      <c r="O6180" s="10">
        <f>IFERROR(__xludf.DUMMYFUNCTION("VALUE(REGEXEXTRACT(A6180, ""\d+""))"),8974.0)</f>
        <v>8974</v>
      </c>
    </row>
    <row r="6181">
      <c r="A6181" s="9" t="s">
        <v>22017</v>
      </c>
      <c r="B6181" s="9" t="s">
        <v>22018</v>
      </c>
      <c r="G6181" s="9" t="s">
        <v>22019</v>
      </c>
      <c r="O6181" s="10">
        <f>IFERROR(__xludf.DUMMYFUNCTION("VALUE(REGEXEXTRACT(A6181, ""\d+""))"),8975.0)</f>
        <v>8975</v>
      </c>
    </row>
    <row r="6182">
      <c r="A6182" s="9" t="s">
        <v>22020</v>
      </c>
      <c r="B6182" s="9" t="s">
        <v>22021</v>
      </c>
      <c r="G6182" s="9" t="s">
        <v>22022</v>
      </c>
      <c r="O6182" s="10">
        <f>IFERROR(__xludf.DUMMYFUNCTION("VALUE(REGEXEXTRACT(A6182, ""\d+""))"),8976.0)</f>
        <v>8976</v>
      </c>
    </row>
    <row r="6183">
      <c r="A6183" s="9" t="s">
        <v>22023</v>
      </c>
      <c r="B6183" s="9" t="s">
        <v>22024</v>
      </c>
      <c r="G6183" s="9" t="s">
        <v>22025</v>
      </c>
      <c r="O6183" s="10">
        <f>IFERROR(__xludf.DUMMYFUNCTION("VALUE(REGEXEXTRACT(A6183, ""\d+""))"),8977.0)</f>
        <v>8977</v>
      </c>
    </row>
    <row r="6184">
      <c r="A6184" s="9" t="s">
        <v>22026</v>
      </c>
      <c r="B6184" s="9" t="s">
        <v>22027</v>
      </c>
      <c r="G6184" s="9" t="s">
        <v>22028</v>
      </c>
      <c r="O6184" s="10">
        <f>IFERROR(__xludf.DUMMYFUNCTION("VALUE(REGEXEXTRACT(A6184, ""\d+""))"),8978.0)</f>
        <v>8978</v>
      </c>
    </row>
    <row r="6185">
      <c r="A6185" s="9" t="s">
        <v>22029</v>
      </c>
      <c r="B6185" s="9" t="s">
        <v>22030</v>
      </c>
      <c r="G6185" s="9" t="s">
        <v>22031</v>
      </c>
      <c r="O6185" s="10">
        <f>IFERROR(__xludf.DUMMYFUNCTION("VALUE(REGEXEXTRACT(A6185, ""\d+""))"),8979.0)</f>
        <v>8979</v>
      </c>
    </row>
    <row r="6186">
      <c r="A6186" s="9" t="s">
        <v>22032</v>
      </c>
      <c r="B6186" s="9" t="s">
        <v>22033</v>
      </c>
      <c r="G6186" s="9" t="s">
        <v>22034</v>
      </c>
      <c r="O6186" s="10">
        <f>IFERROR(__xludf.DUMMYFUNCTION("VALUE(REGEXEXTRACT(A6186, ""\d+""))"),8980.0)</f>
        <v>8980</v>
      </c>
    </row>
    <row r="6187">
      <c r="A6187" s="9" t="s">
        <v>22035</v>
      </c>
      <c r="B6187" s="9" t="s">
        <v>22036</v>
      </c>
      <c r="G6187" s="9" t="s">
        <v>22037</v>
      </c>
      <c r="O6187" s="10">
        <f>IFERROR(__xludf.DUMMYFUNCTION("VALUE(REGEXEXTRACT(A6187, ""\d+""))"),8981.0)</f>
        <v>8981</v>
      </c>
    </row>
    <row r="6188">
      <c r="A6188" s="9" t="s">
        <v>22038</v>
      </c>
      <c r="B6188" s="9" t="s">
        <v>22039</v>
      </c>
      <c r="G6188" s="9" t="s">
        <v>22040</v>
      </c>
      <c r="O6188" s="10">
        <f>IFERROR(__xludf.DUMMYFUNCTION("VALUE(REGEXEXTRACT(A6188, ""\d+""))"),8982.0)</f>
        <v>8982</v>
      </c>
    </row>
    <row r="6189">
      <c r="A6189" s="9" t="s">
        <v>22041</v>
      </c>
      <c r="B6189" s="9" t="s">
        <v>22042</v>
      </c>
      <c r="G6189" s="9" t="s">
        <v>22043</v>
      </c>
      <c r="O6189" s="10">
        <f>IFERROR(__xludf.DUMMYFUNCTION("VALUE(REGEXEXTRACT(A6189, ""\d+""))"),8983.0)</f>
        <v>8983</v>
      </c>
    </row>
    <row r="6190">
      <c r="A6190" s="9" t="s">
        <v>22044</v>
      </c>
      <c r="B6190" s="9" t="s">
        <v>22045</v>
      </c>
      <c r="G6190" s="9" t="s">
        <v>22046</v>
      </c>
      <c r="O6190" s="10">
        <f>IFERROR(__xludf.DUMMYFUNCTION("VALUE(REGEXEXTRACT(A6190, ""\d+""))"),8984.0)</f>
        <v>8984</v>
      </c>
    </row>
    <row r="6191">
      <c r="A6191" s="9" t="s">
        <v>22047</v>
      </c>
      <c r="B6191" s="9" t="s">
        <v>22042</v>
      </c>
      <c r="G6191" s="9" t="s">
        <v>22043</v>
      </c>
      <c r="O6191" s="10">
        <f>IFERROR(__xludf.DUMMYFUNCTION("VALUE(REGEXEXTRACT(A6191, ""\d+""))"),8985.0)</f>
        <v>8985</v>
      </c>
    </row>
    <row r="6192">
      <c r="A6192" s="9" t="s">
        <v>22048</v>
      </c>
      <c r="B6192" s="9" t="s">
        <v>22049</v>
      </c>
      <c r="G6192" s="9" t="s">
        <v>22050</v>
      </c>
      <c r="O6192" s="10">
        <f>IFERROR(__xludf.DUMMYFUNCTION("VALUE(REGEXEXTRACT(A6192, ""\d+""))"),8986.0)</f>
        <v>8986</v>
      </c>
    </row>
    <row r="6193">
      <c r="A6193" s="9" t="s">
        <v>22051</v>
      </c>
      <c r="B6193" s="9" t="s">
        <v>22052</v>
      </c>
      <c r="G6193" s="9" t="s">
        <v>22053</v>
      </c>
      <c r="O6193" s="10">
        <f>IFERROR(__xludf.DUMMYFUNCTION("VALUE(REGEXEXTRACT(A6193, ""\d+""))"),8987.0)</f>
        <v>8987</v>
      </c>
    </row>
    <row r="6194">
      <c r="A6194" s="9" t="s">
        <v>22054</v>
      </c>
      <c r="B6194" s="9" t="s">
        <v>22055</v>
      </c>
      <c r="G6194" s="9" t="s">
        <v>22056</v>
      </c>
      <c r="O6194" s="10">
        <f>IFERROR(__xludf.DUMMYFUNCTION("VALUE(REGEXEXTRACT(A6194, ""\d+""))"),8988.0)</f>
        <v>8988</v>
      </c>
    </row>
    <row r="6195">
      <c r="A6195" s="9" t="s">
        <v>22057</v>
      </c>
      <c r="B6195" s="9" t="s">
        <v>22058</v>
      </c>
      <c r="G6195" s="9" t="s">
        <v>22059</v>
      </c>
      <c r="O6195" s="10">
        <f>IFERROR(__xludf.DUMMYFUNCTION("VALUE(REGEXEXTRACT(A6195, ""\d+""))"),8989.0)</f>
        <v>8989</v>
      </c>
    </row>
    <row r="6196">
      <c r="A6196" s="9" t="s">
        <v>22060</v>
      </c>
      <c r="B6196" s="9" t="s">
        <v>22061</v>
      </c>
      <c r="G6196" s="9" t="s">
        <v>22062</v>
      </c>
      <c r="O6196" s="10">
        <f>IFERROR(__xludf.DUMMYFUNCTION("VALUE(REGEXEXTRACT(A6196, ""\d+""))"),8990.0)</f>
        <v>8990</v>
      </c>
    </row>
    <row r="6197">
      <c r="A6197" s="9" t="s">
        <v>22063</v>
      </c>
      <c r="B6197" s="9" t="s">
        <v>22061</v>
      </c>
      <c r="G6197" s="9" t="s">
        <v>22062</v>
      </c>
      <c r="O6197" s="10">
        <f>IFERROR(__xludf.DUMMYFUNCTION("VALUE(REGEXEXTRACT(A6197, ""\d+""))"),8991.0)</f>
        <v>8991</v>
      </c>
    </row>
    <row r="6198">
      <c r="A6198" s="9" t="s">
        <v>22064</v>
      </c>
      <c r="B6198" s="9" t="s">
        <v>22065</v>
      </c>
      <c r="G6198" s="9" t="s">
        <v>22066</v>
      </c>
      <c r="O6198" s="10">
        <f>IFERROR(__xludf.DUMMYFUNCTION("VALUE(REGEXEXTRACT(A6198, ""\d+""))"),8992.0)</f>
        <v>8992</v>
      </c>
    </row>
    <row r="6199">
      <c r="A6199" s="9" t="s">
        <v>22067</v>
      </c>
      <c r="B6199" s="9" t="s">
        <v>22068</v>
      </c>
      <c r="G6199" s="9" t="s">
        <v>22069</v>
      </c>
      <c r="O6199" s="10">
        <f>IFERROR(__xludf.DUMMYFUNCTION("VALUE(REGEXEXTRACT(A6199, ""\d+""))"),8994.0)</f>
        <v>8994</v>
      </c>
    </row>
    <row r="6200">
      <c r="A6200" s="9" t="s">
        <v>22070</v>
      </c>
      <c r="B6200" s="9" t="s">
        <v>22071</v>
      </c>
      <c r="G6200" s="9" t="s">
        <v>22072</v>
      </c>
      <c r="O6200" s="10">
        <f>IFERROR(__xludf.DUMMYFUNCTION("VALUE(REGEXEXTRACT(A6200, ""\d+""))"),8995.0)</f>
        <v>8995</v>
      </c>
    </row>
    <row r="6201">
      <c r="A6201" s="9" t="s">
        <v>22073</v>
      </c>
      <c r="B6201" s="9" t="s">
        <v>22074</v>
      </c>
      <c r="G6201" s="9" t="s">
        <v>22075</v>
      </c>
      <c r="O6201" s="10">
        <f>IFERROR(__xludf.DUMMYFUNCTION("VALUE(REGEXEXTRACT(A6201, ""\d+""))"),8996.0)</f>
        <v>8996</v>
      </c>
    </row>
    <row r="6202">
      <c r="A6202" s="9" t="s">
        <v>22076</v>
      </c>
      <c r="B6202" s="9" t="s">
        <v>517</v>
      </c>
      <c r="G6202" s="9" t="s">
        <v>22077</v>
      </c>
      <c r="O6202" s="10">
        <f>IFERROR(__xludf.DUMMYFUNCTION("VALUE(REGEXEXTRACT(A6202, ""\d+""))"),8997.0)</f>
        <v>8997</v>
      </c>
    </row>
    <row r="6203">
      <c r="A6203" s="9" t="s">
        <v>22078</v>
      </c>
      <c r="B6203" s="9" t="s">
        <v>22079</v>
      </c>
      <c r="G6203" s="9" t="s">
        <v>22080</v>
      </c>
      <c r="O6203" s="10">
        <f>IFERROR(__xludf.DUMMYFUNCTION("VALUE(REGEXEXTRACT(A6203, ""\d+""))"),8998.0)</f>
        <v>8998</v>
      </c>
    </row>
    <row r="6204">
      <c r="A6204" s="9" t="s">
        <v>22081</v>
      </c>
      <c r="B6204" s="9" t="s">
        <v>22082</v>
      </c>
      <c r="G6204" s="9" t="s">
        <v>22083</v>
      </c>
      <c r="O6204" s="10">
        <f>IFERROR(__xludf.DUMMYFUNCTION("VALUE(REGEXEXTRACT(A6204, ""\d+""))"),9000.0)</f>
        <v>9000</v>
      </c>
    </row>
    <row r="6205">
      <c r="A6205" s="9" t="s">
        <v>22084</v>
      </c>
      <c r="B6205" s="9" t="s">
        <v>22085</v>
      </c>
      <c r="G6205" s="9" t="s">
        <v>22086</v>
      </c>
      <c r="O6205" s="10">
        <f>IFERROR(__xludf.DUMMYFUNCTION("VALUE(REGEXEXTRACT(A6205, ""\d+""))"),9001.0)</f>
        <v>9001</v>
      </c>
    </row>
    <row r="6206">
      <c r="A6206" s="9" t="s">
        <v>22087</v>
      </c>
      <c r="B6206" s="9" t="s">
        <v>22088</v>
      </c>
      <c r="G6206" s="9" t="s">
        <v>22089</v>
      </c>
      <c r="O6206" s="10">
        <f>IFERROR(__xludf.DUMMYFUNCTION("VALUE(REGEXEXTRACT(A6206, ""\d+""))"),9002.0)</f>
        <v>9002</v>
      </c>
    </row>
    <row r="6207">
      <c r="A6207" s="9" t="s">
        <v>22090</v>
      </c>
      <c r="B6207" s="9" t="s">
        <v>22091</v>
      </c>
      <c r="G6207" s="9" t="s">
        <v>22092</v>
      </c>
      <c r="O6207" s="10">
        <f>IFERROR(__xludf.DUMMYFUNCTION("VALUE(REGEXEXTRACT(A6207, ""\d+""))"),9003.0)</f>
        <v>9003</v>
      </c>
    </row>
    <row r="6208">
      <c r="A6208" s="9" t="s">
        <v>22093</v>
      </c>
      <c r="B6208" s="9" t="s">
        <v>22094</v>
      </c>
      <c r="G6208" s="9" t="s">
        <v>22095</v>
      </c>
      <c r="O6208" s="10">
        <f>IFERROR(__xludf.DUMMYFUNCTION("VALUE(REGEXEXTRACT(A6208, ""\d+""))"),9004.0)</f>
        <v>9004</v>
      </c>
    </row>
    <row r="6209">
      <c r="A6209" s="9" t="s">
        <v>22096</v>
      </c>
      <c r="B6209" s="9" t="s">
        <v>22097</v>
      </c>
      <c r="G6209" s="9" t="s">
        <v>22098</v>
      </c>
      <c r="O6209" s="10">
        <f>IFERROR(__xludf.DUMMYFUNCTION("VALUE(REGEXEXTRACT(A6209, ""\d+""))"),9005.0)</f>
        <v>9005</v>
      </c>
    </row>
    <row r="6210">
      <c r="A6210" s="9" t="s">
        <v>22099</v>
      </c>
      <c r="B6210" s="9" t="s">
        <v>22100</v>
      </c>
      <c r="G6210" s="9" t="s">
        <v>22101</v>
      </c>
      <c r="O6210" s="10">
        <f>IFERROR(__xludf.DUMMYFUNCTION("VALUE(REGEXEXTRACT(A6210, ""\d+""))"),9006.0)</f>
        <v>9006</v>
      </c>
    </row>
    <row r="6211">
      <c r="A6211" s="9" t="s">
        <v>22102</v>
      </c>
      <c r="B6211" s="9" t="s">
        <v>22103</v>
      </c>
      <c r="G6211" s="9" t="s">
        <v>22104</v>
      </c>
      <c r="O6211" s="10">
        <f>IFERROR(__xludf.DUMMYFUNCTION("VALUE(REGEXEXTRACT(A6211, ""\d+""))"),9007.0)</f>
        <v>9007</v>
      </c>
    </row>
    <row r="6212">
      <c r="A6212" s="9" t="s">
        <v>22105</v>
      </c>
      <c r="B6212" s="9" t="s">
        <v>22106</v>
      </c>
      <c r="G6212" s="9" t="s">
        <v>22107</v>
      </c>
      <c r="O6212" s="10">
        <f>IFERROR(__xludf.DUMMYFUNCTION("VALUE(REGEXEXTRACT(A6212, ""\d+""))"),9008.0)</f>
        <v>9008</v>
      </c>
    </row>
    <row r="6213">
      <c r="A6213" s="9" t="s">
        <v>22108</v>
      </c>
      <c r="B6213" s="9" t="s">
        <v>22109</v>
      </c>
      <c r="G6213" s="9" t="s">
        <v>22110</v>
      </c>
      <c r="O6213" s="10">
        <f>IFERROR(__xludf.DUMMYFUNCTION("VALUE(REGEXEXTRACT(A6213, ""\d+""))"),9009.0)</f>
        <v>9009</v>
      </c>
    </row>
    <row r="6214">
      <c r="A6214" s="9" t="s">
        <v>22111</v>
      </c>
      <c r="B6214" s="9" t="s">
        <v>22112</v>
      </c>
      <c r="G6214" s="9" t="s">
        <v>22113</v>
      </c>
      <c r="O6214" s="10">
        <f>IFERROR(__xludf.DUMMYFUNCTION("VALUE(REGEXEXTRACT(A6214, ""\d+""))"),9010.0)</f>
        <v>9010</v>
      </c>
    </row>
    <row r="6215">
      <c r="A6215" s="9" t="s">
        <v>22114</v>
      </c>
      <c r="B6215" s="9" t="s">
        <v>22115</v>
      </c>
      <c r="G6215" s="9" t="s">
        <v>22116</v>
      </c>
      <c r="O6215" s="10">
        <f>IFERROR(__xludf.DUMMYFUNCTION("VALUE(REGEXEXTRACT(A6215, ""\d+""))"),9012.0)</f>
        <v>9012</v>
      </c>
    </row>
    <row r="6216">
      <c r="A6216" s="9" t="s">
        <v>22117</v>
      </c>
      <c r="B6216" s="9" t="s">
        <v>22118</v>
      </c>
      <c r="G6216" s="9" t="s">
        <v>22119</v>
      </c>
      <c r="O6216" s="10">
        <f>IFERROR(__xludf.DUMMYFUNCTION("VALUE(REGEXEXTRACT(A6216, ""\d+""))"),9013.0)</f>
        <v>9013</v>
      </c>
    </row>
    <row r="6217">
      <c r="A6217" s="9" t="s">
        <v>22120</v>
      </c>
      <c r="B6217" s="9" t="s">
        <v>22121</v>
      </c>
      <c r="G6217" s="9" t="s">
        <v>22122</v>
      </c>
      <c r="O6217" s="10">
        <f>IFERROR(__xludf.DUMMYFUNCTION("VALUE(REGEXEXTRACT(A6217, ""\d+""))"),9014.0)</f>
        <v>9014</v>
      </c>
    </row>
    <row r="6218">
      <c r="A6218" s="9" t="s">
        <v>22123</v>
      </c>
      <c r="B6218" s="9" t="s">
        <v>22124</v>
      </c>
      <c r="G6218" s="9" t="s">
        <v>22125</v>
      </c>
      <c r="O6218" s="10">
        <f>IFERROR(__xludf.DUMMYFUNCTION("VALUE(REGEXEXTRACT(A6218, ""\d+""))"),9015.0)</f>
        <v>9015</v>
      </c>
    </row>
    <row r="6219">
      <c r="A6219" s="9" t="s">
        <v>22126</v>
      </c>
      <c r="B6219" s="9" t="s">
        <v>22127</v>
      </c>
      <c r="G6219" s="9" t="s">
        <v>22128</v>
      </c>
      <c r="O6219" s="10">
        <f>IFERROR(__xludf.DUMMYFUNCTION("VALUE(REGEXEXTRACT(A6219, ""\d+""))"),9016.0)</f>
        <v>9016</v>
      </c>
    </row>
    <row r="6220">
      <c r="A6220" s="9" t="s">
        <v>22129</v>
      </c>
      <c r="B6220" s="9" t="s">
        <v>22130</v>
      </c>
      <c r="G6220" s="9" t="s">
        <v>22131</v>
      </c>
      <c r="O6220" s="10">
        <f>IFERROR(__xludf.DUMMYFUNCTION("VALUE(REGEXEXTRACT(A6220, ""\d+""))"),9017.0)</f>
        <v>9017</v>
      </c>
    </row>
    <row r="6221">
      <c r="A6221" s="9" t="s">
        <v>22132</v>
      </c>
      <c r="B6221" s="9" t="s">
        <v>22133</v>
      </c>
      <c r="G6221" s="9" t="s">
        <v>22134</v>
      </c>
      <c r="O6221" s="10">
        <f>IFERROR(__xludf.DUMMYFUNCTION("VALUE(REGEXEXTRACT(A6221, ""\d+""))"),9018.0)</f>
        <v>9018</v>
      </c>
    </row>
    <row r="6222">
      <c r="A6222" s="9" t="s">
        <v>22135</v>
      </c>
      <c r="B6222" s="9" t="s">
        <v>22136</v>
      </c>
      <c r="G6222" s="9" t="s">
        <v>22137</v>
      </c>
      <c r="O6222" s="10">
        <f>IFERROR(__xludf.DUMMYFUNCTION("VALUE(REGEXEXTRACT(A6222, ""\d+""))"),9019.0)</f>
        <v>9019</v>
      </c>
    </row>
    <row r="6223">
      <c r="A6223" s="9" t="s">
        <v>22138</v>
      </c>
      <c r="B6223" s="9" t="s">
        <v>22139</v>
      </c>
      <c r="G6223" s="9" t="s">
        <v>22140</v>
      </c>
      <c r="O6223" s="10">
        <f>IFERROR(__xludf.DUMMYFUNCTION("VALUE(REGEXEXTRACT(A6223, ""\d+""))"),9020.0)</f>
        <v>9020</v>
      </c>
    </row>
    <row r="6224">
      <c r="A6224" s="9" t="s">
        <v>22141</v>
      </c>
      <c r="B6224" s="9" t="s">
        <v>22142</v>
      </c>
      <c r="G6224" s="9" t="s">
        <v>22143</v>
      </c>
      <c r="O6224" s="10">
        <f>IFERROR(__xludf.DUMMYFUNCTION("VALUE(REGEXEXTRACT(A6224, ""\d+""))"),9021.0)</f>
        <v>9021</v>
      </c>
    </row>
    <row r="6225">
      <c r="A6225" s="9" t="s">
        <v>22144</v>
      </c>
      <c r="B6225" s="9" t="s">
        <v>22145</v>
      </c>
      <c r="G6225" s="9" t="s">
        <v>22146</v>
      </c>
      <c r="O6225" s="10">
        <f>IFERROR(__xludf.DUMMYFUNCTION("VALUE(REGEXEXTRACT(A6225, ""\d+""))"),9022.0)</f>
        <v>9022</v>
      </c>
    </row>
    <row r="6226">
      <c r="A6226" s="9" t="s">
        <v>22147</v>
      </c>
      <c r="B6226" s="9" t="s">
        <v>22148</v>
      </c>
      <c r="G6226" s="9" t="s">
        <v>22149</v>
      </c>
      <c r="O6226" s="10">
        <f>IFERROR(__xludf.DUMMYFUNCTION("VALUE(REGEXEXTRACT(A6226, ""\d+""))"),9023.0)</f>
        <v>9023</v>
      </c>
    </row>
    <row r="6227">
      <c r="A6227" s="9" t="s">
        <v>22150</v>
      </c>
      <c r="B6227" s="9" t="s">
        <v>22151</v>
      </c>
      <c r="G6227" s="9" t="s">
        <v>22152</v>
      </c>
      <c r="O6227" s="10">
        <f>IFERROR(__xludf.DUMMYFUNCTION("VALUE(REGEXEXTRACT(A6227, ""\d+""))"),9024.0)</f>
        <v>9024</v>
      </c>
    </row>
    <row r="6228">
      <c r="A6228" s="9" t="s">
        <v>22153</v>
      </c>
      <c r="B6228" s="9" t="s">
        <v>22154</v>
      </c>
      <c r="G6228" s="9" t="s">
        <v>22155</v>
      </c>
      <c r="O6228" s="10">
        <f>IFERROR(__xludf.DUMMYFUNCTION("VALUE(REGEXEXTRACT(A6228, ""\d+""))"),9025.0)</f>
        <v>9025</v>
      </c>
    </row>
    <row r="6229">
      <c r="A6229" s="9" t="s">
        <v>22156</v>
      </c>
      <c r="B6229" s="9" t="s">
        <v>22157</v>
      </c>
      <c r="G6229" s="9" t="s">
        <v>22158</v>
      </c>
      <c r="O6229" s="10">
        <f>IFERROR(__xludf.DUMMYFUNCTION("VALUE(REGEXEXTRACT(A6229, ""\d+""))"),9026.0)</f>
        <v>9026</v>
      </c>
    </row>
    <row r="6230">
      <c r="A6230" s="9" t="s">
        <v>22159</v>
      </c>
      <c r="B6230" s="9" t="s">
        <v>22160</v>
      </c>
      <c r="G6230" s="9" t="s">
        <v>22161</v>
      </c>
      <c r="O6230" s="10">
        <f>IFERROR(__xludf.DUMMYFUNCTION("VALUE(REGEXEXTRACT(A6230, ""\d+""))"),9027.0)</f>
        <v>9027</v>
      </c>
    </row>
    <row r="6231">
      <c r="A6231" s="9" t="s">
        <v>22162</v>
      </c>
      <c r="B6231" s="9" t="s">
        <v>22163</v>
      </c>
      <c r="G6231" s="9" t="s">
        <v>22164</v>
      </c>
      <c r="O6231" s="10">
        <f>IFERROR(__xludf.DUMMYFUNCTION("VALUE(REGEXEXTRACT(A6231, ""\d+""))"),9028.0)</f>
        <v>9028</v>
      </c>
    </row>
    <row r="6232">
      <c r="A6232" s="9" t="s">
        <v>22165</v>
      </c>
      <c r="B6232" s="9" t="s">
        <v>22166</v>
      </c>
      <c r="G6232" s="9" t="s">
        <v>22167</v>
      </c>
      <c r="O6232" s="10">
        <f>IFERROR(__xludf.DUMMYFUNCTION("VALUE(REGEXEXTRACT(A6232, ""\d+""))"),9029.0)</f>
        <v>9029</v>
      </c>
    </row>
    <row r="6233">
      <c r="A6233" s="9" t="s">
        <v>22168</v>
      </c>
      <c r="B6233" s="9" t="s">
        <v>22169</v>
      </c>
      <c r="G6233" s="9" t="s">
        <v>22170</v>
      </c>
      <c r="O6233" s="10">
        <f>IFERROR(__xludf.DUMMYFUNCTION("VALUE(REGEXEXTRACT(A6233, ""\d+""))"),9030.0)</f>
        <v>9030</v>
      </c>
    </row>
    <row r="6234">
      <c r="A6234" s="9" t="s">
        <v>22171</v>
      </c>
      <c r="B6234" s="9" t="s">
        <v>22172</v>
      </c>
      <c r="G6234" s="9" t="s">
        <v>22173</v>
      </c>
      <c r="O6234" s="10">
        <f>IFERROR(__xludf.DUMMYFUNCTION("VALUE(REGEXEXTRACT(A6234, ""\d+""))"),9031.0)</f>
        <v>9031</v>
      </c>
    </row>
    <row r="6235">
      <c r="A6235" s="9" t="s">
        <v>22174</v>
      </c>
      <c r="B6235" s="9" t="s">
        <v>22175</v>
      </c>
      <c r="G6235" s="9" t="s">
        <v>22176</v>
      </c>
      <c r="O6235" s="10">
        <f>IFERROR(__xludf.DUMMYFUNCTION("VALUE(REGEXEXTRACT(A6235, ""\d+""))"),9032.0)</f>
        <v>9032</v>
      </c>
    </row>
    <row r="6236">
      <c r="A6236" s="9" t="s">
        <v>22177</v>
      </c>
      <c r="B6236" s="9" t="s">
        <v>22178</v>
      </c>
      <c r="G6236" s="9" t="s">
        <v>22179</v>
      </c>
      <c r="O6236" s="10">
        <f>IFERROR(__xludf.DUMMYFUNCTION("VALUE(REGEXEXTRACT(A6236, ""\d+""))"),9033.0)</f>
        <v>9033</v>
      </c>
    </row>
    <row r="6237">
      <c r="A6237" s="9" t="s">
        <v>22180</v>
      </c>
      <c r="B6237" s="9" t="s">
        <v>22181</v>
      </c>
      <c r="G6237" s="9" t="s">
        <v>22182</v>
      </c>
      <c r="O6237" s="10">
        <f>IFERROR(__xludf.DUMMYFUNCTION("VALUE(REGEXEXTRACT(A6237, ""\d+""))"),9034.0)</f>
        <v>9034</v>
      </c>
    </row>
    <row r="6238">
      <c r="A6238" s="9" t="s">
        <v>22183</v>
      </c>
      <c r="B6238" s="9" t="s">
        <v>22184</v>
      </c>
      <c r="G6238" s="9" t="s">
        <v>22185</v>
      </c>
      <c r="O6238" s="10">
        <f>IFERROR(__xludf.DUMMYFUNCTION("VALUE(REGEXEXTRACT(A6238, ""\d+""))"),9035.0)</f>
        <v>9035</v>
      </c>
    </row>
    <row r="6239">
      <c r="A6239" s="9" t="s">
        <v>22186</v>
      </c>
      <c r="B6239" s="9" t="s">
        <v>22187</v>
      </c>
      <c r="G6239" s="9" t="s">
        <v>22188</v>
      </c>
      <c r="O6239" s="10">
        <f>IFERROR(__xludf.DUMMYFUNCTION("VALUE(REGEXEXTRACT(A6239, ""\d+""))"),9036.0)</f>
        <v>9036</v>
      </c>
    </row>
    <row r="6240">
      <c r="A6240" s="9" t="s">
        <v>22189</v>
      </c>
      <c r="B6240" s="9" t="s">
        <v>22190</v>
      </c>
      <c r="G6240" s="9" t="s">
        <v>22191</v>
      </c>
      <c r="O6240" s="10">
        <f>IFERROR(__xludf.DUMMYFUNCTION("VALUE(REGEXEXTRACT(A6240, ""\d+""))"),9037.0)</f>
        <v>9037</v>
      </c>
    </row>
    <row r="6241">
      <c r="A6241" s="9" t="s">
        <v>22192</v>
      </c>
      <c r="B6241" s="9" t="s">
        <v>22193</v>
      </c>
      <c r="G6241" s="9" t="s">
        <v>22194</v>
      </c>
      <c r="O6241" s="10">
        <f>IFERROR(__xludf.DUMMYFUNCTION("VALUE(REGEXEXTRACT(A6241, ""\d+""))"),9038.0)</f>
        <v>9038</v>
      </c>
    </row>
    <row r="6242">
      <c r="A6242" s="9" t="s">
        <v>22195</v>
      </c>
      <c r="B6242" s="9" t="s">
        <v>22196</v>
      </c>
      <c r="G6242" s="9" t="s">
        <v>22197</v>
      </c>
      <c r="O6242" s="10">
        <f>IFERROR(__xludf.DUMMYFUNCTION("VALUE(REGEXEXTRACT(A6242, ""\d+""))"),9039.0)</f>
        <v>9039</v>
      </c>
    </row>
    <row r="6243">
      <c r="A6243" s="9" t="s">
        <v>22198</v>
      </c>
      <c r="B6243" s="9" t="s">
        <v>22199</v>
      </c>
      <c r="G6243" s="9" t="s">
        <v>22200</v>
      </c>
      <c r="O6243" s="10">
        <f>IFERROR(__xludf.DUMMYFUNCTION("VALUE(REGEXEXTRACT(A6243, ""\d+""))"),9040.0)</f>
        <v>9040</v>
      </c>
    </row>
    <row r="6244">
      <c r="A6244" s="9" t="s">
        <v>22201</v>
      </c>
      <c r="B6244" s="9" t="s">
        <v>22202</v>
      </c>
      <c r="G6244" s="9" t="s">
        <v>22202</v>
      </c>
      <c r="O6244" s="10">
        <f>IFERROR(__xludf.DUMMYFUNCTION("VALUE(REGEXEXTRACT(A6244, ""\d+""))"),9041.0)</f>
        <v>9041</v>
      </c>
    </row>
    <row r="6245">
      <c r="A6245" s="9" t="s">
        <v>22203</v>
      </c>
      <c r="B6245" s="9" t="s">
        <v>22204</v>
      </c>
      <c r="G6245" s="9" t="s">
        <v>22204</v>
      </c>
      <c r="O6245" s="10">
        <f>IFERROR(__xludf.DUMMYFUNCTION("VALUE(REGEXEXTRACT(A6245, ""\d+""))"),9042.0)</f>
        <v>9042</v>
      </c>
    </row>
    <row r="6246">
      <c r="A6246" s="9" t="s">
        <v>22205</v>
      </c>
      <c r="B6246" s="9" t="s">
        <v>22206</v>
      </c>
      <c r="G6246" s="9" t="s">
        <v>22206</v>
      </c>
      <c r="O6246" s="10">
        <f>IFERROR(__xludf.DUMMYFUNCTION("VALUE(REGEXEXTRACT(A6246, ""\d+""))"),9043.0)</f>
        <v>9043</v>
      </c>
    </row>
    <row r="6247">
      <c r="A6247" s="9" t="s">
        <v>22207</v>
      </c>
      <c r="B6247" s="9" t="s">
        <v>22208</v>
      </c>
      <c r="G6247" s="9" t="s">
        <v>22209</v>
      </c>
      <c r="O6247" s="10">
        <f>IFERROR(__xludf.DUMMYFUNCTION("VALUE(REGEXEXTRACT(A6247, ""\d+""))"),9044.0)</f>
        <v>9044</v>
      </c>
    </row>
    <row r="6248">
      <c r="A6248" s="9" t="s">
        <v>22210</v>
      </c>
      <c r="B6248" s="9" t="s">
        <v>22211</v>
      </c>
      <c r="G6248" s="9" t="s">
        <v>22212</v>
      </c>
      <c r="O6248" s="10">
        <f>IFERROR(__xludf.DUMMYFUNCTION("VALUE(REGEXEXTRACT(A6248, ""\d+""))"),9045.0)</f>
        <v>9045</v>
      </c>
    </row>
    <row r="6249">
      <c r="A6249" s="9" t="s">
        <v>22213</v>
      </c>
      <c r="B6249" s="9" t="s">
        <v>22214</v>
      </c>
      <c r="G6249" s="9" t="s">
        <v>22215</v>
      </c>
      <c r="O6249" s="10">
        <f>IFERROR(__xludf.DUMMYFUNCTION("VALUE(REGEXEXTRACT(A6249, ""\d+""))"),9048.0)</f>
        <v>9048</v>
      </c>
    </row>
    <row r="6250">
      <c r="A6250" s="9" t="s">
        <v>22216</v>
      </c>
      <c r="B6250" s="9" t="s">
        <v>22217</v>
      </c>
      <c r="G6250" s="9" t="s">
        <v>22218</v>
      </c>
      <c r="O6250" s="10">
        <f>IFERROR(__xludf.DUMMYFUNCTION("VALUE(REGEXEXTRACT(A6250, ""\d+""))"),9049.0)</f>
        <v>9049</v>
      </c>
    </row>
    <row r="6251">
      <c r="A6251" s="9" t="s">
        <v>22219</v>
      </c>
      <c r="B6251" s="9" t="s">
        <v>22220</v>
      </c>
      <c r="G6251" s="9" t="s">
        <v>22221</v>
      </c>
      <c r="O6251" s="10">
        <f>IFERROR(__xludf.DUMMYFUNCTION("VALUE(REGEXEXTRACT(A6251, ""\d+""))"),9050.0)</f>
        <v>9050</v>
      </c>
    </row>
    <row r="6252">
      <c r="A6252" s="9" t="s">
        <v>22222</v>
      </c>
      <c r="B6252" s="9" t="s">
        <v>22223</v>
      </c>
      <c r="G6252" s="9" t="s">
        <v>22224</v>
      </c>
      <c r="O6252" s="10">
        <f>IFERROR(__xludf.DUMMYFUNCTION("VALUE(REGEXEXTRACT(A6252, ""\d+""))"),9051.0)</f>
        <v>9051</v>
      </c>
    </row>
    <row r="6253">
      <c r="A6253" s="9" t="s">
        <v>22225</v>
      </c>
      <c r="B6253" s="9" t="s">
        <v>22226</v>
      </c>
      <c r="G6253" s="9" t="s">
        <v>22227</v>
      </c>
      <c r="O6253" s="10">
        <f>IFERROR(__xludf.DUMMYFUNCTION("VALUE(REGEXEXTRACT(A6253, ""\d+""))"),9052.0)</f>
        <v>9052</v>
      </c>
    </row>
    <row r="6254">
      <c r="A6254" s="9" t="s">
        <v>22228</v>
      </c>
      <c r="B6254" s="9" t="s">
        <v>22229</v>
      </c>
      <c r="G6254" s="9" t="s">
        <v>22230</v>
      </c>
      <c r="O6254" s="10">
        <f>IFERROR(__xludf.DUMMYFUNCTION("VALUE(REGEXEXTRACT(A6254, ""\d+""))"),9053.0)</f>
        <v>9053</v>
      </c>
    </row>
    <row r="6255">
      <c r="A6255" s="9" t="s">
        <v>22231</v>
      </c>
      <c r="B6255" s="9" t="s">
        <v>22232</v>
      </c>
      <c r="G6255" s="9" t="s">
        <v>22233</v>
      </c>
      <c r="O6255" s="10">
        <f>IFERROR(__xludf.DUMMYFUNCTION("VALUE(REGEXEXTRACT(A6255, ""\d+""))"),9055.0)</f>
        <v>9055</v>
      </c>
    </row>
    <row r="6256">
      <c r="A6256" s="9" t="s">
        <v>22234</v>
      </c>
      <c r="B6256" s="9" t="s">
        <v>22235</v>
      </c>
      <c r="G6256" s="9" t="s">
        <v>22236</v>
      </c>
      <c r="O6256" s="10">
        <f>IFERROR(__xludf.DUMMYFUNCTION("VALUE(REGEXEXTRACT(A6256, ""\d+""))"),9056.0)</f>
        <v>9056</v>
      </c>
    </row>
    <row r="6257">
      <c r="A6257" s="9" t="s">
        <v>22237</v>
      </c>
      <c r="B6257" s="9" t="s">
        <v>22238</v>
      </c>
      <c r="G6257" s="9" t="s">
        <v>22239</v>
      </c>
      <c r="O6257" s="10">
        <f>IFERROR(__xludf.DUMMYFUNCTION("VALUE(REGEXEXTRACT(A6257, ""\d+""))"),9057.0)</f>
        <v>9057</v>
      </c>
    </row>
    <row r="6258">
      <c r="A6258" s="9" t="s">
        <v>22240</v>
      </c>
      <c r="B6258" s="9" t="s">
        <v>22241</v>
      </c>
      <c r="G6258" s="9" t="s">
        <v>22242</v>
      </c>
      <c r="O6258" s="10">
        <f>IFERROR(__xludf.DUMMYFUNCTION("VALUE(REGEXEXTRACT(A6258, ""\d+""))"),9059.0)</f>
        <v>9059</v>
      </c>
    </row>
    <row r="6259">
      <c r="A6259" s="9" t="s">
        <v>22243</v>
      </c>
      <c r="B6259" s="9" t="s">
        <v>22244</v>
      </c>
      <c r="G6259" s="9" t="s">
        <v>22245</v>
      </c>
      <c r="O6259" s="10">
        <f>IFERROR(__xludf.DUMMYFUNCTION("VALUE(REGEXEXTRACT(A6259, ""\d+""))"),9060.0)</f>
        <v>9060</v>
      </c>
    </row>
    <row r="6260">
      <c r="A6260" s="9" t="s">
        <v>22246</v>
      </c>
      <c r="B6260" s="9" t="s">
        <v>22247</v>
      </c>
      <c r="G6260" s="9" t="s">
        <v>22248</v>
      </c>
      <c r="O6260" s="10">
        <f>IFERROR(__xludf.DUMMYFUNCTION("VALUE(REGEXEXTRACT(A6260, ""\d+""))"),9061.0)</f>
        <v>9061</v>
      </c>
    </row>
    <row r="6261">
      <c r="A6261" s="9" t="s">
        <v>22249</v>
      </c>
      <c r="B6261" s="9" t="s">
        <v>22250</v>
      </c>
      <c r="G6261" s="9" t="s">
        <v>22251</v>
      </c>
      <c r="O6261" s="10">
        <f>IFERROR(__xludf.DUMMYFUNCTION("VALUE(REGEXEXTRACT(A6261, ""\d+""))"),9062.0)</f>
        <v>9062</v>
      </c>
    </row>
    <row r="6262">
      <c r="A6262" s="9" t="s">
        <v>22252</v>
      </c>
      <c r="B6262" s="9" t="s">
        <v>22253</v>
      </c>
      <c r="G6262" s="9" t="s">
        <v>22254</v>
      </c>
      <c r="O6262" s="10">
        <f>IFERROR(__xludf.DUMMYFUNCTION("VALUE(REGEXEXTRACT(A6262, ""\d+""))"),9063.0)</f>
        <v>9063</v>
      </c>
    </row>
    <row r="6263">
      <c r="A6263" s="9" t="s">
        <v>22255</v>
      </c>
      <c r="B6263" s="9" t="s">
        <v>22256</v>
      </c>
      <c r="G6263" s="9" t="s">
        <v>22257</v>
      </c>
      <c r="O6263" s="10">
        <f>IFERROR(__xludf.DUMMYFUNCTION("VALUE(REGEXEXTRACT(A6263, ""\d+""))"),9064.0)</f>
        <v>9064</v>
      </c>
    </row>
    <row r="6264">
      <c r="A6264" s="9" t="s">
        <v>22258</v>
      </c>
      <c r="B6264" s="9" t="s">
        <v>22259</v>
      </c>
      <c r="G6264" s="9" t="s">
        <v>22260</v>
      </c>
      <c r="O6264" s="10">
        <f>IFERROR(__xludf.DUMMYFUNCTION("VALUE(REGEXEXTRACT(A6264, ""\d+""))"),9065.0)</f>
        <v>9065</v>
      </c>
    </row>
    <row r="6265">
      <c r="A6265" s="9" t="s">
        <v>22261</v>
      </c>
      <c r="B6265" s="9" t="s">
        <v>22262</v>
      </c>
      <c r="G6265" s="9" t="s">
        <v>22263</v>
      </c>
      <c r="O6265" s="10">
        <f>IFERROR(__xludf.DUMMYFUNCTION("VALUE(REGEXEXTRACT(A6265, ""\d+""))"),9066.0)</f>
        <v>9066</v>
      </c>
    </row>
    <row r="6266">
      <c r="A6266" s="9" t="s">
        <v>22264</v>
      </c>
      <c r="B6266" s="9" t="s">
        <v>22265</v>
      </c>
      <c r="G6266" s="9" t="s">
        <v>22266</v>
      </c>
      <c r="O6266" s="10">
        <f>IFERROR(__xludf.DUMMYFUNCTION("VALUE(REGEXEXTRACT(A6266, ""\d+""))"),9067.0)</f>
        <v>9067</v>
      </c>
    </row>
    <row r="6267">
      <c r="A6267" s="9" t="s">
        <v>22267</v>
      </c>
      <c r="B6267" s="9" t="s">
        <v>22268</v>
      </c>
      <c r="G6267" s="9" t="s">
        <v>22269</v>
      </c>
      <c r="O6267" s="10">
        <f>IFERROR(__xludf.DUMMYFUNCTION("VALUE(REGEXEXTRACT(A6267, ""\d+""))"),9068.0)</f>
        <v>9068</v>
      </c>
    </row>
    <row r="6268">
      <c r="A6268" s="9" t="s">
        <v>22270</v>
      </c>
      <c r="B6268" s="9" t="s">
        <v>22271</v>
      </c>
      <c r="G6268" s="9" t="s">
        <v>22272</v>
      </c>
      <c r="O6268" s="10">
        <f>IFERROR(__xludf.DUMMYFUNCTION("VALUE(REGEXEXTRACT(A6268, ""\d+""))"),9069.0)</f>
        <v>9069</v>
      </c>
    </row>
    <row r="6269">
      <c r="A6269" s="9" t="s">
        <v>22273</v>
      </c>
      <c r="B6269" s="9" t="s">
        <v>22274</v>
      </c>
      <c r="G6269" s="9" t="s">
        <v>22275</v>
      </c>
      <c r="O6269" s="10">
        <f>IFERROR(__xludf.DUMMYFUNCTION("VALUE(REGEXEXTRACT(A6269, ""\d+""))"),9072.0)</f>
        <v>9072</v>
      </c>
    </row>
    <row r="6270">
      <c r="A6270" s="9" t="s">
        <v>22276</v>
      </c>
      <c r="B6270" s="9" t="s">
        <v>22277</v>
      </c>
      <c r="G6270" s="9" t="s">
        <v>22278</v>
      </c>
      <c r="O6270" s="10">
        <f>IFERROR(__xludf.DUMMYFUNCTION("VALUE(REGEXEXTRACT(A6270, ""\d+""))"),9074.0)</f>
        <v>9074</v>
      </c>
    </row>
    <row r="6271">
      <c r="A6271" s="9" t="s">
        <v>22279</v>
      </c>
      <c r="B6271" s="9" t="s">
        <v>22280</v>
      </c>
      <c r="G6271" s="9" t="s">
        <v>22281</v>
      </c>
      <c r="O6271" s="10">
        <f>IFERROR(__xludf.DUMMYFUNCTION("VALUE(REGEXEXTRACT(A6271, ""\d+""))"),9075.0)</f>
        <v>9075</v>
      </c>
    </row>
    <row r="6272">
      <c r="A6272" s="9" t="s">
        <v>22282</v>
      </c>
      <c r="B6272" s="9" t="s">
        <v>22283</v>
      </c>
      <c r="O6272" s="10">
        <f>IFERROR(__xludf.DUMMYFUNCTION("VALUE(REGEXEXTRACT(A6272, ""\d+""))"),9076.0)</f>
        <v>9076</v>
      </c>
    </row>
    <row r="6273">
      <c r="A6273" s="9" t="s">
        <v>22284</v>
      </c>
      <c r="B6273" s="9" t="s">
        <v>22285</v>
      </c>
      <c r="G6273" s="9" t="s">
        <v>22286</v>
      </c>
      <c r="O6273" s="10">
        <f>IFERROR(__xludf.DUMMYFUNCTION("VALUE(REGEXEXTRACT(A6273, ""\d+""))"),9077.0)</f>
        <v>9077</v>
      </c>
    </row>
    <row r="6274">
      <c r="A6274" s="9" t="s">
        <v>22287</v>
      </c>
      <c r="B6274" s="9" t="s">
        <v>22288</v>
      </c>
      <c r="G6274" s="9" t="s">
        <v>22289</v>
      </c>
      <c r="O6274" s="10">
        <f>IFERROR(__xludf.DUMMYFUNCTION("VALUE(REGEXEXTRACT(A6274, ""\d+""))"),9078.0)</f>
        <v>9078</v>
      </c>
    </row>
    <row r="6275">
      <c r="A6275" s="9" t="s">
        <v>22290</v>
      </c>
      <c r="B6275" s="9" t="s">
        <v>22291</v>
      </c>
      <c r="G6275" s="9" t="s">
        <v>22292</v>
      </c>
      <c r="O6275" s="10">
        <f>IFERROR(__xludf.DUMMYFUNCTION("VALUE(REGEXEXTRACT(A6275, ""\d+""))"),9079.0)</f>
        <v>9079</v>
      </c>
    </row>
    <row r="6276">
      <c r="A6276" s="9" t="s">
        <v>22293</v>
      </c>
      <c r="B6276" s="9" t="s">
        <v>22294</v>
      </c>
      <c r="G6276" s="9" t="s">
        <v>22295</v>
      </c>
      <c r="O6276" s="10">
        <f>IFERROR(__xludf.DUMMYFUNCTION("VALUE(REGEXEXTRACT(A6276, ""\d+""))"),9080.0)</f>
        <v>9080</v>
      </c>
    </row>
    <row r="6277">
      <c r="A6277" s="9" t="s">
        <v>22296</v>
      </c>
      <c r="B6277" s="9" t="s">
        <v>22297</v>
      </c>
      <c r="G6277" s="9" t="s">
        <v>22298</v>
      </c>
      <c r="O6277" s="10">
        <f>IFERROR(__xludf.DUMMYFUNCTION("VALUE(REGEXEXTRACT(A6277, ""\d+""))"),9081.0)</f>
        <v>9081</v>
      </c>
    </row>
    <row r="6278">
      <c r="A6278" s="9" t="s">
        <v>22299</v>
      </c>
      <c r="B6278" s="9" t="s">
        <v>22300</v>
      </c>
      <c r="G6278" s="9" t="s">
        <v>22301</v>
      </c>
      <c r="O6278" s="10">
        <f>IFERROR(__xludf.DUMMYFUNCTION("VALUE(REGEXEXTRACT(A6278, ""\d+""))"),9082.0)</f>
        <v>9082</v>
      </c>
    </row>
    <row r="6279">
      <c r="A6279" s="9" t="s">
        <v>22302</v>
      </c>
      <c r="B6279" s="9" t="s">
        <v>22303</v>
      </c>
      <c r="G6279" s="9" t="s">
        <v>22304</v>
      </c>
      <c r="O6279" s="10">
        <f>IFERROR(__xludf.DUMMYFUNCTION("VALUE(REGEXEXTRACT(A6279, ""\d+""))"),9083.0)</f>
        <v>9083</v>
      </c>
    </row>
    <row r="6280">
      <c r="A6280" s="9" t="s">
        <v>22305</v>
      </c>
      <c r="B6280" s="9" t="s">
        <v>22306</v>
      </c>
      <c r="G6280" s="9" t="s">
        <v>22307</v>
      </c>
      <c r="O6280" s="10">
        <f>IFERROR(__xludf.DUMMYFUNCTION("VALUE(REGEXEXTRACT(A6280, ""\d+""))"),9084.0)</f>
        <v>9084</v>
      </c>
    </row>
    <row r="6281">
      <c r="A6281" s="9" t="s">
        <v>22308</v>
      </c>
      <c r="B6281" s="9" t="s">
        <v>22309</v>
      </c>
      <c r="G6281" s="9" t="s">
        <v>22310</v>
      </c>
      <c r="O6281" s="10">
        <f>IFERROR(__xludf.DUMMYFUNCTION("VALUE(REGEXEXTRACT(A6281, ""\d+""))"),9085.0)</f>
        <v>9085</v>
      </c>
    </row>
    <row r="6282">
      <c r="A6282" s="9" t="s">
        <v>22311</v>
      </c>
      <c r="B6282" s="9" t="s">
        <v>22312</v>
      </c>
      <c r="G6282" s="9" t="s">
        <v>22313</v>
      </c>
      <c r="O6282" s="10">
        <f>IFERROR(__xludf.DUMMYFUNCTION("VALUE(REGEXEXTRACT(A6282, ""\d+""))"),9086.0)</f>
        <v>9086</v>
      </c>
    </row>
    <row r="6283">
      <c r="A6283" s="9" t="s">
        <v>22314</v>
      </c>
      <c r="B6283" s="9" t="s">
        <v>22315</v>
      </c>
      <c r="G6283" s="9" t="s">
        <v>22316</v>
      </c>
      <c r="O6283" s="10">
        <f>IFERROR(__xludf.DUMMYFUNCTION("VALUE(REGEXEXTRACT(A6283, ""\d+""))"),9087.0)</f>
        <v>9087</v>
      </c>
    </row>
    <row r="6284">
      <c r="A6284" s="9" t="s">
        <v>22317</v>
      </c>
      <c r="B6284" s="9" t="s">
        <v>22315</v>
      </c>
      <c r="G6284" s="9" t="s">
        <v>22316</v>
      </c>
      <c r="O6284" s="10">
        <f>IFERROR(__xludf.DUMMYFUNCTION("VALUE(REGEXEXTRACT(A6284, ""\d+""))"),9088.0)</f>
        <v>9088</v>
      </c>
    </row>
    <row r="6285">
      <c r="A6285" s="9" t="s">
        <v>22318</v>
      </c>
      <c r="B6285" s="9" t="s">
        <v>22315</v>
      </c>
      <c r="G6285" s="9" t="s">
        <v>22316</v>
      </c>
      <c r="O6285" s="10">
        <f>IFERROR(__xludf.DUMMYFUNCTION("VALUE(REGEXEXTRACT(A6285, ""\d+""))"),9089.0)</f>
        <v>9089</v>
      </c>
    </row>
    <row r="6286">
      <c r="A6286" s="9" t="s">
        <v>22319</v>
      </c>
      <c r="B6286" s="9" t="s">
        <v>22320</v>
      </c>
      <c r="G6286" s="9" t="s">
        <v>22321</v>
      </c>
      <c r="O6286" s="10">
        <f>IFERROR(__xludf.DUMMYFUNCTION("VALUE(REGEXEXTRACT(A6286, ""\d+""))"),9090.0)</f>
        <v>9090</v>
      </c>
    </row>
    <row r="6287">
      <c r="A6287" s="9" t="s">
        <v>22322</v>
      </c>
      <c r="B6287" s="9" t="s">
        <v>22320</v>
      </c>
      <c r="G6287" s="9" t="s">
        <v>22321</v>
      </c>
      <c r="O6287" s="10">
        <f>IFERROR(__xludf.DUMMYFUNCTION("VALUE(REGEXEXTRACT(A6287, ""\d+""))"),9091.0)</f>
        <v>9091</v>
      </c>
    </row>
    <row r="6288">
      <c r="A6288" s="9" t="s">
        <v>22323</v>
      </c>
      <c r="B6288" s="9" t="s">
        <v>22320</v>
      </c>
      <c r="G6288" s="9" t="s">
        <v>22321</v>
      </c>
      <c r="O6288" s="10">
        <f>IFERROR(__xludf.DUMMYFUNCTION("VALUE(REGEXEXTRACT(A6288, ""\d+""))"),9092.0)</f>
        <v>9092</v>
      </c>
    </row>
    <row r="6289">
      <c r="A6289" s="9" t="s">
        <v>22324</v>
      </c>
      <c r="B6289" s="9" t="s">
        <v>22325</v>
      </c>
      <c r="G6289" s="9" t="s">
        <v>22326</v>
      </c>
      <c r="O6289" s="10">
        <f>IFERROR(__xludf.DUMMYFUNCTION("VALUE(REGEXEXTRACT(A6289, ""\d+""))"),9094.0)</f>
        <v>9094</v>
      </c>
    </row>
    <row r="6290">
      <c r="A6290" s="9" t="s">
        <v>22327</v>
      </c>
      <c r="B6290" s="9" t="s">
        <v>22328</v>
      </c>
      <c r="G6290" s="9" t="s">
        <v>22329</v>
      </c>
      <c r="O6290" s="10">
        <f>IFERROR(__xludf.DUMMYFUNCTION("VALUE(REGEXEXTRACT(A6290, ""\d+""))"),9095.0)</f>
        <v>9095</v>
      </c>
    </row>
    <row r="6291">
      <c r="A6291" s="9" t="s">
        <v>22330</v>
      </c>
      <c r="B6291" s="9" t="s">
        <v>22331</v>
      </c>
      <c r="G6291" s="9" t="s">
        <v>22332</v>
      </c>
      <c r="O6291" s="10">
        <f>IFERROR(__xludf.DUMMYFUNCTION("VALUE(REGEXEXTRACT(A6291, ""\d+""))"),9096.0)</f>
        <v>9096</v>
      </c>
    </row>
    <row r="6292">
      <c r="A6292" s="9" t="s">
        <v>22333</v>
      </c>
      <c r="B6292" s="9" t="s">
        <v>22334</v>
      </c>
      <c r="G6292" s="9" t="s">
        <v>22335</v>
      </c>
      <c r="O6292" s="10">
        <f>IFERROR(__xludf.DUMMYFUNCTION("VALUE(REGEXEXTRACT(A6292, ""\d+""))"),9097.0)</f>
        <v>9097</v>
      </c>
    </row>
    <row r="6293">
      <c r="A6293" s="9" t="s">
        <v>22336</v>
      </c>
      <c r="B6293" s="9" t="s">
        <v>22337</v>
      </c>
      <c r="G6293" s="9" t="s">
        <v>22338</v>
      </c>
      <c r="O6293" s="10">
        <f>IFERROR(__xludf.DUMMYFUNCTION("VALUE(REGEXEXTRACT(A6293, ""\d+""))"),9098.0)</f>
        <v>9098</v>
      </c>
    </row>
    <row r="6294">
      <c r="A6294" s="9" t="s">
        <v>22339</v>
      </c>
      <c r="B6294" s="9" t="s">
        <v>22340</v>
      </c>
      <c r="G6294" s="9" t="s">
        <v>22341</v>
      </c>
      <c r="O6294" s="10">
        <f>IFERROR(__xludf.DUMMYFUNCTION("VALUE(REGEXEXTRACT(A6294, ""\d+""))"),9099.0)</f>
        <v>9099</v>
      </c>
    </row>
    <row r="6295">
      <c r="A6295" s="9" t="s">
        <v>22342</v>
      </c>
      <c r="B6295" s="9" t="s">
        <v>22343</v>
      </c>
      <c r="G6295" s="9" t="s">
        <v>22344</v>
      </c>
      <c r="O6295" s="10">
        <f>IFERROR(__xludf.DUMMYFUNCTION("VALUE(REGEXEXTRACT(A6295, ""\d+""))"),9100.0)</f>
        <v>9100</v>
      </c>
    </row>
    <row r="6296">
      <c r="A6296" s="9" t="s">
        <v>22345</v>
      </c>
      <c r="B6296" s="9" t="s">
        <v>22346</v>
      </c>
      <c r="G6296" s="9" t="s">
        <v>22347</v>
      </c>
      <c r="O6296" s="10">
        <f>IFERROR(__xludf.DUMMYFUNCTION("VALUE(REGEXEXTRACT(A6296, ""\d+""))"),9101.0)</f>
        <v>9101</v>
      </c>
    </row>
    <row r="6297">
      <c r="A6297" s="9" t="s">
        <v>22348</v>
      </c>
      <c r="B6297" s="9" t="s">
        <v>22349</v>
      </c>
      <c r="G6297" s="9" t="s">
        <v>22350</v>
      </c>
      <c r="O6297" s="10">
        <f>IFERROR(__xludf.DUMMYFUNCTION("VALUE(REGEXEXTRACT(A6297, ""\d+""))"),9102.0)</f>
        <v>9102</v>
      </c>
    </row>
    <row r="6298">
      <c r="A6298" s="9" t="s">
        <v>22351</v>
      </c>
      <c r="B6298" s="9" t="s">
        <v>22352</v>
      </c>
      <c r="G6298" s="9" t="s">
        <v>22353</v>
      </c>
      <c r="O6298" s="10">
        <f>IFERROR(__xludf.DUMMYFUNCTION("VALUE(REGEXEXTRACT(A6298, ""\d+""))"),9103.0)</f>
        <v>9103</v>
      </c>
    </row>
    <row r="6299">
      <c r="A6299" s="9" t="s">
        <v>22354</v>
      </c>
      <c r="B6299" s="9" t="s">
        <v>22334</v>
      </c>
      <c r="G6299" s="9" t="s">
        <v>22335</v>
      </c>
      <c r="O6299" s="10">
        <f>IFERROR(__xludf.DUMMYFUNCTION("VALUE(REGEXEXTRACT(A6299, ""\d+""))"),9104.0)</f>
        <v>9104</v>
      </c>
    </row>
    <row r="6300">
      <c r="A6300" s="9" t="s">
        <v>22355</v>
      </c>
      <c r="B6300" s="9" t="s">
        <v>22356</v>
      </c>
      <c r="G6300" s="9" t="s">
        <v>22357</v>
      </c>
      <c r="O6300" s="10">
        <f>IFERROR(__xludf.DUMMYFUNCTION("VALUE(REGEXEXTRACT(A6300, ""\d+""))"),9105.0)</f>
        <v>9105</v>
      </c>
    </row>
    <row r="6301">
      <c r="A6301" s="9" t="s">
        <v>22358</v>
      </c>
      <c r="B6301" s="9" t="s">
        <v>22359</v>
      </c>
      <c r="G6301" s="9" t="s">
        <v>22360</v>
      </c>
      <c r="O6301" s="10">
        <f>IFERROR(__xludf.DUMMYFUNCTION("VALUE(REGEXEXTRACT(A6301, ""\d+""))"),9106.0)</f>
        <v>9106</v>
      </c>
    </row>
    <row r="6302">
      <c r="A6302" s="9" t="s">
        <v>22361</v>
      </c>
      <c r="B6302" s="9" t="s">
        <v>22362</v>
      </c>
      <c r="G6302" s="9" t="s">
        <v>22363</v>
      </c>
      <c r="O6302" s="10">
        <f>IFERROR(__xludf.DUMMYFUNCTION("VALUE(REGEXEXTRACT(A6302, ""\d+""))"),9107.0)</f>
        <v>9107</v>
      </c>
    </row>
    <row r="6303">
      <c r="A6303" s="9" t="s">
        <v>22364</v>
      </c>
      <c r="B6303" s="9" t="s">
        <v>22365</v>
      </c>
      <c r="G6303" s="9" t="s">
        <v>21830</v>
      </c>
      <c r="O6303" s="10">
        <f>IFERROR(__xludf.DUMMYFUNCTION("VALUE(REGEXEXTRACT(A6303, ""\d+""))"),9109.0)</f>
        <v>9109</v>
      </c>
    </row>
    <row r="6304">
      <c r="A6304" s="9" t="s">
        <v>22366</v>
      </c>
      <c r="B6304" s="9" t="s">
        <v>22367</v>
      </c>
      <c r="G6304" s="9" t="s">
        <v>22368</v>
      </c>
      <c r="O6304" s="10">
        <f>IFERROR(__xludf.DUMMYFUNCTION("VALUE(REGEXEXTRACT(A6304, ""\d+""))"),9110.0)</f>
        <v>9110</v>
      </c>
    </row>
    <row r="6305">
      <c r="A6305" s="9" t="s">
        <v>22369</v>
      </c>
      <c r="B6305" s="9" t="s">
        <v>22370</v>
      </c>
      <c r="G6305" s="9" t="s">
        <v>22371</v>
      </c>
      <c r="O6305" s="10">
        <f>IFERROR(__xludf.DUMMYFUNCTION("VALUE(REGEXEXTRACT(A6305, ""\d+""))"),9111.0)</f>
        <v>9111</v>
      </c>
    </row>
    <row r="6306">
      <c r="A6306" s="9" t="s">
        <v>22372</v>
      </c>
      <c r="B6306" s="9" t="s">
        <v>22373</v>
      </c>
      <c r="G6306" s="9" t="s">
        <v>22374</v>
      </c>
      <c r="O6306" s="10">
        <f>IFERROR(__xludf.DUMMYFUNCTION("VALUE(REGEXEXTRACT(A6306, ""\d+""))"),9112.0)</f>
        <v>9112</v>
      </c>
    </row>
    <row r="6307">
      <c r="A6307" s="9" t="s">
        <v>22375</v>
      </c>
      <c r="B6307" s="9" t="s">
        <v>22376</v>
      </c>
      <c r="G6307" s="9" t="s">
        <v>22377</v>
      </c>
      <c r="O6307" s="10">
        <f>IFERROR(__xludf.DUMMYFUNCTION("VALUE(REGEXEXTRACT(A6307, ""\d+""))"),9113.0)</f>
        <v>9113</v>
      </c>
    </row>
    <row r="6308">
      <c r="A6308" s="9" t="s">
        <v>22378</v>
      </c>
      <c r="B6308" s="9" t="s">
        <v>22379</v>
      </c>
      <c r="G6308" s="9" t="s">
        <v>22380</v>
      </c>
      <c r="O6308" s="10">
        <f>IFERROR(__xludf.DUMMYFUNCTION("VALUE(REGEXEXTRACT(A6308, ""\d+""))"),9114.0)</f>
        <v>9114</v>
      </c>
    </row>
    <row r="6309">
      <c r="A6309" s="9" t="s">
        <v>22381</v>
      </c>
      <c r="B6309" s="9" t="s">
        <v>22382</v>
      </c>
      <c r="G6309" s="9" t="s">
        <v>22383</v>
      </c>
      <c r="O6309" s="10">
        <f>IFERROR(__xludf.DUMMYFUNCTION("VALUE(REGEXEXTRACT(A6309, ""\d+""))"),9115.0)</f>
        <v>9115</v>
      </c>
    </row>
    <row r="6310">
      <c r="A6310" s="9" t="s">
        <v>22384</v>
      </c>
      <c r="B6310" s="9" t="s">
        <v>22385</v>
      </c>
      <c r="G6310" s="9" t="s">
        <v>22386</v>
      </c>
      <c r="O6310" s="10">
        <f>IFERROR(__xludf.DUMMYFUNCTION("VALUE(REGEXEXTRACT(A6310, ""\d+""))"),9116.0)</f>
        <v>9116</v>
      </c>
    </row>
    <row r="6311">
      <c r="A6311" s="9" t="s">
        <v>22387</v>
      </c>
      <c r="B6311" s="9" t="s">
        <v>22388</v>
      </c>
      <c r="G6311" s="9" t="s">
        <v>22389</v>
      </c>
      <c r="O6311" s="10">
        <f>IFERROR(__xludf.DUMMYFUNCTION("VALUE(REGEXEXTRACT(A6311, ""\d+""))"),9117.0)</f>
        <v>9117</v>
      </c>
    </row>
    <row r="6312">
      <c r="A6312" s="9" t="s">
        <v>22390</v>
      </c>
      <c r="B6312" s="9" t="s">
        <v>22391</v>
      </c>
      <c r="G6312" s="9" t="s">
        <v>22392</v>
      </c>
      <c r="O6312" s="10">
        <f>IFERROR(__xludf.DUMMYFUNCTION("VALUE(REGEXEXTRACT(A6312, ""\d+""))"),9118.0)</f>
        <v>9118</v>
      </c>
    </row>
    <row r="6313">
      <c r="A6313" s="9" t="s">
        <v>22393</v>
      </c>
      <c r="B6313" s="9" t="s">
        <v>22394</v>
      </c>
      <c r="G6313" s="9" t="s">
        <v>22395</v>
      </c>
      <c r="O6313" s="10">
        <f>IFERROR(__xludf.DUMMYFUNCTION("VALUE(REGEXEXTRACT(A6313, ""\d+""))"),9122.0)</f>
        <v>9122</v>
      </c>
    </row>
    <row r="6314">
      <c r="A6314" s="9" t="s">
        <v>22396</v>
      </c>
      <c r="B6314" s="9" t="s">
        <v>22397</v>
      </c>
      <c r="G6314" s="9" t="s">
        <v>22398</v>
      </c>
      <c r="O6314" s="10">
        <f>IFERROR(__xludf.DUMMYFUNCTION("VALUE(REGEXEXTRACT(A6314, ""\d+""))"),9123.0)</f>
        <v>9123</v>
      </c>
    </row>
    <row r="6315">
      <c r="A6315" s="9" t="s">
        <v>22399</v>
      </c>
      <c r="B6315" s="9" t="s">
        <v>22400</v>
      </c>
      <c r="G6315" s="9" t="s">
        <v>22401</v>
      </c>
      <c r="O6315" s="10">
        <f>IFERROR(__xludf.DUMMYFUNCTION("VALUE(REGEXEXTRACT(A6315, ""\d+""))"),9124.0)</f>
        <v>9124</v>
      </c>
    </row>
    <row r="6316">
      <c r="A6316" s="9" t="s">
        <v>22402</v>
      </c>
      <c r="B6316" s="9" t="s">
        <v>22403</v>
      </c>
      <c r="G6316" s="9" t="s">
        <v>22404</v>
      </c>
      <c r="O6316" s="10">
        <f>IFERROR(__xludf.DUMMYFUNCTION("VALUE(REGEXEXTRACT(A6316, ""\d+""))"),9125.0)</f>
        <v>9125</v>
      </c>
    </row>
    <row r="6317">
      <c r="A6317" s="9" t="s">
        <v>22405</v>
      </c>
      <c r="B6317" s="9" t="s">
        <v>22406</v>
      </c>
      <c r="G6317" s="9" t="s">
        <v>22407</v>
      </c>
      <c r="O6317" s="10">
        <f>IFERROR(__xludf.DUMMYFUNCTION("VALUE(REGEXEXTRACT(A6317, ""\d+""))"),9126.0)</f>
        <v>9126</v>
      </c>
    </row>
    <row r="6318">
      <c r="A6318" s="9" t="s">
        <v>22408</v>
      </c>
      <c r="B6318" s="9" t="s">
        <v>22409</v>
      </c>
      <c r="G6318" s="9" t="s">
        <v>22409</v>
      </c>
      <c r="O6318" s="10">
        <f>IFERROR(__xludf.DUMMYFUNCTION("VALUE(REGEXEXTRACT(A6318, ""\d+""))"),9127.0)</f>
        <v>9127</v>
      </c>
    </row>
    <row r="6319">
      <c r="A6319" s="9" t="s">
        <v>22410</v>
      </c>
      <c r="B6319" s="9" t="s">
        <v>22411</v>
      </c>
      <c r="G6319" s="9" t="s">
        <v>22412</v>
      </c>
      <c r="O6319" s="10">
        <f>IFERROR(__xludf.DUMMYFUNCTION("VALUE(REGEXEXTRACT(A6319, ""\d+""))"),9128.0)</f>
        <v>9128</v>
      </c>
    </row>
    <row r="6320">
      <c r="A6320" s="9" t="s">
        <v>22413</v>
      </c>
      <c r="B6320" s="9" t="s">
        <v>22414</v>
      </c>
      <c r="G6320" s="9" t="s">
        <v>22415</v>
      </c>
      <c r="O6320" s="10">
        <f>IFERROR(__xludf.DUMMYFUNCTION("VALUE(REGEXEXTRACT(A6320, ""\d+""))"),9129.0)</f>
        <v>9129</v>
      </c>
    </row>
    <row r="6321">
      <c r="A6321" s="9" t="s">
        <v>22416</v>
      </c>
      <c r="B6321" s="9" t="s">
        <v>22417</v>
      </c>
      <c r="G6321" s="9" t="s">
        <v>22418</v>
      </c>
      <c r="O6321" s="10">
        <f>IFERROR(__xludf.DUMMYFUNCTION("VALUE(REGEXEXTRACT(A6321, ""\d+""))"),9130.0)</f>
        <v>9130</v>
      </c>
    </row>
    <row r="6322">
      <c r="A6322" s="9" t="s">
        <v>22419</v>
      </c>
      <c r="B6322" s="9" t="s">
        <v>22420</v>
      </c>
      <c r="G6322" s="9" t="s">
        <v>22421</v>
      </c>
      <c r="O6322" s="10">
        <f>IFERROR(__xludf.DUMMYFUNCTION("VALUE(REGEXEXTRACT(A6322, ""\d+""))"),9131.0)</f>
        <v>9131</v>
      </c>
    </row>
    <row r="6323">
      <c r="A6323" s="9" t="s">
        <v>22422</v>
      </c>
      <c r="B6323" s="9" t="s">
        <v>22423</v>
      </c>
      <c r="G6323" s="9" t="s">
        <v>22424</v>
      </c>
      <c r="O6323" s="10">
        <f>IFERROR(__xludf.DUMMYFUNCTION("VALUE(REGEXEXTRACT(A6323, ""\d+""))"),9132.0)</f>
        <v>9132</v>
      </c>
    </row>
    <row r="6324">
      <c r="A6324" s="9" t="s">
        <v>22425</v>
      </c>
      <c r="B6324" s="9" t="s">
        <v>22426</v>
      </c>
      <c r="G6324" s="9" t="s">
        <v>22427</v>
      </c>
      <c r="O6324" s="10">
        <f>IFERROR(__xludf.DUMMYFUNCTION("VALUE(REGEXEXTRACT(A6324, ""\d+""))"),9133.0)</f>
        <v>9133</v>
      </c>
    </row>
    <row r="6325">
      <c r="A6325" s="9" t="s">
        <v>22428</v>
      </c>
      <c r="B6325" s="9" t="s">
        <v>22429</v>
      </c>
      <c r="G6325" s="9" t="s">
        <v>22430</v>
      </c>
      <c r="O6325" s="10">
        <f>IFERROR(__xludf.DUMMYFUNCTION("VALUE(REGEXEXTRACT(A6325, ""\d+""))"),9134.0)</f>
        <v>9134</v>
      </c>
    </row>
    <row r="6326">
      <c r="A6326" s="9" t="s">
        <v>22431</v>
      </c>
      <c r="B6326" s="9" t="s">
        <v>22432</v>
      </c>
      <c r="G6326" s="9" t="s">
        <v>22433</v>
      </c>
      <c r="O6326" s="10">
        <f>IFERROR(__xludf.DUMMYFUNCTION("VALUE(REGEXEXTRACT(A6326, ""\d+""))"),9135.0)</f>
        <v>9135</v>
      </c>
    </row>
    <row r="6327">
      <c r="A6327" s="9" t="s">
        <v>22434</v>
      </c>
      <c r="B6327" s="9" t="s">
        <v>22435</v>
      </c>
      <c r="G6327" s="9" t="s">
        <v>22436</v>
      </c>
      <c r="O6327" s="10">
        <f>IFERROR(__xludf.DUMMYFUNCTION("VALUE(REGEXEXTRACT(A6327, ""\d+""))"),9136.0)</f>
        <v>9136</v>
      </c>
    </row>
    <row r="6328">
      <c r="A6328" s="9" t="s">
        <v>22437</v>
      </c>
      <c r="B6328" s="9" t="s">
        <v>22438</v>
      </c>
      <c r="G6328" s="9" t="s">
        <v>22439</v>
      </c>
      <c r="O6328" s="10">
        <f>IFERROR(__xludf.DUMMYFUNCTION("VALUE(REGEXEXTRACT(A6328, ""\d+""))"),9137.0)</f>
        <v>9137</v>
      </c>
    </row>
    <row r="6329">
      <c r="A6329" s="9" t="s">
        <v>22440</v>
      </c>
      <c r="B6329" s="9" t="s">
        <v>22441</v>
      </c>
      <c r="G6329" s="9" t="s">
        <v>22442</v>
      </c>
      <c r="O6329" s="10">
        <f>IFERROR(__xludf.DUMMYFUNCTION("VALUE(REGEXEXTRACT(A6329, ""\d+""))"),9138.0)</f>
        <v>9138</v>
      </c>
    </row>
    <row r="6330">
      <c r="A6330" s="9" t="s">
        <v>22443</v>
      </c>
      <c r="B6330" s="9" t="s">
        <v>22444</v>
      </c>
      <c r="G6330" s="9" t="s">
        <v>22445</v>
      </c>
      <c r="O6330" s="10">
        <f>IFERROR(__xludf.DUMMYFUNCTION("VALUE(REGEXEXTRACT(A6330, ""\d+""))"),9139.0)</f>
        <v>9139</v>
      </c>
    </row>
    <row r="6331">
      <c r="A6331" s="9" t="s">
        <v>22446</v>
      </c>
      <c r="B6331" s="9" t="s">
        <v>22447</v>
      </c>
      <c r="G6331" s="9" t="s">
        <v>22448</v>
      </c>
      <c r="O6331" s="10">
        <f>IFERROR(__xludf.DUMMYFUNCTION("VALUE(REGEXEXTRACT(A6331, ""\d+""))"),9140.0)</f>
        <v>9140</v>
      </c>
    </row>
    <row r="6332">
      <c r="A6332" s="9" t="s">
        <v>22449</v>
      </c>
      <c r="B6332" s="9" t="s">
        <v>22450</v>
      </c>
      <c r="G6332" s="9" t="s">
        <v>22451</v>
      </c>
      <c r="O6332" s="10">
        <f>IFERROR(__xludf.DUMMYFUNCTION("VALUE(REGEXEXTRACT(A6332, ""\d+""))"),9141.0)</f>
        <v>9141</v>
      </c>
    </row>
    <row r="6333">
      <c r="A6333" s="9" t="s">
        <v>22452</v>
      </c>
      <c r="B6333" s="9" t="s">
        <v>22453</v>
      </c>
      <c r="G6333" s="9" t="s">
        <v>22454</v>
      </c>
      <c r="O6333" s="10">
        <f>IFERROR(__xludf.DUMMYFUNCTION("VALUE(REGEXEXTRACT(A6333, ""\d+""))"),9142.0)</f>
        <v>9142</v>
      </c>
    </row>
    <row r="6334">
      <c r="A6334" s="9" t="s">
        <v>22455</v>
      </c>
      <c r="B6334" s="9" t="s">
        <v>22456</v>
      </c>
      <c r="G6334" s="9" t="s">
        <v>22457</v>
      </c>
      <c r="O6334" s="10">
        <f>IFERROR(__xludf.DUMMYFUNCTION("VALUE(REGEXEXTRACT(A6334, ""\d+""))"),9143.0)</f>
        <v>9143</v>
      </c>
    </row>
    <row r="6335">
      <c r="A6335" s="9" t="s">
        <v>22458</v>
      </c>
      <c r="B6335" s="9" t="s">
        <v>22459</v>
      </c>
      <c r="G6335" s="9" t="s">
        <v>22460</v>
      </c>
      <c r="O6335" s="10">
        <f>IFERROR(__xludf.DUMMYFUNCTION("VALUE(REGEXEXTRACT(A6335, ""\d+""))"),9144.0)</f>
        <v>9144</v>
      </c>
    </row>
    <row r="6336">
      <c r="A6336" s="9" t="s">
        <v>22461</v>
      </c>
      <c r="B6336" s="9" t="s">
        <v>22462</v>
      </c>
      <c r="G6336" s="9" t="s">
        <v>22463</v>
      </c>
      <c r="O6336" s="10">
        <f>IFERROR(__xludf.DUMMYFUNCTION("VALUE(REGEXEXTRACT(A6336, ""\d+""))"),9145.0)</f>
        <v>9145</v>
      </c>
    </row>
    <row r="6337">
      <c r="A6337" s="9" t="s">
        <v>22464</v>
      </c>
      <c r="B6337" s="9" t="s">
        <v>22465</v>
      </c>
      <c r="G6337" s="9" t="s">
        <v>22466</v>
      </c>
      <c r="O6337" s="10">
        <f>IFERROR(__xludf.DUMMYFUNCTION("VALUE(REGEXEXTRACT(A6337, ""\d+""))"),9146.0)</f>
        <v>9146</v>
      </c>
    </row>
    <row r="6338">
      <c r="A6338" s="9" t="s">
        <v>22467</v>
      </c>
      <c r="B6338" s="9" t="s">
        <v>22468</v>
      </c>
      <c r="G6338" s="9" t="s">
        <v>22469</v>
      </c>
      <c r="O6338" s="10">
        <f>IFERROR(__xludf.DUMMYFUNCTION("VALUE(REGEXEXTRACT(A6338, ""\d+""))"),9147.0)</f>
        <v>9147</v>
      </c>
    </row>
    <row r="6339">
      <c r="A6339" s="9" t="s">
        <v>22470</v>
      </c>
      <c r="B6339" s="9" t="s">
        <v>22471</v>
      </c>
      <c r="G6339" s="9" t="s">
        <v>22472</v>
      </c>
      <c r="O6339" s="10">
        <f>IFERROR(__xludf.DUMMYFUNCTION("VALUE(REGEXEXTRACT(A6339, ""\d+""))"),9148.0)</f>
        <v>9148</v>
      </c>
    </row>
    <row r="6340">
      <c r="A6340" s="9" t="s">
        <v>22473</v>
      </c>
      <c r="B6340" s="9" t="s">
        <v>22474</v>
      </c>
      <c r="G6340" s="9" t="s">
        <v>22475</v>
      </c>
      <c r="O6340" s="10">
        <f>IFERROR(__xludf.DUMMYFUNCTION("VALUE(REGEXEXTRACT(A6340, ""\d+""))"),9149.0)</f>
        <v>9149</v>
      </c>
    </row>
    <row r="6341">
      <c r="A6341" s="9" t="s">
        <v>22476</v>
      </c>
      <c r="B6341" s="9" t="s">
        <v>22477</v>
      </c>
      <c r="G6341" s="9" t="s">
        <v>22478</v>
      </c>
      <c r="O6341" s="10">
        <f>IFERROR(__xludf.DUMMYFUNCTION("VALUE(REGEXEXTRACT(A6341, ""\d+""))"),9150.0)</f>
        <v>9150</v>
      </c>
    </row>
    <row r="6342">
      <c r="A6342" s="9" t="s">
        <v>22479</v>
      </c>
      <c r="B6342" s="9" t="s">
        <v>22480</v>
      </c>
      <c r="G6342" s="9" t="s">
        <v>22481</v>
      </c>
      <c r="O6342" s="10">
        <f>IFERROR(__xludf.DUMMYFUNCTION("VALUE(REGEXEXTRACT(A6342, ""\d+""))"),9151.0)</f>
        <v>9151</v>
      </c>
    </row>
    <row r="6343">
      <c r="A6343" s="9" t="s">
        <v>22482</v>
      </c>
      <c r="B6343" s="9" t="s">
        <v>22483</v>
      </c>
      <c r="G6343" s="9" t="s">
        <v>22484</v>
      </c>
      <c r="O6343" s="10">
        <f>IFERROR(__xludf.DUMMYFUNCTION("VALUE(REGEXEXTRACT(A6343, ""\d+""))"),9152.0)</f>
        <v>9152</v>
      </c>
    </row>
    <row r="6344">
      <c r="A6344" s="9" t="s">
        <v>22485</v>
      </c>
      <c r="B6344" s="9" t="s">
        <v>22486</v>
      </c>
      <c r="G6344" s="9" t="s">
        <v>22487</v>
      </c>
      <c r="O6344" s="10">
        <f>IFERROR(__xludf.DUMMYFUNCTION("VALUE(REGEXEXTRACT(A6344, ""\d+""))"),9153.0)</f>
        <v>9153</v>
      </c>
    </row>
    <row r="6345">
      <c r="A6345" s="9" t="s">
        <v>22488</v>
      </c>
      <c r="B6345" s="9" t="s">
        <v>22489</v>
      </c>
      <c r="G6345" s="9" t="s">
        <v>22490</v>
      </c>
      <c r="O6345" s="10">
        <f>IFERROR(__xludf.DUMMYFUNCTION("VALUE(REGEXEXTRACT(A6345, ""\d+""))"),9154.0)</f>
        <v>9154</v>
      </c>
    </row>
    <row r="6346">
      <c r="A6346" s="9" t="s">
        <v>22491</v>
      </c>
      <c r="B6346" s="9" t="s">
        <v>22492</v>
      </c>
      <c r="G6346" s="9" t="s">
        <v>22493</v>
      </c>
      <c r="O6346" s="10">
        <f>IFERROR(__xludf.DUMMYFUNCTION("VALUE(REGEXEXTRACT(A6346, ""\d+""))"),9155.0)</f>
        <v>9155</v>
      </c>
    </row>
    <row r="6347">
      <c r="A6347" s="9" t="s">
        <v>22494</v>
      </c>
      <c r="B6347" s="9" t="s">
        <v>22495</v>
      </c>
      <c r="G6347" s="9" t="s">
        <v>22496</v>
      </c>
      <c r="O6347" s="10">
        <f>IFERROR(__xludf.DUMMYFUNCTION("VALUE(REGEXEXTRACT(A6347, ""\d+""))"),9156.0)</f>
        <v>9156</v>
      </c>
    </row>
    <row r="6348">
      <c r="A6348" s="9" t="s">
        <v>22497</v>
      </c>
      <c r="B6348" s="9" t="s">
        <v>22495</v>
      </c>
      <c r="G6348" s="9" t="s">
        <v>22496</v>
      </c>
      <c r="O6348" s="10">
        <f>IFERROR(__xludf.DUMMYFUNCTION("VALUE(REGEXEXTRACT(A6348, ""\d+""))"),9157.0)</f>
        <v>9157</v>
      </c>
    </row>
    <row r="6349">
      <c r="A6349" s="9" t="s">
        <v>22498</v>
      </c>
      <c r="B6349" s="9" t="s">
        <v>22499</v>
      </c>
      <c r="G6349" s="9" t="s">
        <v>22500</v>
      </c>
      <c r="O6349" s="10">
        <f>IFERROR(__xludf.DUMMYFUNCTION("VALUE(REGEXEXTRACT(A6349, ""\d+""))"),9158.0)</f>
        <v>9158</v>
      </c>
    </row>
    <row r="6350">
      <c r="A6350" s="9" t="s">
        <v>22501</v>
      </c>
      <c r="B6350" s="9" t="s">
        <v>22502</v>
      </c>
      <c r="G6350" s="9" t="s">
        <v>22503</v>
      </c>
      <c r="O6350" s="10">
        <f>IFERROR(__xludf.DUMMYFUNCTION("VALUE(REGEXEXTRACT(A6350, ""\d+""))"),10000.0)</f>
        <v>10000</v>
      </c>
    </row>
    <row r="6351">
      <c r="A6351" s="9" t="s">
        <v>22504</v>
      </c>
      <c r="B6351" s="9" t="s">
        <v>22505</v>
      </c>
      <c r="G6351" s="9" t="s">
        <v>22506</v>
      </c>
      <c r="O6351" s="10">
        <f>IFERROR(__xludf.DUMMYFUNCTION("VALUE(REGEXEXTRACT(A6351, ""\d+""))"),10001.0)</f>
        <v>10001</v>
      </c>
    </row>
    <row r="6352">
      <c r="A6352" s="9" t="s">
        <v>22507</v>
      </c>
      <c r="B6352" s="9" t="s">
        <v>22508</v>
      </c>
      <c r="G6352" s="9" t="s">
        <v>22509</v>
      </c>
      <c r="O6352" s="10">
        <f>IFERROR(__xludf.DUMMYFUNCTION("VALUE(REGEXEXTRACT(A6352, ""\d+""))"),10002.0)</f>
        <v>10002</v>
      </c>
    </row>
    <row r="6353">
      <c r="A6353" s="9" t="s">
        <v>22510</v>
      </c>
      <c r="B6353" s="9" t="s">
        <v>22511</v>
      </c>
      <c r="G6353" s="9" t="s">
        <v>22512</v>
      </c>
      <c r="O6353" s="10">
        <f>IFERROR(__xludf.DUMMYFUNCTION("VALUE(REGEXEXTRACT(A6353, ""\d+""))"),10003.0)</f>
        <v>10003</v>
      </c>
    </row>
    <row r="6354">
      <c r="A6354" s="9" t="s">
        <v>22513</v>
      </c>
      <c r="B6354" s="9" t="s">
        <v>13591</v>
      </c>
      <c r="G6354" s="9" t="s">
        <v>22514</v>
      </c>
      <c r="O6354" s="10">
        <f>IFERROR(__xludf.DUMMYFUNCTION("VALUE(REGEXEXTRACT(A6354, ""\d+""))"),10004.0)</f>
        <v>10004</v>
      </c>
    </row>
    <row r="6355">
      <c r="A6355" s="9" t="s">
        <v>22515</v>
      </c>
      <c r="B6355" s="9" t="s">
        <v>22516</v>
      </c>
      <c r="G6355" s="9" t="s">
        <v>22517</v>
      </c>
      <c r="O6355" s="10">
        <f>IFERROR(__xludf.DUMMYFUNCTION("VALUE(REGEXEXTRACT(A6355, ""\d+""))"),10005.0)</f>
        <v>10005</v>
      </c>
    </row>
    <row r="6356">
      <c r="A6356" s="9" t="s">
        <v>22518</v>
      </c>
      <c r="B6356" s="9" t="s">
        <v>22519</v>
      </c>
      <c r="G6356" s="9" t="s">
        <v>22520</v>
      </c>
      <c r="O6356" s="10">
        <f>IFERROR(__xludf.DUMMYFUNCTION("VALUE(REGEXEXTRACT(A6356, ""\d+""))"),10006.0)</f>
        <v>10006</v>
      </c>
    </row>
    <row r="6357">
      <c r="A6357" s="9" t="s">
        <v>22521</v>
      </c>
      <c r="B6357" s="9" t="s">
        <v>22522</v>
      </c>
      <c r="G6357" s="9" t="s">
        <v>22523</v>
      </c>
      <c r="O6357" s="10">
        <f>IFERROR(__xludf.DUMMYFUNCTION("VALUE(REGEXEXTRACT(A6357, ""\d+""))"),10007.0)</f>
        <v>10007</v>
      </c>
    </row>
    <row r="6358">
      <c r="A6358" s="9" t="s">
        <v>22524</v>
      </c>
      <c r="B6358" s="9" t="s">
        <v>22525</v>
      </c>
      <c r="G6358" s="9" t="s">
        <v>22526</v>
      </c>
      <c r="O6358" s="10">
        <f>IFERROR(__xludf.DUMMYFUNCTION("VALUE(REGEXEXTRACT(A6358, ""\d+""))"),10008.0)</f>
        <v>10008</v>
      </c>
    </row>
    <row r="6359">
      <c r="A6359" s="9" t="s">
        <v>22527</v>
      </c>
      <c r="B6359" s="9" t="s">
        <v>22528</v>
      </c>
      <c r="G6359" s="9" t="s">
        <v>22529</v>
      </c>
      <c r="O6359" s="10">
        <f>IFERROR(__xludf.DUMMYFUNCTION("VALUE(REGEXEXTRACT(A6359, ""\d+""))"),10009.0)</f>
        <v>10009</v>
      </c>
    </row>
    <row r="6360">
      <c r="A6360" s="9" t="s">
        <v>22530</v>
      </c>
      <c r="B6360" s="9" t="s">
        <v>22531</v>
      </c>
      <c r="G6360" s="9" t="s">
        <v>22532</v>
      </c>
      <c r="O6360" s="10">
        <f>IFERROR(__xludf.DUMMYFUNCTION("VALUE(REGEXEXTRACT(A6360, ""\d+""))"),10010.0)</f>
        <v>10010</v>
      </c>
    </row>
    <row r="6361">
      <c r="A6361" s="9" t="s">
        <v>22533</v>
      </c>
      <c r="B6361" s="9" t="s">
        <v>22534</v>
      </c>
      <c r="G6361" s="9" t="s">
        <v>22535</v>
      </c>
      <c r="O6361" s="10">
        <f>IFERROR(__xludf.DUMMYFUNCTION("VALUE(REGEXEXTRACT(A6361, ""\d+""))"),10011.0)</f>
        <v>10011</v>
      </c>
    </row>
    <row r="6362">
      <c r="A6362" s="9" t="s">
        <v>22536</v>
      </c>
      <c r="B6362" s="9" t="s">
        <v>22537</v>
      </c>
      <c r="G6362" s="9" t="s">
        <v>22538</v>
      </c>
      <c r="O6362" s="10">
        <f>IFERROR(__xludf.DUMMYFUNCTION("VALUE(REGEXEXTRACT(A6362, ""\d+""))"),10012.0)</f>
        <v>10012</v>
      </c>
    </row>
    <row r="6363">
      <c r="A6363" s="9" t="s">
        <v>22539</v>
      </c>
      <c r="B6363" s="9" t="s">
        <v>13618</v>
      </c>
      <c r="G6363" s="9" t="s">
        <v>22540</v>
      </c>
      <c r="O6363" s="10">
        <f>IFERROR(__xludf.DUMMYFUNCTION("VALUE(REGEXEXTRACT(A6363, ""\d+""))"),10014.0)</f>
        <v>10014</v>
      </c>
    </row>
    <row r="6364">
      <c r="A6364" s="9" t="s">
        <v>22541</v>
      </c>
      <c r="B6364" s="9" t="s">
        <v>13621</v>
      </c>
      <c r="G6364" s="9" t="s">
        <v>22542</v>
      </c>
      <c r="O6364" s="10">
        <f>IFERROR(__xludf.DUMMYFUNCTION("VALUE(REGEXEXTRACT(A6364, ""\d+""))"),10015.0)</f>
        <v>10015</v>
      </c>
    </row>
    <row r="6365">
      <c r="A6365" s="9" t="s">
        <v>22543</v>
      </c>
      <c r="B6365" s="9" t="s">
        <v>22544</v>
      </c>
      <c r="G6365" s="9" t="s">
        <v>22545</v>
      </c>
      <c r="O6365" s="10">
        <f>IFERROR(__xludf.DUMMYFUNCTION("VALUE(REGEXEXTRACT(A6365, ""\d+""))"),10023.0)</f>
        <v>10023</v>
      </c>
    </row>
    <row r="6366">
      <c r="A6366" s="9" t="s">
        <v>22546</v>
      </c>
      <c r="B6366" s="9" t="s">
        <v>22547</v>
      </c>
      <c r="G6366" s="9" t="s">
        <v>22548</v>
      </c>
      <c r="O6366" s="10">
        <f>IFERROR(__xludf.DUMMYFUNCTION("VALUE(REGEXEXTRACT(A6366, ""\d+""))"),10024.0)</f>
        <v>10024</v>
      </c>
    </row>
    <row r="6367">
      <c r="A6367" s="9" t="s">
        <v>22549</v>
      </c>
      <c r="B6367" s="9" t="s">
        <v>22547</v>
      </c>
      <c r="G6367" s="9" t="s">
        <v>22548</v>
      </c>
      <c r="O6367" s="10">
        <f>IFERROR(__xludf.DUMMYFUNCTION("VALUE(REGEXEXTRACT(A6367, ""\d+""))"),10025.0)</f>
        <v>10025</v>
      </c>
    </row>
    <row r="6368">
      <c r="A6368" s="9" t="s">
        <v>22550</v>
      </c>
      <c r="B6368" s="9" t="s">
        <v>22551</v>
      </c>
      <c r="G6368" s="9" t="s">
        <v>22552</v>
      </c>
      <c r="O6368" s="10">
        <f>IFERROR(__xludf.DUMMYFUNCTION("VALUE(REGEXEXTRACT(A6368, ""\d+""))"),10026.0)</f>
        <v>10026</v>
      </c>
    </row>
    <row r="6369">
      <c r="A6369" s="9" t="s">
        <v>22553</v>
      </c>
      <c r="B6369" s="9" t="s">
        <v>22551</v>
      </c>
      <c r="G6369" s="9" t="s">
        <v>22552</v>
      </c>
      <c r="O6369" s="10">
        <f>IFERROR(__xludf.DUMMYFUNCTION("VALUE(REGEXEXTRACT(A6369, ""\d+""))"),10027.0)</f>
        <v>10027</v>
      </c>
    </row>
    <row r="6370">
      <c r="A6370" s="9" t="s">
        <v>22554</v>
      </c>
      <c r="B6370" s="9" t="s">
        <v>22555</v>
      </c>
      <c r="G6370" s="9" t="s">
        <v>22556</v>
      </c>
      <c r="O6370" s="10">
        <f>IFERROR(__xludf.DUMMYFUNCTION("VALUE(REGEXEXTRACT(A6370, ""\d+""))"),10028.0)</f>
        <v>10028</v>
      </c>
    </row>
    <row r="6371">
      <c r="A6371" s="9" t="s">
        <v>22557</v>
      </c>
      <c r="B6371" s="9" t="s">
        <v>22558</v>
      </c>
      <c r="G6371" s="9" t="s">
        <v>22559</v>
      </c>
      <c r="O6371" s="10">
        <f>IFERROR(__xludf.DUMMYFUNCTION("VALUE(REGEXEXTRACT(A6371, ""\d+""))"),10030.0)</f>
        <v>10030</v>
      </c>
    </row>
    <row r="6372">
      <c r="A6372" s="9" t="s">
        <v>22560</v>
      </c>
      <c r="B6372" s="9" t="s">
        <v>22561</v>
      </c>
      <c r="G6372" s="9" t="s">
        <v>22562</v>
      </c>
      <c r="O6372" s="10">
        <f>IFERROR(__xludf.DUMMYFUNCTION("VALUE(REGEXEXTRACT(A6372, ""\d+""))"),10032.0)</f>
        <v>10032</v>
      </c>
    </row>
    <row r="6373">
      <c r="A6373" s="9" t="s">
        <v>22563</v>
      </c>
      <c r="B6373" s="9" t="s">
        <v>22564</v>
      </c>
      <c r="G6373" s="9" t="s">
        <v>22565</v>
      </c>
      <c r="O6373" s="10">
        <f>IFERROR(__xludf.DUMMYFUNCTION("VALUE(REGEXEXTRACT(A6373, ""\d+""))"),10033.0)</f>
        <v>10033</v>
      </c>
    </row>
    <row r="6374">
      <c r="A6374" s="9" t="s">
        <v>22566</v>
      </c>
      <c r="B6374" s="9" t="s">
        <v>22567</v>
      </c>
      <c r="G6374" s="9" t="s">
        <v>22568</v>
      </c>
      <c r="O6374" s="10">
        <f>IFERROR(__xludf.DUMMYFUNCTION("VALUE(REGEXEXTRACT(A6374, ""\d+""))"),10034.0)</f>
        <v>10034</v>
      </c>
    </row>
    <row r="6375">
      <c r="A6375" s="9" t="s">
        <v>22569</v>
      </c>
      <c r="B6375" s="9" t="s">
        <v>22570</v>
      </c>
      <c r="G6375" s="9" t="s">
        <v>22571</v>
      </c>
      <c r="O6375" s="10">
        <f>IFERROR(__xludf.DUMMYFUNCTION("VALUE(REGEXEXTRACT(A6375, ""\d+""))"),10035.0)</f>
        <v>10035</v>
      </c>
    </row>
    <row r="6376">
      <c r="A6376" s="9" t="s">
        <v>22572</v>
      </c>
      <c r="B6376" s="9" t="s">
        <v>22573</v>
      </c>
      <c r="G6376" s="9" t="s">
        <v>22574</v>
      </c>
      <c r="O6376" s="10">
        <f>IFERROR(__xludf.DUMMYFUNCTION("VALUE(REGEXEXTRACT(A6376, ""\d+""))"),10036.0)</f>
        <v>10036</v>
      </c>
    </row>
    <row r="6377">
      <c r="A6377" s="9" t="s">
        <v>22575</v>
      </c>
      <c r="B6377" s="9" t="s">
        <v>22576</v>
      </c>
      <c r="G6377" s="9" t="s">
        <v>22577</v>
      </c>
      <c r="O6377" s="10">
        <f>IFERROR(__xludf.DUMMYFUNCTION("VALUE(REGEXEXTRACT(A6377, ""\d+""))"),10037.0)</f>
        <v>10037</v>
      </c>
    </row>
    <row r="6378">
      <c r="A6378" s="9" t="s">
        <v>22578</v>
      </c>
      <c r="B6378" s="9" t="s">
        <v>22579</v>
      </c>
      <c r="G6378" s="9" t="s">
        <v>22580</v>
      </c>
      <c r="O6378" s="10">
        <f>IFERROR(__xludf.DUMMYFUNCTION("VALUE(REGEXEXTRACT(A6378, ""\d+""))"),10038.0)</f>
        <v>10038</v>
      </c>
    </row>
    <row r="6379">
      <c r="A6379" s="9" t="s">
        <v>22581</v>
      </c>
      <c r="B6379" s="9" t="s">
        <v>22582</v>
      </c>
      <c r="G6379" s="9" t="s">
        <v>22583</v>
      </c>
      <c r="O6379" s="10">
        <f>IFERROR(__xludf.DUMMYFUNCTION("VALUE(REGEXEXTRACT(A6379, ""\d+""))"),10039.0)</f>
        <v>10039</v>
      </c>
    </row>
    <row r="6380">
      <c r="A6380" s="9" t="s">
        <v>22584</v>
      </c>
      <c r="B6380" s="9" t="s">
        <v>22585</v>
      </c>
      <c r="G6380" s="9" t="s">
        <v>22586</v>
      </c>
      <c r="O6380" s="10">
        <f>IFERROR(__xludf.DUMMYFUNCTION("VALUE(REGEXEXTRACT(A6380, ""\d+""))"),10043.0)</f>
        <v>10043</v>
      </c>
    </row>
    <row r="6381">
      <c r="A6381" s="9" t="s">
        <v>22587</v>
      </c>
      <c r="B6381" s="9" t="s">
        <v>22588</v>
      </c>
      <c r="G6381" s="9" t="s">
        <v>22589</v>
      </c>
      <c r="O6381" s="10">
        <f>IFERROR(__xludf.DUMMYFUNCTION("VALUE(REGEXEXTRACT(A6381, ""\d+""))"),10044.0)</f>
        <v>10044</v>
      </c>
    </row>
    <row r="6382">
      <c r="A6382" s="9" t="s">
        <v>22590</v>
      </c>
      <c r="B6382" s="9" t="s">
        <v>22591</v>
      </c>
      <c r="G6382" s="9" t="s">
        <v>22592</v>
      </c>
      <c r="O6382" s="10">
        <f>IFERROR(__xludf.DUMMYFUNCTION("VALUE(REGEXEXTRACT(A6382, ""\d+""))"),10045.0)</f>
        <v>10045</v>
      </c>
    </row>
    <row r="6383">
      <c r="A6383" s="9" t="s">
        <v>22593</v>
      </c>
      <c r="B6383" s="9" t="s">
        <v>22594</v>
      </c>
      <c r="G6383" s="9" t="s">
        <v>22595</v>
      </c>
      <c r="O6383" s="10">
        <f>IFERROR(__xludf.DUMMYFUNCTION("VALUE(REGEXEXTRACT(A6383, ""\d+""))"),10048.0)</f>
        <v>10048</v>
      </c>
    </row>
    <row r="6384">
      <c r="A6384" s="9" t="s">
        <v>22596</v>
      </c>
      <c r="B6384" s="9" t="s">
        <v>22597</v>
      </c>
      <c r="G6384" s="9" t="s">
        <v>22598</v>
      </c>
      <c r="O6384" s="10">
        <f>IFERROR(__xludf.DUMMYFUNCTION("VALUE(REGEXEXTRACT(A6384, ""\d+""))"),10049.0)</f>
        <v>10049</v>
      </c>
    </row>
    <row r="6385">
      <c r="A6385" s="9" t="s">
        <v>22599</v>
      </c>
      <c r="B6385" s="9" t="s">
        <v>22600</v>
      </c>
      <c r="G6385" s="9" t="s">
        <v>22601</v>
      </c>
      <c r="O6385" s="10">
        <f>IFERROR(__xludf.DUMMYFUNCTION("VALUE(REGEXEXTRACT(A6385, ""\d+""))"),10050.0)</f>
        <v>10050</v>
      </c>
    </row>
    <row r="6386">
      <c r="A6386" s="9" t="s">
        <v>22602</v>
      </c>
      <c r="B6386" s="9" t="s">
        <v>22603</v>
      </c>
      <c r="G6386" s="9" t="s">
        <v>22604</v>
      </c>
      <c r="O6386" s="10">
        <f>IFERROR(__xludf.DUMMYFUNCTION("VALUE(REGEXEXTRACT(A6386, ""\d+""))"),10052.0)</f>
        <v>10052</v>
      </c>
    </row>
    <row r="6387">
      <c r="A6387" s="9" t="s">
        <v>22605</v>
      </c>
      <c r="B6387" s="9" t="s">
        <v>22606</v>
      </c>
      <c r="G6387" s="9" t="s">
        <v>22607</v>
      </c>
      <c r="O6387" s="10">
        <f>IFERROR(__xludf.DUMMYFUNCTION("VALUE(REGEXEXTRACT(A6387, ""\d+""))"),10053.0)</f>
        <v>10053</v>
      </c>
    </row>
    <row r="6388">
      <c r="A6388" s="9" t="s">
        <v>22608</v>
      </c>
      <c r="B6388" s="9" t="s">
        <v>22609</v>
      </c>
      <c r="G6388" s="9" t="s">
        <v>22610</v>
      </c>
      <c r="O6388" s="10">
        <f>IFERROR(__xludf.DUMMYFUNCTION("VALUE(REGEXEXTRACT(A6388, ""\d+""))"),10054.0)</f>
        <v>10054</v>
      </c>
    </row>
    <row r="6389">
      <c r="A6389" s="9" t="s">
        <v>22611</v>
      </c>
      <c r="B6389" s="9" t="s">
        <v>22612</v>
      </c>
      <c r="G6389" s="9" t="s">
        <v>22613</v>
      </c>
      <c r="O6389" s="10">
        <f>IFERROR(__xludf.DUMMYFUNCTION("VALUE(REGEXEXTRACT(A6389, ""\d+""))"),10055.0)</f>
        <v>10055</v>
      </c>
    </row>
    <row r="6390">
      <c r="A6390" s="9" t="s">
        <v>22614</v>
      </c>
      <c r="B6390" s="9" t="s">
        <v>22615</v>
      </c>
      <c r="G6390" s="9" t="s">
        <v>22616</v>
      </c>
      <c r="O6390" s="10">
        <f>IFERROR(__xludf.DUMMYFUNCTION("VALUE(REGEXEXTRACT(A6390, ""\d+""))"),10056.0)</f>
        <v>10056</v>
      </c>
    </row>
    <row r="6391">
      <c r="A6391" s="9" t="s">
        <v>22617</v>
      </c>
      <c r="B6391" s="9" t="s">
        <v>22618</v>
      </c>
      <c r="G6391" s="9" t="s">
        <v>22619</v>
      </c>
      <c r="O6391" s="10">
        <f>IFERROR(__xludf.DUMMYFUNCTION("VALUE(REGEXEXTRACT(A6391, ""\d+""))"),10057.0)</f>
        <v>10057</v>
      </c>
    </row>
    <row r="6392">
      <c r="A6392" s="9" t="s">
        <v>22620</v>
      </c>
      <c r="B6392" s="9" t="s">
        <v>22621</v>
      </c>
      <c r="G6392" s="9" t="s">
        <v>22622</v>
      </c>
      <c r="O6392" s="10">
        <f>IFERROR(__xludf.DUMMYFUNCTION("VALUE(REGEXEXTRACT(A6392, ""\d+""))"),10058.0)</f>
        <v>10058</v>
      </c>
    </row>
    <row r="6393">
      <c r="A6393" s="9" t="s">
        <v>22623</v>
      </c>
      <c r="B6393" s="9" t="s">
        <v>22624</v>
      </c>
      <c r="G6393" s="9" t="s">
        <v>22625</v>
      </c>
      <c r="O6393" s="10">
        <f>IFERROR(__xludf.DUMMYFUNCTION("VALUE(REGEXEXTRACT(A6393, ""\d+""))"),10059.0)</f>
        <v>10059</v>
      </c>
    </row>
    <row r="6394">
      <c r="A6394" s="9" t="s">
        <v>22626</v>
      </c>
      <c r="B6394" s="9" t="s">
        <v>22627</v>
      </c>
      <c r="G6394" s="9" t="s">
        <v>22628</v>
      </c>
      <c r="O6394" s="10">
        <f>IFERROR(__xludf.DUMMYFUNCTION("VALUE(REGEXEXTRACT(A6394, ""\d+""))"),10060.0)</f>
        <v>10060</v>
      </c>
    </row>
    <row r="6395">
      <c r="A6395" s="9" t="s">
        <v>22629</v>
      </c>
      <c r="B6395" s="9" t="s">
        <v>22630</v>
      </c>
      <c r="G6395" s="9" t="s">
        <v>22631</v>
      </c>
      <c r="O6395" s="10">
        <f>IFERROR(__xludf.DUMMYFUNCTION("VALUE(REGEXEXTRACT(A6395, ""\d+""))"),10061.0)</f>
        <v>10061</v>
      </c>
    </row>
    <row r="6396">
      <c r="A6396" s="9" t="s">
        <v>22632</v>
      </c>
      <c r="B6396" s="9" t="s">
        <v>22633</v>
      </c>
      <c r="G6396" s="9" t="s">
        <v>22634</v>
      </c>
      <c r="O6396" s="10">
        <f>IFERROR(__xludf.DUMMYFUNCTION("VALUE(REGEXEXTRACT(A6396, ""\d+""))"),10062.0)</f>
        <v>10062</v>
      </c>
    </row>
    <row r="6397">
      <c r="A6397" s="9" t="s">
        <v>22635</v>
      </c>
      <c r="B6397" s="9" t="s">
        <v>22636</v>
      </c>
      <c r="G6397" s="9" t="s">
        <v>22637</v>
      </c>
      <c r="O6397" s="10">
        <f>IFERROR(__xludf.DUMMYFUNCTION("VALUE(REGEXEXTRACT(A6397, ""\d+""))"),10063.0)</f>
        <v>10063</v>
      </c>
    </row>
    <row r="6398">
      <c r="A6398" s="9" t="s">
        <v>22638</v>
      </c>
      <c r="B6398" s="9" t="s">
        <v>22639</v>
      </c>
      <c r="G6398" s="9" t="s">
        <v>22640</v>
      </c>
      <c r="O6398" s="10">
        <f>IFERROR(__xludf.DUMMYFUNCTION("VALUE(REGEXEXTRACT(A6398, ""\d+""))"),10064.0)</f>
        <v>10064</v>
      </c>
    </row>
    <row r="6399">
      <c r="A6399" s="9" t="s">
        <v>22641</v>
      </c>
      <c r="B6399" s="9" t="s">
        <v>22642</v>
      </c>
      <c r="G6399" s="9" t="s">
        <v>22643</v>
      </c>
      <c r="O6399" s="10">
        <f>IFERROR(__xludf.DUMMYFUNCTION("VALUE(REGEXEXTRACT(A6399, ""\d+""))"),10065.0)</f>
        <v>10065</v>
      </c>
    </row>
    <row r="6400">
      <c r="A6400" s="9" t="s">
        <v>22644</v>
      </c>
      <c r="B6400" s="9" t="s">
        <v>22645</v>
      </c>
      <c r="G6400" s="9" t="s">
        <v>22646</v>
      </c>
      <c r="O6400" s="10">
        <f>IFERROR(__xludf.DUMMYFUNCTION("VALUE(REGEXEXTRACT(A6400, ""\d+""))"),10066.0)</f>
        <v>10066</v>
      </c>
    </row>
    <row r="6401">
      <c r="A6401" s="9" t="s">
        <v>22647</v>
      </c>
      <c r="B6401" s="9" t="s">
        <v>22648</v>
      </c>
      <c r="G6401" s="9" t="s">
        <v>22649</v>
      </c>
      <c r="O6401" s="10">
        <f>IFERROR(__xludf.DUMMYFUNCTION("VALUE(REGEXEXTRACT(A6401, ""\d+""))"),10067.0)</f>
        <v>10067</v>
      </c>
    </row>
    <row r="6402">
      <c r="A6402" s="9" t="s">
        <v>22650</v>
      </c>
      <c r="B6402" s="9" t="s">
        <v>22651</v>
      </c>
      <c r="G6402" s="9" t="s">
        <v>22652</v>
      </c>
      <c r="O6402" s="10">
        <f>IFERROR(__xludf.DUMMYFUNCTION("VALUE(REGEXEXTRACT(A6402, ""\d+""))"),10068.0)</f>
        <v>10068</v>
      </c>
    </row>
    <row r="6403">
      <c r="A6403" s="9" t="s">
        <v>22653</v>
      </c>
      <c r="B6403" s="9" t="s">
        <v>22654</v>
      </c>
      <c r="G6403" s="9" t="s">
        <v>22655</v>
      </c>
      <c r="O6403" s="10">
        <f>IFERROR(__xludf.DUMMYFUNCTION("VALUE(REGEXEXTRACT(A6403, ""\d+""))"),10069.0)</f>
        <v>10069</v>
      </c>
    </row>
    <row r="6404">
      <c r="A6404" s="9" t="s">
        <v>22656</v>
      </c>
      <c r="B6404" s="9" t="s">
        <v>22657</v>
      </c>
      <c r="G6404" s="9" t="s">
        <v>22658</v>
      </c>
      <c r="O6404" s="10">
        <f>IFERROR(__xludf.DUMMYFUNCTION("VALUE(REGEXEXTRACT(A6404, ""\d+""))"),10070.0)</f>
        <v>10070</v>
      </c>
    </row>
    <row r="6405">
      <c r="A6405" s="9" t="s">
        <v>22659</v>
      </c>
      <c r="B6405" s="9" t="s">
        <v>22660</v>
      </c>
      <c r="G6405" s="9" t="s">
        <v>22661</v>
      </c>
      <c r="O6405" s="10">
        <f>IFERROR(__xludf.DUMMYFUNCTION("VALUE(REGEXEXTRACT(A6405, ""\d+""))"),10071.0)</f>
        <v>10071</v>
      </c>
    </row>
    <row r="6406">
      <c r="A6406" s="9" t="s">
        <v>22662</v>
      </c>
      <c r="B6406" s="9" t="s">
        <v>22663</v>
      </c>
      <c r="G6406" s="9" t="s">
        <v>22664</v>
      </c>
      <c r="O6406" s="10">
        <f>IFERROR(__xludf.DUMMYFUNCTION("VALUE(REGEXEXTRACT(A6406, ""\d+""))"),10072.0)</f>
        <v>10072</v>
      </c>
    </row>
    <row r="6407">
      <c r="A6407" s="9" t="s">
        <v>22665</v>
      </c>
      <c r="B6407" s="9" t="s">
        <v>22666</v>
      </c>
      <c r="G6407" s="9" t="s">
        <v>22667</v>
      </c>
      <c r="O6407" s="10">
        <f>IFERROR(__xludf.DUMMYFUNCTION("VALUE(REGEXEXTRACT(A6407, ""\d+""))"),10073.0)</f>
        <v>10073</v>
      </c>
    </row>
    <row r="6408">
      <c r="A6408" s="9" t="s">
        <v>22668</v>
      </c>
      <c r="B6408" s="9" t="s">
        <v>22669</v>
      </c>
      <c r="G6408" s="9" t="s">
        <v>22670</v>
      </c>
      <c r="O6408" s="10">
        <f>IFERROR(__xludf.DUMMYFUNCTION("VALUE(REGEXEXTRACT(A6408, ""\d+""))"),10074.0)</f>
        <v>10074</v>
      </c>
    </row>
    <row r="6409">
      <c r="A6409" s="9" t="s">
        <v>22671</v>
      </c>
      <c r="B6409" s="9" t="s">
        <v>22672</v>
      </c>
      <c r="G6409" s="9" t="s">
        <v>22673</v>
      </c>
      <c r="O6409" s="10">
        <f>IFERROR(__xludf.DUMMYFUNCTION("VALUE(REGEXEXTRACT(A6409, ""\d+""))"),10075.0)</f>
        <v>10075</v>
      </c>
    </row>
    <row r="6410">
      <c r="A6410" s="9" t="s">
        <v>22674</v>
      </c>
      <c r="B6410" s="9" t="s">
        <v>22675</v>
      </c>
      <c r="G6410" s="9" t="s">
        <v>22676</v>
      </c>
      <c r="O6410" s="10">
        <f>IFERROR(__xludf.DUMMYFUNCTION("VALUE(REGEXEXTRACT(A6410, ""\d+""))"),10076.0)</f>
        <v>10076</v>
      </c>
    </row>
    <row r="6411">
      <c r="A6411" s="9" t="s">
        <v>22677</v>
      </c>
      <c r="B6411" s="9" t="s">
        <v>22678</v>
      </c>
      <c r="G6411" s="9" t="s">
        <v>22679</v>
      </c>
      <c r="O6411" s="10">
        <f>IFERROR(__xludf.DUMMYFUNCTION("VALUE(REGEXEXTRACT(A6411, ""\d+""))"),10077.0)</f>
        <v>10077</v>
      </c>
    </row>
    <row r="6412">
      <c r="A6412" s="9" t="s">
        <v>22680</v>
      </c>
      <c r="B6412" s="9" t="s">
        <v>22681</v>
      </c>
      <c r="G6412" s="9" t="s">
        <v>22682</v>
      </c>
      <c r="O6412" s="10">
        <f>IFERROR(__xludf.DUMMYFUNCTION("VALUE(REGEXEXTRACT(A6412, ""\d+""))"),10078.0)</f>
        <v>10078</v>
      </c>
    </row>
    <row r="6413">
      <c r="A6413" s="9" t="s">
        <v>22683</v>
      </c>
      <c r="B6413" s="9" t="s">
        <v>22684</v>
      </c>
      <c r="G6413" s="9" t="s">
        <v>22685</v>
      </c>
      <c r="O6413" s="10">
        <f>IFERROR(__xludf.DUMMYFUNCTION("VALUE(REGEXEXTRACT(A6413, ""\d+""))"),10079.0)</f>
        <v>10079</v>
      </c>
    </row>
    <row r="6414">
      <c r="A6414" s="9" t="s">
        <v>22686</v>
      </c>
      <c r="B6414" s="9" t="s">
        <v>22687</v>
      </c>
      <c r="G6414" s="9" t="s">
        <v>22688</v>
      </c>
      <c r="O6414" s="10">
        <f>IFERROR(__xludf.DUMMYFUNCTION("VALUE(REGEXEXTRACT(A6414, ""\d+""))"),10080.0)</f>
        <v>10080</v>
      </c>
    </row>
    <row r="6415">
      <c r="A6415" s="9" t="s">
        <v>22689</v>
      </c>
      <c r="B6415" s="9" t="s">
        <v>22690</v>
      </c>
      <c r="G6415" s="9" t="s">
        <v>22691</v>
      </c>
      <c r="O6415" s="10">
        <f>IFERROR(__xludf.DUMMYFUNCTION("VALUE(REGEXEXTRACT(A6415, ""\d+""))"),10081.0)</f>
        <v>10081</v>
      </c>
    </row>
    <row r="6416">
      <c r="A6416" s="9" t="s">
        <v>22692</v>
      </c>
      <c r="B6416" s="9" t="s">
        <v>22693</v>
      </c>
      <c r="G6416" s="9" t="s">
        <v>22694</v>
      </c>
      <c r="O6416" s="10">
        <f>IFERROR(__xludf.DUMMYFUNCTION("VALUE(REGEXEXTRACT(A6416, ""\d+""))"),10082.0)</f>
        <v>10082</v>
      </c>
    </row>
    <row r="6417">
      <c r="A6417" s="9" t="s">
        <v>22695</v>
      </c>
      <c r="B6417" s="9" t="s">
        <v>22696</v>
      </c>
      <c r="G6417" s="9" t="s">
        <v>22697</v>
      </c>
      <c r="O6417" s="10">
        <f>IFERROR(__xludf.DUMMYFUNCTION("VALUE(REGEXEXTRACT(A6417, ""\d+""))"),10083.0)</f>
        <v>10083</v>
      </c>
    </row>
    <row r="6418">
      <c r="A6418" s="9" t="s">
        <v>22698</v>
      </c>
      <c r="B6418" s="9" t="s">
        <v>22699</v>
      </c>
      <c r="G6418" s="9" t="s">
        <v>22700</v>
      </c>
      <c r="O6418" s="10">
        <f>IFERROR(__xludf.DUMMYFUNCTION("VALUE(REGEXEXTRACT(A6418, ""\d+""))"),10084.0)</f>
        <v>10084</v>
      </c>
    </row>
    <row r="6419">
      <c r="A6419" s="9" t="s">
        <v>22701</v>
      </c>
      <c r="B6419" s="9" t="s">
        <v>22702</v>
      </c>
      <c r="G6419" s="9" t="s">
        <v>22703</v>
      </c>
      <c r="O6419" s="10">
        <f>IFERROR(__xludf.DUMMYFUNCTION("VALUE(REGEXEXTRACT(A6419, ""\d+""))"),10085.0)</f>
        <v>10085</v>
      </c>
    </row>
    <row r="6420">
      <c r="A6420" s="9" t="s">
        <v>22704</v>
      </c>
      <c r="B6420" s="9" t="s">
        <v>22705</v>
      </c>
      <c r="G6420" s="9" t="s">
        <v>22706</v>
      </c>
      <c r="O6420" s="10">
        <f>IFERROR(__xludf.DUMMYFUNCTION("VALUE(REGEXEXTRACT(A6420, ""\d+""))"),10086.0)</f>
        <v>10086</v>
      </c>
    </row>
    <row r="6421">
      <c r="A6421" s="9" t="s">
        <v>22707</v>
      </c>
      <c r="B6421" s="9" t="s">
        <v>22708</v>
      </c>
      <c r="G6421" s="9" t="s">
        <v>22709</v>
      </c>
      <c r="O6421" s="10">
        <f>IFERROR(__xludf.DUMMYFUNCTION("VALUE(REGEXEXTRACT(A6421, ""\d+""))"),10087.0)</f>
        <v>10087</v>
      </c>
    </row>
    <row r="6422">
      <c r="A6422" s="9" t="s">
        <v>22710</v>
      </c>
      <c r="B6422" s="9" t="s">
        <v>22711</v>
      </c>
      <c r="G6422" s="9" t="s">
        <v>22712</v>
      </c>
      <c r="O6422" s="10">
        <f>IFERROR(__xludf.DUMMYFUNCTION("VALUE(REGEXEXTRACT(A6422, ""\d+""))"),10088.0)</f>
        <v>10088</v>
      </c>
    </row>
    <row r="6423">
      <c r="A6423" s="9" t="s">
        <v>22713</v>
      </c>
      <c r="B6423" s="9" t="s">
        <v>22714</v>
      </c>
      <c r="G6423" s="9" t="s">
        <v>22715</v>
      </c>
      <c r="O6423" s="10">
        <f>IFERROR(__xludf.DUMMYFUNCTION("VALUE(REGEXEXTRACT(A6423, ""\d+""))"),10089.0)</f>
        <v>10089</v>
      </c>
    </row>
    <row r="6424">
      <c r="A6424" s="9" t="s">
        <v>22716</v>
      </c>
      <c r="B6424" s="9" t="s">
        <v>22717</v>
      </c>
      <c r="G6424" s="9" t="s">
        <v>22718</v>
      </c>
      <c r="O6424" s="10">
        <f>IFERROR(__xludf.DUMMYFUNCTION("VALUE(REGEXEXTRACT(A6424, ""\d+""))"),10090.0)</f>
        <v>10090</v>
      </c>
    </row>
    <row r="6425">
      <c r="A6425" s="9" t="s">
        <v>22719</v>
      </c>
      <c r="B6425" s="9" t="s">
        <v>22720</v>
      </c>
      <c r="G6425" s="9" t="s">
        <v>22721</v>
      </c>
      <c r="O6425" s="10">
        <f>IFERROR(__xludf.DUMMYFUNCTION("VALUE(REGEXEXTRACT(A6425, ""\d+""))"),10091.0)</f>
        <v>10091</v>
      </c>
    </row>
    <row r="6426">
      <c r="A6426" s="9" t="s">
        <v>22722</v>
      </c>
      <c r="B6426" s="9" t="s">
        <v>22723</v>
      </c>
      <c r="G6426" s="9" t="s">
        <v>22724</v>
      </c>
      <c r="O6426" s="10">
        <f>IFERROR(__xludf.DUMMYFUNCTION("VALUE(REGEXEXTRACT(A6426, ""\d+""))"),10092.0)</f>
        <v>10092</v>
      </c>
    </row>
    <row r="6427">
      <c r="A6427" s="9" t="s">
        <v>22725</v>
      </c>
      <c r="B6427" s="9" t="s">
        <v>22726</v>
      </c>
      <c r="G6427" s="9" t="s">
        <v>22727</v>
      </c>
      <c r="O6427" s="10">
        <f>IFERROR(__xludf.DUMMYFUNCTION("VALUE(REGEXEXTRACT(A6427, ""\d+""))"),10093.0)</f>
        <v>10093</v>
      </c>
    </row>
    <row r="6428">
      <c r="A6428" s="9" t="s">
        <v>22728</v>
      </c>
      <c r="B6428" s="9" t="s">
        <v>22729</v>
      </c>
      <c r="G6428" s="9" t="s">
        <v>22730</v>
      </c>
      <c r="O6428" s="10">
        <f>IFERROR(__xludf.DUMMYFUNCTION("VALUE(REGEXEXTRACT(A6428, ""\d+""))"),10096.0)</f>
        <v>10096</v>
      </c>
    </row>
    <row r="6429">
      <c r="A6429" s="9" t="s">
        <v>22731</v>
      </c>
      <c r="B6429" s="9" t="s">
        <v>22732</v>
      </c>
      <c r="G6429" s="9" t="s">
        <v>22733</v>
      </c>
      <c r="O6429" s="10">
        <f>IFERROR(__xludf.DUMMYFUNCTION("VALUE(REGEXEXTRACT(A6429, ""\d+""))"),10097.0)</f>
        <v>10097</v>
      </c>
    </row>
    <row r="6430">
      <c r="A6430" s="9" t="s">
        <v>22734</v>
      </c>
      <c r="B6430" s="9" t="s">
        <v>22735</v>
      </c>
      <c r="G6430" s="9" t="s">
        <v>22736</v>
      </c>
      <c r="O6430" s="10">
        <f>IFERROR(__xludf.DUMMYFUNCTION("VALUE(REGEXEXTRACT(A6430, ""\d+""))"),10098.0)</f>
        <v>10098</v>
      </c>
    </row>
    <row r="6431">
      <c r="A6431" s="9" t="s">
        <v>22737</v>
      </c>
      <c r="B6431" s="9" t="s">
        <v>22738</v>
      </c>
      <c r="G6431" s="9" t="s">
        <v>22739</v>
      </c>
      <c r="O6431" s="10">
        <f>IFERROR(__xludf.DUMMYFUNCTION("VALUE(REGEXEXTRACT(A6431, ""\d+""))"),10099.0)</f>
        <v>10099</v>
      </c>
    </row>
    <row r="6432">
      <c r="A6432" s="9" t="s">
        <v>22740</v>
      </c>
      <c r="B6432" s="9" t="s">
        <v>22741</v>
      </c>
      <c r="G6432" s="9" t="s">
        <v>22742</v>
      </c>
      <c r="O6432" s="10">
        <f>IFERROR(__xludf.DUMMYFUNCTION("VALUE(REGEXEXTRACT(A6432, ""\d+""))"),10100.0)</f>
        <v>10100</v>
      </c>
    </row>
    <row r="6433">
      <c r="A6433" s="9" t="s">
        <v>22743</v>
      </c>
      <c r="B6433" s="9" t="s">
        <v>22744</v>
      </c>
      <c r="G6433" s="9" t="s">
        <v>22745</v>
      </c>
      <c r="O6433" s="10">
        <f>IFERROR(__xludf.DUMMYFUNCTION("VALUE(REGEXEXTRACT(A6433, ""\d+""))"),10101.0)</f>
        <v>10101</v>
      </c>
    </row>
    <row r="6434">
      <c r="A6434" s="9" t="s">
        <v>22746</v>
      </c>
      <c r="B6434" s="9" t="s">
        <v>22747</v>
      </c>
      <c r="G6434" s="9" t="s">
        <v>22748</v>
      </c>
      <c r="O6434" s="10">
        <f>IFERROR(__xludf.DUMMYFUNCTION("VALUE(REGEXEXTRACT(A6434, ""\d+""))"),10102.0)</f>
        <v>10102</v>
      </c>
    </row>
    <row r="6435">
      <c r="A6435" s="9" t="s">
        <v>22749</v>
      </c>
      <c r="B6435" s="9" t="s">
        <v>22750</v>
      </c>
      <c r="G6435" s="9" t="s">
        <v>22751</v>
      </c>
      <c r="O6435" s="10">
        <f>IFERROR(__xludf.DUMMYFUNCTION("VALUE(REGEXEXTRACT(A6435, ""\d+""))"),10118.0)</f>
        <v>10118</v>
      </c>
    </row>
    <row r="6436">
      <c r="A6436" s="9" t="s">
        <v>22752</v>
      </c>
      <c r="B6436" s="9" t="s">
        <v>22753</v>
      </c>
      <c r="G6436" s="9" t="s">
        <v>22754</v>
      </c>
      <c r="O6436" s="10">
        <f>IFERROR(__xludf.DUMMYFUNCTION("VALUE(REGEXEXTRACT(A6436, ""\d+""))"),10119.0)</f>
        <v>10119</v>
      </c>
    </row>
    <row r="6437">
      <c r="A6437" s="9" t="s">
        <v>22755</v>
      </c>
      <c r="B6437" s="9" t="s">
        <v>22756</v>
      </c>
      <c r="G6437" s="9" t="s">
        <v>22757</v>
      </c>
      <c r="O6437" s="10">
        <f>IFERROR(__xludf.DUMMYFUNCTION("VALUE(REGEXEXTRACT(A6437, ""\d+""))"),10120.0)</f>
        <v>10120</v>
      </c>
    </row>
    <row r="6438">
      <c r="A6438" s="9" t="s">
        <v>22758</v>
      </c>
      <c r="B6438" s="9" t="s">
        <v>22759</v>
      </c>
      <c r="G6438" s="9" t="s">
        <v>22760</v>
      </c>
      <c r="O6438" s="10">
        <f>IFERROR(__xludf.DUMMYFUNCTION("VALUE(REGEXEXTRACT(A6438, ""\d+""))"),10121.0)</f>
        <v>10121</v>
      </c>
    </row>
    <row r="6439">
      <c r="A6439" s="9" t="s">
        <v>22761</v>
      </c>
      <c r="B6439" s="9" t="s">
        <v>22551</v>
      </c>
      <c r="G6439" s="9" t="s">
        <v>22552</v>
      </c>
      <c r="O6439" s="10">
        <f>IFERROR(__xludf.DUMMYFUNCTION("VALUE(REGEXEXTRACT(A6439, ""\d+""))"),10129.0)</f>
        <v>10129</v>
      </c>
    </row>
    <row r="6440">
      <c r="A6440" s="9" t="s">
        <v>22762</v>
      </c>
      <c r="B6440" s="9" t="s">
        <v>22547</v>
      </c>
      <c r="G6440" s="9" t="s">
        <v>22548</v>
      </c>
      <c r="O6440" s="10">
        <f>IFERROR(__xludf.DUMMYFUNCTION("VALUE(REGEXEXTRACT(A6440, ""\d+""))"),10130.0)</f>
        <v>10130</v>
      </c>
    </row>
    <row r="6441">
      <c r="A6441" s="9" t="s">
        <v>22763</v>
      </c>
      <c r="B6441" s="9" t="s">
        <v>22764</v>
      </c>
      <c r="G6441" s="9" t="s">
        <v>22765</v>
      </c>
      <c r="O6441" s="10">
        <f>IFERROR(__xludf.DUMMYFUNCTION("VALUE(REGEXEXTRACT(A6441, ""\d+""))"),10131.0)</f>
        <v>10131</v>
      </c>
    </row>
    <row r="6442">
      <c r="A6442" s="9" t="s">
        <v>22766</v>
      </c>
      <c r="B6442" s="9" t="s">
        <v>22767</v>
      </c>
      <c r="G6442" s="9" t="s">
        <v>22768</v>
      </c>
      <c r="O6442" s="10">
        <f>IFERROR(__xludf.DUMMYFUNCTION("VALUE(REGEXEXTRACT(A6442, ""\d+""))"),10132.0)</f>
        <v>10132</v>
      </c>
    </row>
    <row r="6443">
      <c r="A6443" s="9" t="s">
        <v>22769</v>
      </c>
      <c r="B6443" s="9" t="s">
        <v>22770</v>
      </c>
      <c r="G6443" s="9" t="s">
        <v>22771</v>
      </c>
      <c r="O6443" s="10">
        <f>IFERROR(__xludf.DUMMYFUNCTION("VALUE(REGEXEXTRACT(A6443, ""\d+""))"),10133.0)</f>
        <v>10133</v>
      </c>
    </row>
    <row r="6444">
      <c r="A6444" s="9" t="s">
        <v>22772</v>
      </c>
      <c r="B6444" s="9" t="s">
        <v>21776</v>
      </c>
      <c r="G6444" s="9" t="s">
        <v>21777</v>
      </c>
      <c r="O6444" s="10">
        <f>IFERROR(__xludf.DUMMYFUNCTION("VALUE(REGEXEXTRACT(A6444, ""\d+""))"),10137.0)</f>
        <v>10137</v>
      </c>
    </row>
    <row r="6445">
      <c r="A6445" s="9" t="s">
        <v>22773</v>
      </c>
      <c r="B6445" s="9" t="s">
        <v>21773</v>
      </c>
      <c r="G6445" s="9" t="s">
        <v>21774</v>
      </c>
      <c r="O6445" s="10">
        <f>IFERROR(__xludf.DUMMYFUNCTION("VALUE(REGEXEXTRACT(A6445, ""\d+""))"),10138.0)</f>
        <v>10138</v>
      </c>
    </row>
    <row r="6446">
      <c r="A6446" s="9" t="s">
        <v>22774</v>
      </c>
      <c r="B6446" s="9" t="s">
        <v>22775</v>
      </c>
      <c r="G6446" s="9" t="s">
        <v>22776</v>
      </c>
      <c r="O6446" s="10">
        <f>IFERROR(__xludf.DUMMYFUNCTION("VALUE(REGEXEXTRACT(A6446, ""\d+""))"),10141.0)</f>
        <v>10141</v>
      </c>
    </row>
    <row r="6447">
      <c r="A6447" s="9" t="s">
        <v>22777</v>
      </c>
      <c r="B6447" s="9" t="s">
        <v>22778</v>
      </c>
      <c r="G6447" s="9" t="s">
        <v>22779</v>
      </c>
      <c r="O6447" s="10">
        <f>IFERROR(__xludf.DUMMYFUNCTION("VALUE(REGEXEXTRACT(A6447, ""\d+""))"),10142.0)</f>
        <v>10142</v>
      </c>
    </row>
    <row r="6448">
      <c r="A6448" s="9" t="s">
        <v>22780</v>
      </c>
      <c r="B6448" s="9" t="s">
        <v>22781</v>
      </c>
      <c r="G6448" s="9" t="s">
        <v>22782</v>
      </c>
      <c r="O6448" s="10">
        <f>IFERROR(__xludf.DUMMYFUNCTION("VALUE(REGEXEXTRACT(A6448, ""\d+""))"),10143.0)</f>
        <v>10143</v>
      </c>
    </row>
    <row r="6449">
      <c r="A6449" s="9" t="s">
        <v>22783</v>
      </c>
      <c r="B6449" s="9" t="s">
        <v>22784</v>
      </c>
      <c r="G6449" s="9" t="s">
        <v>22785</v>
      </c>
      <c r="O6449" s="10">
        <f>IFERROR(__xludf.DUMMYFUNCTION("VALUE(REGEXEXTRACT(A6449, ""\d+""))"),10144.0)</f>
        <v>10144</v>
      </c>
    </row>
    <row r="6450">
      <c r="A6450" s="9" t="s">
        <v>22786</v>
      </c>
      <c r="B6450" s="9" t="s">
        <v>22787</v>
      </c>
      <c r="G6450" s="9" t="s">
        <v>22788</v>
      </c>
      <c r="O6450" s="10">
        <f>IFERROR(__xludf.DUMMYFUNCTION("VALUE(REGEXEXTRACT(A6450, ""\d+""))"),10145.0)</f>
        <v>10145</v>
      </c>
    </row>
    <row r="6451">
      <c r="A6451" s="9" t="s">
        <v>22789</v>
      </c>
      <c r="B6451" s="9" t="s">
        <v>22790</v>
      </c>
      <c r="G6451" s="9" t="s">
        <v>22791</v>
      </c>
      <c r="O6451" s="10">
        <f>IFERROR(__xludf.DUMMYFUNCTION("VALUE(REGEXEXTRACT(A6451, ""\d+""))"),10146.0)</f>
        <v>10146</v>
      </c>
    </row>
    <row r="6452">
      <c r="A6452" s="9" t="s">
        <v>22792</v>
      </c>
      <c r="B6452" s="9" t="s">
        <v>22793</v>
      </c>
      <c r="G6452" s="9" t="s">
        <v>22794</v>
      </c>
      <c r="O6452" s="10">
        <f>IFERROR(__xludf.DUMMYFUNCTION("VALUE(REGEXEXTRACT(A6452, ""\d+""))"),10147.0)</f>
        <v>10147</v>
      </c>
    </row>
    <row r="6453">
      <c r="A6453" s="9" t="s">
        <v>22795</v>
      </c>
      <c r="B6453" s="9" t="s">
        <v>22796</v>
      </c>
      <c r="G6453" s="9" t="s">
        <v>22797</v>
      </c>
      <c r="O6453" s="10">
        <f>IFERROR(__xludf.DUMMYFUNCTION("VALUE(REGEXEXTRACT(A6453, ""\d+""))"),10150.0)</f>
        <v>10150</v>
      </c>
    </row>
    <row r="6454">
      <c r="A6454" s="9" t="s">
        <v>22798</v>
      </c>
      <c r="B6454" s="9" t="s">
        <v>22799</v>
      </c>
      <c r="G6454" s="9" t="s">
        <v>22800</v>
      </c>
      <c r="O6454" s="10">
        <f>IFERROR(__xludf.DUMMYFUNCTION("VALUE(REGEXEXTRACT(A6454, ""\d+""))"),10151.0)</f>
        <v>10151</v>
      </c>
    </row>
    <row r="6455">
      <c r="A6455" s="9" t="s">
        <v>22801</v>
      </c>
      <c r="B6455" s="9" t="s">
        <v>22802</v>
      </c>
      <c r="G6455" s="9" t="s">
        <v>22803</v>
      </c>
      <c r="O6455" s="10">
        <f>IFERROR(__xludf.DUMMYFUNCTION("VALUE(REGEXEXTRACT(A6455, ""\d+""))"),10152.0)</f>
        <v>10152</v>
      </c>
    </row>
    <row r="6456">
      <c r="A6456" s="9" t="s">
        <v>22804</v>
      </c>
      <c r="B6456" s="9" t="s">
        <v>22805</v>
      </c>
      <c r="G6456" s="9" t="s">
        <v>22806</v>
      </c>
      <c r="O6456" s="10">
        <f>IFERROR(__xludf.DUMMYFUNCTION("VALUE(REGEXEXTRACT(A6456, ""\d+""))"),10153.0)</f>
        <v>10153</v>
      </c>
    </row>
    <row r="6457">
      <c r="A6457" s="9" t="s">
        <v>22807</v>
      </c>
      <c r="B6457" s="9" t="s">
        <v>22808</v>
      </c>
      <c r="G6457" s="9" t="s">
        <v>22809</v>
      </c>
      <c r="O6457" s="10">
        <f>IFERROR(__xludf.DUMMYFUNCTION("VALUE(REGEXEXTRACT(A6457, ""\d+""))"),10154.0)</f>
        <v>10154</v>
      </c>
    </row>
    <row r="6458">
      <c r="A6458" s="9" t="s">
        <v>22810</v>
      </c>
      <c r="B6458" s="9" t="s">
        <v>22811</v>
      </c>
      <c r="G6458" s="9" t="s">
        <v>22812</v>
      </c>
      <c r="O6458" s="10">
        <f>IFERROR(__xludf.DUMMYFUNCTION("VALUE(REGEXEXTRACT(A6458, ""\d+""))"),10155.0)</f>
        <v>10155</v>
      </c>
    </row>
    <row r="6459">
      <c r="A6459" s="9" t="s">
        <v>22813</v>
      </c>
      <c r="B6459" s="9" t="s">
        <v>22814</v>
      </c>
      <c r="G6459" s="9" t="s">
        <v>22815</v>
      </c>
      <c r="O6459" s="10">
        <f>IFERROR(__xludf.DUMMYFUNCTION("VALUE(REGEXEXTRACT(A6459, ""\d+""))"),10156.0)</f>
        <v>10156</v>
      </c>
    </row>
    <row r="6460">
      <c r="A6460" s="9" t="s">
        <v>22816</v>
      </c>
      <c r="B6460" s="9" t="s">
        <v>22817</v>
      </c>
      <c r="G6460" s="9" t="s">
        <v>22818</v>
      </c>
      <c r="O6460" s="10">
        <f>IFERROR(__xludf.DUMMYFUNCTION("VALUE(REGEXEXTRACT(A6460, ""\d+""))"),10157.0)</f>
        <v>10157</v>
      </c>
    </row>
    <row r="6461">
      <c r="A6461" s="9" t="s">
        <v>22819</v>
      </c>
      <c r="B6461" s="9" t="s">
        <v>22820</v>
      </c>
      <c r="G6461" s="9" t="s">
        <v>22821</v>
      </c>
      <c r="O6461" s="10">
        <f>IFERROR(__xludf.DUMMYFUNCTION("VALUE(REGEXEXTRACT(A6461, ""\d+""))"),10161.0)</f>
        <v>10161</v>
      </c>
    </row>
    <row r="6462">
      <c r="A6462" s="9" t="s">
        <v>22822</v>
      </c>
      <c r="B6462" s="9" t="s">
        <v>22823</v>
      </c>
      <c r="G6462" s="9" t="s">
        <v>22824</v>
      </c>
      <c r="O6462" s="10">
        <f>IFERROR(__xludf.DUMMYFUNCTION("VALUE(REGEXEXTRACT(A6462, ""\d+""))"),10174.0)</f>
        <v>10174</v>
      </c>
    </row>
    <row r="6463">
      <c r="A6463" s="9" t="s">
        <v>22825</v>
      </c>
      <c r="B6463" s="9" t="s">
        <v>22826</v>
      </c>
      <c r="G6463" s="9" t="s">
        <v>22827</v>
      </c>
      <c r="O6463" s="10">
        <f>IFERROR(__xludf.DUMMYFUNCTION("VALUE(REGEXEXTRACT(A6463, ""\d+""))"),10175.0)</f>
        <v>10175</v>
      </c>
    </row>
    <row r="6464">
      <c r="A6464" s="9" t="s">
        <v>22828</v>
      </c>
      <c r="B6464" s="9" t="s">
        <v>22829</v>
      </c>
      <c r="G6464" s="9" t="s">
        <v>22830</v>
      </c>
      <c r="O6464" s="10">
        <f>IFERROR(__xludf.DUMMYFUNCTION("VALUE(REGEXEXTRACT(A6464, ""\d+""))"),10176.0)</f>
        <v>10176</v>
      </c>
    </row>
    <row r="6465">
      <c r="A6465" s="9" t="s">
        <v>22831</v>
      </c>
      <c r="B6465" s="9" t="s">
        <v>22832</v>
      </c>
      <c r="G6465" s="9" t="s">
        <v>22833</v>
      </c>
      <c r="O6465" s="10">
        <f>IFERROR(__xludf.DUMMYFUNCTION("VALUE(REGEXEXTRACT(A6465, ""\d+""))"),10177.0)</f>
        <v>10177</v>
      </c>
    </row>
    <row r="6466">
      <c r="A6466" s="9" t="s">
        <v>22834</v>
      </c>
      <c r="B6466" s="9" t="s">
        <v>22835</v>
      </c>
      <c r="G6466" s="9" t="s">
        <v>22836</v>
      </c>
      <c r="O6466" s="10">
        <f>IFERROR(__xludf.DUMMYFUNCTION("VALUE(REGEXEXTRACT(A6466, ""\d+""))"),10178.0)</f>
        <v>10178</v>
      </c>
    </row>
    <row r="6467">
      <c r="A6467" s="9" t="s">
        <v>22837</v>
      </c>
      <c r="B6467" s="9" t="s">
        <v>22838</v>
      </c>
      <c r="G6467" s="9" t="s">
        <v>22839</v>
      </c>
      <c r="O6467" s="10">
        <f>IFERROR(__xludf.DUMMYFUNCTION("VALUE(REGEXEXTRACT(A6467, ""\d+""))"),10179.0)</f>
        <v>10179</v>
      </c>
    </row>
    <row r="6468">
      <c r="A6468" s="9" t="s">
        <v>22840</v>
      </c>
      <c r="B6468" s="9" t="s">
        <v>22841</v>
      </c>
      <c r="G6468" s="9" t="s">
        <v>22842</v>
      </c>
      <c r="O6468" s="10">
        <f>IFERROR(__xludf.DUMMYFUNCTION("VALUE(REGEXEXTRACT(A6468, ""\d+""))"),10180.0)</f>
        <v>10180</v>
      </c>
    </row>
    <row r="6469">
      <c r="A6469" s="9" t="s">
        <v>22843</v>
      </c>
      <c r="B6469" s="9" t="s">
        <v>22844</v>
      </c>
      <c r="G6469" s="9" t="s">
        <v>22845</v>
      </c>
      <c r="O6469" s="10">
        <f>IFERROR(__xludf.DUMMYFUNCTION("VALUE(REGEXEXTRACT(A6469, ""\d+""))"),10181.0)</f>
        <v>10181</v>
      </c>
    </row>
    <row r="6470">
      <c r="A6470" s="9" t="s">
        <v>22846</v>
      </c>
      <c r="B6470" s="9" t="s">
        <v>22847</v>
      </c>
      <c r="G6470" s="9" t="s">
        <v>22848</v>
      </c>
      <c r="O6470" s="10">
        <f>IFERROR(__xludf.DUMMYFUNCTION("VALUE(REGEXEXTRACT(A6470, ""\d+""))"),10182.0)</f>
        <v>10182</v>
      </c>
    </row>
    <row r="6471">
      <c r="A6471" s="9" t="s">
        <v>22849</v>
      </c>
      <c r="B6471" s="9" t="s">
        <v>22850</v>
      </c>
      <c r="G6471" s="9" t="s">
        <v>22851</v>
      </c>
      <c r="O6471" s="10">
        <f>IFERROR(__xludf.DUMMYFUNCTION("VALUE(REGEXEXTRACT(A6471, ""\d+""))"),10183.0)</f>
        <v>10183</v>
      </c>
    </row>
    <row r="6472">
      <c r="A6472" s="9" t="s">
        <v>22852</v>
      </c>
      <c r="B6472" s="9" t="s">
        <v>22853</v>
      </c>
      <c r="G6472" s="9" t="s">
        <v>22853</v>
      </c>
      <c r="O6472" s="10">
        <f>IFERROR(__xludf.DUMMYFUNCTION("VALUE(REGEXEXTRACT(A6472, ""\d+""))"),10184.0)</f>
        <v>10184</v>
      </c>
    </row>
    <row r="6473">
      <c r="A6473" s="9" t="s">
        <v>22854</v>
      </c>
      <c r="B6473" s="9" t="s">
        <v>22855</v>
      </c>
      <c r="G6473" s="9" t="s">
        <v>22855</v>
      </c>
      <c r="O6473" s="10">
        <f>IFERROR(__xludf.DUMMYFUNCTION("VALUE(REGEXEXTRACT(A6473, ""\d+""))"),10185.0)</f>
        <v>10185</v>
      </c>
    </row>
    <row r="6474">
      <c r="A6474" s="9" t="s">
        <v>22856</v>
      </c>
      <c r="B6474" s="9" t="s">
        <v>22857</v>
      </c>
      <c r="G6474" s="9" t="s">
        <v>22858</v>
      </c>
      <c r="O6474" s="10">
        <f>IFERROR(__xludf.DUMMYFUNCTION("VALUE(REGEXEXTRACT(A6474, ""\d+""))"),10187.0)</f>
        <v>10187</v>
      </c>
    </row>
    <row r="6475">
      <c r="A6475" s="9" t="s">
        <v>22859</v>
      </c>
      <c r="B6475" s="9" t="s">
        <v>22860</v>
      </c>
      <c r="G6475" s="9" t="s">
        <v>22861</v>
      </c>
      <c r="O6475" s="10">
        <f>IFERROR(__xludf.DUMMYFUNCTION("VALUE(REGEXEXTRACT(A6475, ""\d+""))"),10189.0)</f>
        <v>10189</v>
      </c>
    </row>
    <row r="6476">
      <c r="A6476" s="9" t="s">
        <v>22862</v>
      </c>
      <c r="B6476" s="9" t="s">
        <v>22863</v>
      </c>
      <c r="G6476" s="9" t="s">
        <v>22864</v>
      </c>
      <c r="O6476" s="10">
        <f>IFERROR(__xludf.DUMMYFUNCTION("VALUE(REGEXEXTRACT(A6476, ""\d+""))"),10191.0)</f>
        <v>10191</v>
      </c>
    </row>
    <row r="6477">
      <c r="A6477" s="9" t="s">
        <v>22865</v>
      </c>
      <c r="B6477" s="9" t="s">
        <v>22866</v>
      </c>
      <c r="G6477" s="9" t="s">
        <v>22867</v>
      </c>
      <c r="O6477" s="10">
        <f>IFERROR(__xludf.DUMMYFUNCTION("VALUE(REGEXEXTRACT(A6477, ""\d+""))"),10192.0)</f>
        <v>10192</v>
      </c>
    </row>
    <row r="6478">
      <c r="A6478" s="9" t="s">
        <v>22868</v>
      </c>
      <c r="B6478" s="9" t="s">
        <v>22869</v>
      </c>
      <c r="G6478" s="9" t="s">
        <v>22870</v>
      </c>
      <c r="O6478" s="10">
        <f>IFERROR(__xludf.DUMMYFUNCTION("VALUE(REGEXEXTRACT(A6478, ""\d+""))"),10198.0)</f>
        <v>10198</v>
      </c>
    </row>
    <row r="6479">
      <c r="A6479" s="9" t="s">
        <v>22871</v>
      </c>
      <c r="B6479" s="9" t="s">
        <v>22872</v>
      </c>
      <c r="G6479" s="9" t="s">
        <v>22873</v>
      </c>
      <c r="O6479" s="10">
        <f>IFERROR(__xludf.DUMMYFUNCTION("VALUE(REGEXEXTRACT(A6479, ""\d+""))"),10199.0)</f>
        <v>10199</v>
      </c>
    </row>
    <row r="6480">
      <c r="A6480" s="9" t="s">
        <v>22874</v>
      </c>
      <c r="B6480" s="9" t="s">
        <v>22875</v>
      </c>
      <c r="G6480" s="9" t="s">
        <v>22876</v>
      </c>
      <c r="O6480" s="10">
        <f>IFERROR(__xludf.DUMMYFUNCTION("VALUE(REGEXEXTRACT(A6480, ""\d+""))"),10200.0)</f>
        <v>10200</v>
      </c>
    </row>
    <row r="6481">
      <c r="A6481" s="9" t="s">
        <v>22877</v>
      </c>
      <c r="B6481" s="9" t="s">
        <v>22878</v>
      </c>
      <c r="G6481" s="9" t="s">
        <v>22879</v>
      </c>
      <c r="O6481" s="10">
        <f>IFERROR(__xludf.DUMMYFUNCTION("VALUE(REGEXEXTRACT(A6481, ""\d+""))"),10201.0)</f>
        <v>10201</v>
      </c>
    </row>
    <row r="6482">
      <c r="A6482" s="9" t="s">
        <v>22880</v>
      </c>
      <c r="B6482" s="9" t="s">
        <v>22881</v>
      </c>
      <c r="G6482" s="9" t="s">
        <v>22882</v>
      </c>
      <c r="O6482" s="10">
        <f>IFERROR(__xludf.DUMMYFUNCTION("VALUE(REGEXEXTRACT(A6482, ""\d+""))"),10202.0)</f>
        <v>10202</v>
      </c>
    </row>
    <row r="6483">
      <c r="A6483" s="9" t="s">
        <v>22883</v>
      </c>
      <c r="B6483" s="9" t="s">
        <v>22884</v>
      </c>
      <c r="G6483" s="9" t="s">
        <v>22885</v>
      </c>
      <c r="O6483" s="10">
        <f>IFERROR(__xludf.DUMMYFUNCTION("VALUE(REGEXEXTRACT(A6483, ""\d+""))"),10203.0)</f>
        <v>10203</v>
      </c>
    </row>
    <row r="6484">
      <c r="A6484" s="9" t="s">
        <v>22886</v>
      </c>
      <c r="B6484" s="9" t="s">
        <v>22887</v>
      </c>
      <c r="G6484" s="9" t="s">
        <v>22888</v>
      </c>
      <c r="O6484" s="10">
        <f>IFERROR(__xludf.DUMMYFUNCTION("VALUE(REGEXEXTRACT(A6484, ""\d+""))"),10204.0)</f>
        <v>10204</v>
      </c>
    </row>
    <row r="6485">
      <c r="A6485" s="9" t="s">
        <v>22889</v>
      </c>
      <c r="B6485" s="9" t="s">
        <v>22890</v>
      </c>
      <c r="G6485" s="9" t="s">
        <v>22891</v>
      </c>
      <c r="O6485" s="10">
        <f>IFERROR(__xludf.DUMMYFUNCTION("VALUE(REGEXEXTRACT(A6485, ""\d+""))"),10205.0)</f>
        <v>10205</v>
      </c>
    </row>
    <row r="6486">
      <c r="A6486" s="9" t="s">
        <v>22892</v>
      </c>
      <c r="B6486" s="9" t="s">
        <v>22893</v>
      </c>
      <c r="G6486" s="9" t="s">
        <v>22894</v>
      </c>
      <c r="O6486" s="10">
        <f>IFERROR(__xludf.DUMMYFUNCTION("VALUE(REGEXEXTRACT(A6486, ""\d+""))"),10206.0)</f>
        <v>10206</v>
      </c>
    </row>
    <row r="6487">
      <c r="A6487" s="9" t="s">
        <v>22895</v>
      </c>
      <c r="B6487" s="9" t="s">
        <v>22896</v>
      </c>
      <c r="G6487" s="9" t="s">
        <v>22896</v>
      </c>
      <c r="O6487" s="10">
        <f>IFERROR(__xludf.DUMMYFUNCTION("VALUE(REGEXEXTRACT(A6487, ""\d+""))"),10207.0)</f>
        <v>10207</v>
      </c>
    </row>
    <row r="6488">
      <c r="A6488" s="9" t="s">
        <v>22897</v>
      </c>
      <c r="B6488" s="9" t="s">
        <v>22898</v>
      </c>
      <c r="G6488" s="9" t="s">
        <v>22898</v>
      </c>
      <c r="O6488" s="10">
        <f>IFERROR(__xludf.DUMMYFUNCTION("VALUE(REGEXEXTRACT(A6488, ""\d+""))"),10208.0)</f>
        <v>10208</v>
      </c>
    </row>
    <row r="6489">
      <c r="A6489" s="9" t="s">
        <v>22899</v>
      </c>
      <c r="B6489" s="9" t="s">
        <v>22900</v>
      </c>
      <c r="G6489" s="9" t="s">
        <v>22901</v>
      </c>
      <c r="O6489" s="10">
        <f>IFERROR(__xludf.DUMMYFUNCTION("VALUE(REGEXEXTRACT(A6489, ""\d+""))"),10209.0)</f>
        <v>10209</v>
      </c>
    </row>
    <row r="6490">
      <c r="A6490" s="9" t="s">
        <v>22902</v>
      </c>
      <c r="B6490" s="9" t="s">
        <v>22903</v>
      </c>
      <c r="G6490" s="9" t="s">
        <v>22904</v>
      </c>
      <c r="O6490" s="10">
        <f>IFERROR(__xludf.DUMMYFUNCTION("VALUE(REGEXEXTRACT(A6490, ""\d+""))"),10210.0)</f>
        <v>10210</v>
      </c>
    </row>
    <row r="6491">
      <c r="A6491" s="9" t="s">
        <v>22905</v>
      </c>
      <c r="B6491" s="9" t="s">
        <v>22906</v>
      </c>
      <c r="G6491" s="9" t="s">
        <v>22907</v>
      </c>
      <c r="O6491" s="10">
        <f>IFERROR(__xludf.DUMMYFUNCTION("VALUE(REGEXEXTRACT(A6491, ""\d+""))"),10211.0)</f>
        <v>10211</v>
      </c>
    </row>
    <row r="6492">
      <c r="A6492" s="9" t="s">
        <v>22908</v>
      </c>
      <c r="B6492" s="9" t="s">
        <v>22909</v>
      </c>
      <c r="G6492" s="9" t="s">
        <v>22910</v>
      </c>
      <c r="O6492" s="10">
        <f>IFERROR(__xludf.DUMMYFUNCTION("VALUE(REGEXEXTRACT(A6492, ""\d+""))"),10213.0)</f>
        <v>10213</v>
      </c>
    </row>
    <row r="6493">
      <c r="A6493" s="9" t="s">
        <v>22911</v>
      </c>
      <c r="B6493" s="9" t="s">
        <v>22912</v>
      </c>
      <c r="G6493" s="9" t="s">
        <v>22913</v>
      </c>
      <c r="O6493" s="10">
        <f>IFERROR(__xludf.DUMMYFUNCTION("VALUE(REGEXEXTRACT(A6493, ""\d+""))"),10214.0)</f>
        <v>10214</v>
      </c>
    </row>
    <row r="6494">
      <c r="A6494" s="9" t="s">
        <v>22914</v>
      </c>
      <c r="B6494" s="9" t="s">
        <v>22915</v>
      </c>
      <c r="G6494" s="9" t="s">
        <v>22916</v>
      </c>
      <c r="O6494" s="10">
        <f>IFERROR(__xludf.DUMMYFUNCTION("VALUE(REGEXEXTRACT(A6494, ""\d+""))"),10215.0)</f>
        <v>10215</v>
      </c>
    </row>
    <row r="6495">
      <c r="A6495" s="9" t="s">
        <v>22917</v>
      </c>
      <c r="B6495" s="9" t="s">
        <v>22918</v>
      </c>
      <c r="G6495" s="9" t="s">
        <v>22919</v>
      </c>
      <c r="O6495" s="10">
        <f>IFERROR(__xludf.DUMMYFUNCTION("VALUE(REGEXEXTRACT(A6495, ""\d+""))"),10216.0)</f>
        <v>10216</v>
      </c>
    </row>
    <row r="6496">
      <c r="A6496" s="9" t="s">
        <v>22920</v>
      </c>
      <c r="B6496" s="9" t="s">
        <v>22921</v>
      </c>
      <c r="G6496" s="9" t="s">
        <v>22922</v>
      </c>
      <c r="O6496" s="10">
        <f>IFERROR(__xludf.DUMMYFUNCTION("VALUE(REGEXEXTRACT(A6496, ""\d+""))"),10217.0)</f>
        <v>10217</v>
      </c>
    </row>
    <row r="6497">
      <c r="A6497" s="9" t="s">
        <v>22923</v>
      </c>
      <c r="B6497" s="9" t="s">
        <v>22924</v>
      </c>
      <c r="G6497" s="9" t="s">
        <v>22925</v>
      </c>
      <c r="O6497" s="10">
        <f>IFERROR(__xludf.DUMMYFUNCTION("VALUE(REGEXEXTRACT(A6497, ""\d+""))"),10218.0)</f>
        <v>10218</v>
      </c>
    </row>
    <row r="6498">
      <c r="A6498" s="9" t="s">
        <v>22926</v>
      </c>
      <c r="B6498" s="9" t="s">
        <v>22927</v>
      </c>
      <c r="G6498" s="9" t="s">
        <v>22928</v>
      </c>
      <c r="O6498" s="10">
        <f>IFERROR(__xludf.DUMMYFUNCTION("VALUE(REGEXEXTRACT(A6498, ""\d+""))"),10219.0)</f>
        <v>10219</v>
      </c>
    </row>
    <row r="6499">
      <c r="A6499" s="9" t="s">
        <v>22929</v>
      </c>
      <c r="B6499" s="9" t="s">
        <v>22930</v>
      </c>
      <c r="G6499" s="9" t="s">
        <v>22931</v>
      </c>
      <c r="O6499" s="10">
        <f>IFERROR(__xludf.DUMMYFUNCTION("VALUE(REGEXEXTRACT(A6499, ""\d+""))"),10220.0)</f>
        <v>10220</v>
      </c>
    </row>
    <row r="6500">
      <c r="A6500" s="9" t="s">
        <v>22932</v>
      </c>
      <c r="B6500" s="9" t="s">
        <v>22933</v>
      </c>
      <c r="G6500" s="9" t="s">
        <v>22360</v>
      </c>
      <c r="O6500" s="10">
        <f>IFERROR(__xludf.DUMMYFUNCTION("VALUE(REGEXEXTRACT(A6500, ""\d+""))"),10221.0)</f>
        <v>10221</v>
      </c>
    </row>
    <row r="6501">
      <c r="A6501" s="9" t="s">
        <v>22934</v>
      </c>
      <c r="B6501" s="9" t="s">
        <v>22935</v>
      </c>
      <c r="G6501" s="9" t="s">
        <v>22363</v>
      </c>
      <c r="O6501" s="10">
        <f>IFERROR(__xludf.DUMMYFUNCTION("VALUE(REGEXEXTRACT(A6501, ""\d+""))"),10222.0)</f>
        <v>10222</v>
      </c>
    </row>
    <row r="6502">
      <c r="A6502" s="9" t="s">
        <v>22936</v>
      </c>
      <c r="B6502" s="9" t="s">
        <v>22937</v>
      </c>
      <c r="G6502" s="9" t="s">
        <v>22938</v>
      </c>
      <c r="O6502" s="10">
        <f>IFERROR(__xludf.DUMMYFUNCTION("VALUE(REGEXEXTRACT(A6502, ""\d+""))"),10223.0)</f>
        <v>10223</v>
      </c>
    </row>
    <row r="6503">
      <c r="A6503" s="9" t="s">
        <v>22939</v>
      </c>
      <c r="B6503" s="9" t="s">
        <v>22940</v>
      </c>
      <c r="G6503" s="9" t="s">
        <v>22941</v>
      </c>
      <c r="O6503" s="10">
        <f>IFERROR(__xludf.DUMMYFUNCTION("VALUE(REGEXEXTRACT(A6503, ""\d+""))"),10225.0)</f>
        <v>10225</v>
      </c>
    </row>
    <row r="6504">
      <c r="A6504" s="9" t="s">
        <v>22942</v>
      </c>
      <c r="B6504" s="9" t="s">
        <v>22943</v>
      </c>
      <c r="G6504" s="9" t="s">
        <v>22944</v>
      </c>
      <c r="O6504" s="10">
        <f>IFERROR(__xludf.DUMMYFUNCTION("VALUE(REGEXEXTRACT(A6504, ""\d+""))"),10226.0)</f>
        <v>10226</v>
      </c>
    </row>
    <row r="6505">
      <c r="A6505" s="9" t="s">
        <v>22945</v>
      </c>
      <c r="B6505" s="9" t="s">
        <v>22946</v>
      </c>
      <c r="G6505" s="9" t="s">
        <v>22947</v>
      </c>
      <c r="O6505" s="10">
        <f>IFERROR(__xludf.DUMMYFUNCTION("VALUE(REGEXEXTRACT(A6505, ""\d+""))"),10227.0)</f>
        <v>10227</v>
      </c>
    </row>
    <row r="6506">
      <c r="A6506" s="9" t="s">
        <v>22948</v>
      </c>
      <c r="B6506" s="9" t="s">
        <v>22949</v>
      </c>
      <c r="G6506" s="9" t="s">
        <v>22950</v>
      </c>
      <c r="O6506" s="10">
        <f>IFERROR(__xludf.DUMMYFUNCTION("VALUE(REGEXEXTRACT(A6506, ""\d+""))"),10228.0)</f>
        <v>10228</v>
      </c>
    </row>
    <row r="6507">
      <c r="A6507" s="9" t="s">
        <v>22951</v>
      </c>
      <c r="B6507" s="9" t="s">
        <v>22952</v>
      </c>
      <c r="G6507" s="9" t="s">
        <v>22953</v>
      </c>
      <c r="O6507" s="10">
        <f>IFERROR(__xludf.DUMMYFUNCTION("VALUE(REGEXEXTRACT(A6507, ""\d+""))"),10229.0)</f>
        <v>10229</v>
      </c>
    </row>
    <row r="6508">
      <c r="A6508" s="9" t="s">
        <v>22954</v>
      </c>
      <c r="B6508" s="9" t="s">
        <v>22955</v>
      </c>
      <c r="G6508" s="9" t="s">
        <v>22956</v>
      </c>
      <c r="O6508" s="10">
        <f>IFERROR(__xludf.DUMMYFUNCTION("VALUE(REGEXEXTRACT(A6508, ""\d+""))"),10230.0)</f>
        <v>10230</v>
      </c>
    </row>
    <row r="6509">
      <c r="A6509" s="9" t="s">
        <v>22957</v>
      </c>
      <c r="B6509" s="9" t="s">
        <v>22958</v>
      </c>
      <c r="G6509" s="9" t="s">
        <v>22959</v>
      </c>
      <c r="O6509" s="10">
        <f>IFERROR(__xludf.DUMMYFUNCTION("VALUE(REGEXEXTRACT(A6509, ""\d+""))"),10231.0)</f>
        <v>10231</v>
      </c>
    </row>
    <row r="6510">
      <c r="A6510" s="9" t="s">
        <v>22960</v>
      </c>
      <c r="B6510" s="9" t="s">
        <v>22961</v>
      </c>
      <c r="G6510" s="9" t="s">
        <v>22962</v>
      </c>
      <c r="O6510" s="10">
        <f>IFERROR(__xludf.DUMMYFUNCTION("VALUE(REGEXEXTRACT(A6510, ""\d+""))"),10232.0)</f>
        <v>10232</v>
      </c>
    </row>
    <row r="6511">
      <c r="A6511" s="9" t="s">
        <v>22963</v>
      </c>
      <c r="B6511" s="9" t="s">
        <v>22964</v>
      </c>
      <c r="G6511" s="9" t="s">
        <v>22965</v>
      </c>
      <c r="O6511" s="10">
        <f>IFERROR(__xludf.DUMMYFUNCTION("VALUE(REGEXEXTRACT(A6511, ""\d+""))"),10233.0)</f>
        <v>10233</v>
      </c>
    </row>
    <row r="6512">
      <c r="A6512" s="9" t="s">
        <v>22966</v>
      </c>
      <c r="B6512" s="9" t="s">
        <v>22967</v>
      </c>
      <c r="G6512" s="9" t="s">
        <v>22968</v>
      </c>
      <c r="O6512" s="10">
        <f>IFERROR(__xludf.DUMMYFUNCTION("VALUE(REGEXEXTRACT(A6512, ""\d+""))"),10234.0)</f>
        <v>10234</v>
      </c>
    </row>
    <row r="6513">
      <c r="A6513" s="9" t="s">
        <v>22969</v>
      </c>
      <c r="B6513" s="9" t="s">
        <v>22970</v>
      </c>
      <c r="G6513" s="9" t="s">
        <v>22971</v>
      </c>
      <c r="O6513" s="10">
        <f>IFERROR(__xludf.DUMMYFUNCTION("VALUE(REGEXEXTRACT(A6513, ""\d+""))"),10235.0)</f>
        <v>10235</v>
      </c>
    </row>
    <row r="6514">
      <c r="A6514" s="9" t="s">
        <v>22972</v>
      </c>
      <c r="B6514" s="9" t="s">
        <v>22973</v>
      </c>
      <c r="G6514" s="9" t="s">
        <v>22974</v>
      </c>
      <c r="O6514" s="10">
        <f>IFERROR(__xludf.DUMMYFUNCTION("VALUE(REGEXEXTRACT(A6514, ""\d+""))"),10236.0)</f>
        <v>10236</v>
      </c>
    </row>
    <row r="6515">
      <c r="A6515" s="9" t="s">
        <v>22975</v>
      </c>
      <c r="B6515" s="9" t="s">
        <v>22976</v>
      </c>
      <c r="G6515" s="9" t="s">
        <v>22977</v>
      </c>
      <c r="O6515" s="10">
        <f>IFERROR(__xludf.DUMMYFUNCTION("VALUE(REGEXEXTRACT(A6515, ""\d+""))"),10237.0)</f>
        <v>10237</v>
      </c>
    </row>
    <row r="6516">
      <c r="A6516" s="9" t="s">
        <v>22978</v>
      </c>
      <c r="B6516" s="9" t="s">
        <v>22979</v>
      </c>
      <c r="G6516" s="9" t="s">
        <v>22980</v>
      </c>
      <c r="O6516" s="10">
        <f>IFERROR(__xludf.DUMMYFUNCTION("VALUE(REGEXEXTRACT(A6516, ""\d+""))"),10238.0)</f>
        <v>10238</v>
      </c>
    </row>
    <row r="6517">
      <c r="A6517" s="9" t="s">
        <v>22981</v>
      </c>
      <c r="B6517" s="9" t="s">
        <v>22982</v>
      </c>
      <c r="G6517" s="9" t="s">
        <v>22983</v>
      </c>
      <c r="O6517" s="10">
        <f>IFERROR(__xludf.DUMMYFUNCTION("VALUE(REGEXEXTRACT(A6517, ""\d+""))"),10239.0)</f>
        <v>10239</v>
      </c>
    </row>
    <row r="6518">
      <c r="A6518" s="9" t="s">
        <v>22984</v>
      </c>
      <c r="B6518" s="9" t="s">
        <v>22985</v>
      </c>
      <c r="G6518" s="9" t="s">
        <v>22986</v>
      </c>
      <c r="O6518" s="10">
        <f>IFERROR(__xludf.DUMMYFUNCTION("VALUE(REGEXEXTRACT(A6518, ""\d+""))"),10240.0)</f>
        <v>10240</v>
      </c>
    </row>
    <row r="6519">
      <c r="A6519" s="9" t="s">
        <v>22987</v>
      </c>
      <c r="B6519" s="9" t="s">
        <v>22988</v>
      </c>
      <c r="G6519" s="9" t="s">
        <v>22989</v>
      </c>
      <c r="O6519" s="10">
        <f>IFERROR(__xludf.DUMMYFUNCTION("VALUE(REGEXEXTRACT(A6519, ""\d+""))"),10241.0)</f>
        <v>10241</v>
      </c>
    </row>
    <row r="6520">
      <c r="A6520" s="9" t="s">
        <v>22990</v>
      </c>
      <c r="B6520" s="9" t="s">
        <v>22991</v>
      </c>
      <c r="G6520" s="9" t="s">
        <v>22992</v>
      </c>
      <c r="O6520" s="10">
        <f>IFERROR(__xludf.DUMMYFUNCTION("VALUE(REGEXEXTRACT(A6520, ""\d+""))"),10242.0)</f>
        <v>10242</v>
      </c>
    </row>
    <row r="6521">
      <c r="A6521" s="9" t="s">
        <v>22993</v>
      </c>
      <c r="B6521" s="9" t="s">
        <v>22994</v>
      </c>
      <c r="G6521" s="9" t="s">
        <v>22995</v>
      </c>
      <c r="O6521" s="10">
        <f>IFERROR(__xludf.DUMMYFUNCTION("VALUE(REGEXEXTRACT(A6521, ""\d+""))"),10243.0)</f>
        <v>10243</v>
      </c>
    </row>
    <row r="6522">
      <c r="A6522" s="9" t="s">
        <v>22996</v>
      </c>
      <c r="B6522" s="9" t="s">
        <v>22997</v>
      </c>
      <c r="G6522" s="9" t="s">
        <v>22998</v>
      </c>
      <c r="O6522" s="10">
        <f>IFERROR(__xludf.DUMMYFUNCTION("VALUE(REGEXEXTRACT(A6522, ""\d+""))"),10244.0)</f>
        <v>10244</v>
      </c>
    </row>
    <row r="6523">
      <c r="A6523" s="9" t="s">
        <v>22999</v>
      </c>
      <c r="B6523" s="9" t="s">
        <v>23000</v>
      </c>
      <c r="G6523" s="9" t="s">
        <v>23001</v>
      </c>
      <c r="O6523" s="10">
        <f>IFERROR(__xludf.DUMMYFUNCTION("VALUE(REGEXEXTRACT(A6523, ""\d+""))"),10245.0)</f>
        <v>10245</v>
      </c>
    </row>
    <row r="6524">
      <c r="A6524" s="9" t="s">
        <v>23002</v>
      </c>
      <c r="B6524" s="9" t="s">
        <v>23003</v>
      </c>
      <c r="G6524" s="9" t="s">
        <v>23004</v>
      </c>
      <c r="O6524" s="10">
        <f>IFERROR(__xludf.DUMMYFUNCTION("VALUE(REGEXEXTRACT(A6524, ""\d+""))"),10246.0)</f>
        <v>10246</v>
      </c>
    </row>
    <row r="6525">
      <c r="A6525" s="9" t="s">
        <v>23005</v>
      </c>
      <c r="B6525" s="9" t="s">
        <v>23006</v>
      </c>
      <c r="G6525" s="9" t="s">
        <v>23007</v>
      </c>
      <c r="O6525" s="10">
        <f>IFERROR(__xludf.DUMMYFUNCTION("VALUE(REGEXEXTRACT(A6525, ""\d+""))"),10247.0)</f>
        <v>10247</v>
      </c>
    </row>
    <row r="6526">
      <c r="A6526" s="9" t="s">
        <v>23008</v>
      </c>
      <c r="B6526" s="9" t="s">
        <v>23009</v>
      </c>
      <c r="G6526" s="9" t="s">
        <v>23010</v>
      </c>
      <c r="O6526" s="10">
        <f>IFERROR(__xludf.DUMMYFUNCTION("VALUE(REGEXEXTRACT(A6526, ""\d+""))"),10248.0)</f>
        <v>10248</v>
      </c>
    </row>
    <row r="6527">
      <c r="A6527" s="9" t="s">
        <v>23011</v>
      </c>
      <c r="B6527" s="9" t="s">
        <v>23012</v>
      </c>
      <c r="G6527" s="9" t="s">
        <v>23013</v>
      </c>
      <c r="O6527" s="10">
        <f>IFERROR(__xludf.DUMMYFUNCTION("VALUE(REGEXEXTRACT(A6527, ""\d+""))"),10249.0)</f>
        <v>10249</v>
      </c>
    </row>
    <row r="6528">
      <c r="A6528" s="9" t="s">
        <v>23014</v>
      </c>
      <c r="B6528" s="9" t="s">
        <v>23015</v>
      </c>
      <c r="G6528" s="9" t="s">
        <v>23016</v>
      </c>
      <c r="O6528" s="10">
        <f>IFERROR(__xludf.DUMMYFUNCTION("VALUE(REGEXEXTRACT(A6528, ""\d+""))"),10250.0)</f>
        <v>10250</v>
      </c>
    </row>
    <row r="6529">
      <c r="A6529" s="9" t="s">
        <v>23017</v>
      </c>
      <c r="B6529" s="9" t="s">
        <v>23018</v>
      </c>
      <c r="G6529" s="9" t="s">
        <v>23019</v>
      </c>
      <c r="O6529" s="10">
        <f>IFERROR(__xludf.DUMMYFUNCTION("VALUE(REGEXEXTRACT(A6529, ""\d+""))"),10251.0)</f>
        <v>10251</v>
      </c>
    </row>
    <row r="6530">
      <c r="A6530" s="9" t="s">
        <v>23020</v>
      </c>
      <c r="B6530" s="9" t="s">
        <v>23021</v>
      </c>
      <c r="G6530" s="9" t="s">
        <v>23022</v>
      </c>
      <c r="O6530" s="10">
        <f>IFERROR(__xludf.DUMMYFUNCTION("VALUE(REGEXEXTRACT(A6530, ""\d+""))"),10252.0)</f>
        <v>10252</v>
      </c>
    </row>
    <row r="6531">
      <c r="A6531" s="9" t="s">
        <v>23023</v>
      </c>
      <c r="B6531" s="9" t="s">
        <v>23024</v>
      </c>
      <c r="G6531" s="9" t="s">
        <v>23024</v>
      </c>
      <c r="O6531" s="10">
        <f>IFERROR(__xludf.DUMMYFUNCTION("VALUE(REGEXEXTRACT(A6531, ""\d+""))"),10253.0)</f>
        <v>10253</v>
      </c>
    </row>
    <row r="6532">
      <c r="A6532" s="9" t="s">
        <v>23025</v>
      </c>
      <c r="B6532" s="9" t="s">
        <v>23026</v>
      </c>
      <c r="G6532" s="9" t="s">
        <v>23026</v>
      </c>
      <c r="O6532" s="10">
        <f>IFERROR(__xludf.DUMMYFUNCTION("VALUE(REGEXEXTRACT(A6532, ""\d+""))"),10254.0)</f>
        <v>10254</v>
      </c>
    </row>
    <row r="6533">
      <c r="A6533" s="9" t="s">
        <v>23027</v>
      </c>
      <c r="B6533" s="9" t="s">
        <v>23028</v>
      </c>
      <c r="G6533" s="9" t="s">
        <v>23028</v>
      </c>
      <c r="O6533" s="10">
        <f>IFERROR(__xludf.DUMMYFUNCTION("VALUE(REGEXEXTRACT(A6533, ""\d+""))"),10255.0)</f>
        <v>10255</v>
      </c>
    </row>
    <row r="6534">
      <c r="A6534" s="9" t="s">
        <v>23029</v>
      </c>
      <c r="B6534" s="9" t="s">
        <v>23030</v>
      </c>
      <c r="G6534" s="9" t="s">
        <v>23030</v>
      </c>
      <c r="O6534" s="10">
        <f>IFERROR(__xludf.DUMMYFUNCTION("VALUE(REGEXEXTRACT(A6534, ""\d+""))"),10256.0)</f>
        <v>10256</v>
      </c>
    </row>
    <row r="6535">
      <c r="A6535" s="9" t="s">
        <v>23031</v>
      </c>
      <c r="B6535" s="9" t="s">
        <v>23032</v>
      </c>
      <c r="G6535" s="9" t="s">
        <v>23032</v>
      </c>
      <c r="O6535" s="10">
        <f>IFERROR(__xludf.DUMMYFUNCTION("VALUE(REGEXEXTRACT(A6535, ""\d+""))"),10257.0)</f>
        <v>10257</v>
      </c>
    </row>
    <row r="6536">
      <c r="A6536" s="9" t="s">
        <v>23033</v>
      </c>
      <c r="B6536" s="9" t="s">
        <v>13234</v>
      </c>
      <c r="G6536" s="9" t="s">
        <v>23034</v>
      </c>
      <c r="O6536" s="10">
        <f>IFERROR(__xludf.DUMMYFUNCTION("VALUE(REGEXEXTRACT(A6536, ""\d+""))"),10258.0)</f>
        <v>10258</v>
      </c>
    </row>
    <row r="6537">
      <c r="A6537" s="9" t="s">
        <v>23035</v>
      </c>
      <c r="B6537" s="9" t="s">
        <v>23036</v>
      </c>
      <c r="G6537" s="9" t="s">
        <v>23037</v>
      </c>
      <c r="O6537" s="10">
        <f>IFERROR(__xludf.DUMMYFUNCTION("VALUE(REGEXEXTRACT(A6537, ""\d+""))"),10263.0)</f>
        <v>10263</v>
      </c>
    </row>
    <row r="6538">
      <c r="A6538" s="9" t="s">
        <v>23038</v>
      </c>
      <c r="B6538" s="9" t="s">
        <v>23039</v>
      </c>
      <c r="O6538" s="10">
        <f>IFERROR(__xludf.DUMMYFUNCTION("VALUE(REGEXEXTRACT(A6538, ""\d+""))"),10264.0)</f>
        <v>10264</v>
      </c>
    </row>
    <row r="6539">
      <c r="A6539" s="9" t="s">
        <v>23040</v>
      </c>
      <c r="B6539" s="9" t="s">
        <v>23041</v>
      </c>
      <c r="G6539" s="9" t="s">
        <v>23042</v>
      </c>
      <c r="O6539" s="10">
        <f>IFERROR(__xludf.DUMMYFUNCTION("VALUE(REGEXEXTRACT(A6539, ""\d+""))"),10265.0)</f>
        <v>10265</v>
      </c>
    </row>
    <row r="6540">
      <c r="A6540" s="9" t="s">
        <v>23043</v>
      </c>
      <c r="B6540" s="9" t="s">
        <v>23044</v>
      </c>
      <c r="O6540" s="10">
        <f>IFERROR(__xludf.DUMMYFUNCTION("VALUE(REGEXEXTRACT(A6540, ""\d+""))"),10266.0)</f>
        <v>10266</v>
      </c>
    </row>
    <row r="6541">
      <c r="A6541" s="9" t="s">
        <v>23045</v>
      </c>
      <c r="B6541" s="9" t="s">
        <v>23046</v>
      </c>
      <c r="G6541" s="9" t="s">
        <v>23047</v>
      </c>
      <c r="O6541" s="10">
        <f>IFERROR(__xludf.DUMMYFUNCTION("VALUE(REGEXEXTRACT(A6541, ""\d+""))"),10267.0)</f>
        <v>10267</v>
      </c>
    </row>
    <row r="6542">
      <c r="A6542" s="9" t="s">
        <v>23048</v>
      </c>
      <c r="B6542" s="9" t="s">
        <v>23049</v>
      </c>
      <c r="O6542" s="10">
        <f>IFERROR(__xludf.DUMMYFUNCTION("VALUE(REGEXEXTRACT(A6542, ""\d+""))"),10268.0)</f>
        <v>10268</v>
      </c>
    </row>
    <row r="6543">
      <c r="A6543" s="9" t="s">
        <v>23050</v>
      </c>
      <c r="B6543" s="9" t="s">
        <v>23051</v>
      </c>
      <c r="G6543" s="9" t="s">
        <v>23052</v>
      </c>
      <c r="O6543" s="10">
        <f>IFERROR(__xludf.DUMMYFUNCTION("VALUE(REGEXEXTRACT(A6543, ""\d+""))"),10269.0)</f>
        <v>10269</v>
      </c>
    </row>
    <row r="6544">
      <c r="A6544" s="9" t="s">
        <v>23053</v>
      </c>
      <c r="B6544" s="9" t="s">
        <v>23054</v>
      </c>
      <c r="G6544" s="9" t="s">
        <v>23055</v>
      </c>
      <c r="O6544" s="10">
        <f>IFERROR(__xludf.DUMMYFUNCTION("VALUE(REGEXEXTRACT(A6544, ""\d+""))"),10270.0)</f>
        <v>10270</v>
      </c>
    </row>
    <row r="6545">
      <c r="A6545" s="9" t="s">
        <v>23056</v>
      </c>
      <c r="B6545" s="9" t="s">
        <v>23057</v>
      </c>
      <c r="G6545" s="9" t="s">
        <v>23058</v>
      </c>
      <c r="O6545" s="10">
        <f>IFERROR(__xludf.DUMMYFUNCTION("VALUE(REGEXEXTRACT(A6545, ""\d+""))"),10271.0)</f>
        <v>10271</v>
      </c>
    </row>
    <row r="6546">
      <c r="A6546" s="9" t="s">
        <v>23059</v>
      </c>
      <c r="B6546" s="9" t="s">
        <v>23060</v>
      </c>
      <c r="G6546" s="9" t="s">
        <v>23061</v>
      </c>
      <c r="O6546" s="10">
        <f>IFERROR(__xludf.DUMMYFUNCTION("VALUE(REGEXEXTRACT(A6546, ""\d+""))"),10272.0)</f>
        <v>10272</v>
      </c>
    </row>
    <row r="6547">
      <c r="A6547" s="9" t="s">
        <v>23062</v>
      </c>
      <c r="B6547" s="9" t="s">
        <v>23063</v>
      </c>
      <c r="G6547" s="9" t="s">
        <v>23064</v>
      </c>
      <c r="O6547" s="10">
        <f>IFERROR(__xludf.DUMMYFUNCTION("VALUE(REGEXEXTRACT(A6547, ""\d+""))"),10273.0)</f>
        <v>10273</v>
      </c>
    </row>
    <row r="6548">
      <c r="A6548" s="9" t="s">
        <v>23065</v>
      </c>
      <c r="B6548" s="9" t="s">
        <v>23066</v>
      </c>
      <c r="G6548" s="9" t="s">
        <v>23067</v>
      </c>
      <c r="O6548" s="10">
        <f>IFERROR(__xludf.DUMMYFUNCTION("VALUE(REGEXEXTRACT(A6548, ""\d+""))"),10274.0)</f>
        <v>10274</v>
      </c>
    </row>
    <row r="6549">
      <c r="A6549" s="9" t="s">
        <v>23068</v>
      </c>
      <c r="B6549" s="9" t="s">
        <v>23069</v>
      </c>
      <c r="G6549" s="9" t="s">
        <v>23070</v>
      </c>
      <c r="O6549" s="10">
        <f>IFERROR(__xludf.DUMMYFUNCTION("VALUE(REGEXEXTRACT(A6549, ""\d+""))"),10275.0)</f>
        <v>10275</v>
      </c>
    </row>
    <row r="6550">
      <c r="A6550" s="9" t="s">
        <v>23071</v>
      </c>
      <c r="B6550" s="9" t="s">
        <v>23072</v>
      </c>
      <c r="G6550" s="9" t="s">
        <v>23073</v>
      </c>
      <c r="O6550" s="10">
        <f>IFERROR(__xludf.DUMMYFUNCTION("VALUE(REGEXEXTRACT(A6550, ""\d+""))"),10276.0)</f>
        <v>10276</v>
      </c>
    </row>
    <row r="6551">
      <c r="A6551" s="9" t="s">
        <v>23074</v>
      </c>
      <c r="B6551" s="9" t="s">
        <v>23075</v>
      </c>
      <c r="G6551" s="9" t="s">
        <v>23076</v>
      </c>
      <c r="O6551" s="10">
        <f>IFERROR(__xludf.DUMMYFUNCTION("VALUE(REGEXEXTRACT(A6551, ""\d+""))"),10277.0)</f>
        <v>10277</v>
      </c>
    </row>
    <row r="6552">
      <c r="A6552" s="9" t="s">
        <v>23077</v>
      </c>
      <c r="B6552" s="9" t="s">
        <v>23078</v>
      </c>
      <c r="G6552" s="9" t="s">
        <v>23079</v>
      </c>
      <c r="O6552" s="10">
        <f>IFERROR(__xludf.DUMMYFUNCTION("VALUE(REGEXEXTRACT(A6552, ""\d+""))"),10278.0)</f>
        <v>10278</v>
      </c>
    </row>
    <row r="6553">
      <c r="A6553" s="9" t="s">
        <v>23080</v>
      </c>
      <c r="B6553" s="9" t="s">
        <v>23081</v>
      </c>
      <c r="G6553" s="9" t="s">
        <v>23082</v>
      </c>
      <c r="O6553" s="10">
        <f>IFERROR(__xludf.DUMMYFUNCTION("VALUE(REGEXEXTRACT(A6553, ""\d+""))"),10279.0)</f>
        <v>10279</v>
      </c>
    </row>
    <row r="6554">
      <c r="A6554" s="9" t="s">
        <v>23083</v>
      </c>
      <c r="B6554" s="9" t="s">
        <v>23084</v>
      </c>
      <c r="G6554" s="9" t="s">
        <v>23085</v>
      </c>
      <c r="O6554" s="10">
        <f>IFERROR(__xludf.DUMMYFUNCTION("VALUE(REGEXEXTRACT(A6554, ""\d+""))"),10280.0)</f>
        <v>10280</v>
      </c>
    </row>
    <row r="6555">
      <c r="A6555" s="9" t="s">
        <v>23086</v>
      </c>
      <c r="B6555" s="9" t="s">
        <v>23087</v>
      </c>
      <c r="G6555" s="9" t="s">
        <v>23088</v>
      </c>
      <c r="O6555" s="10">
        <f>IFERROR(__xludf.DUMMYFUNCTION("VALUE(REGEXEXTRACT(A6555, ""\d+""))"),10284.0)</f>
        <v>10284</v>
      </c>
    </row>
    <row r="6556">
      <c r="A6556" s="9" t="s">
        <v>23089</v>
      </c>
      <c r="B6556" s="9" t="s">
        <v>23090</v>
      </c>
      <c r="G6556" s="9" t="s">
        <v>23091</v>
      </c>
      <c r="O6556" s="10">
        <f>IFERROR(__xludf.DUMMYFUNCTION("VALUE(REGEXEXTRACT(A6556, ""\d+""))"),10285.0)</f>
        <v>10285</v>
      </c>
    </row>
    <row r="6557">
      <c r="A6557" s="9" t="s">
        <v>23092</v>
      </c>
      <c r="B6557" s="9" t="s">
        <v>23093</v>
      </c>
      <c r="G6557" s="9" t="s">
        <v>23094</v>
      </c>
      <c r="O6557" s="10">
        <f>IFERROR(__xludf.DUMMYFUNCTION("VALUE(REGEXEXTRACT(A6557, ""\d+""))"),10286.0)</f>
        <v>10286</v>
      </c>
    </row>
    <row r="6558">
      <c r="A6558" s="9" t="s">
        <v>23095</v>
      </c>
      <c r="B6558" s="9" t="s">
        <v>23096</v>
      </c>
      <c r="G6558" s="9" t="s">
        <v>23097</v>
      </c>
      <c r="O6558" s="10">
        <f>IFERROR(__xludf.DUMMYFUNCTION("VALUE(REGEXEXTRACT(A6558, ""\d+""))"),10287.0)</f>
        <v>10287</v>
      </c>
    </row>
    <row r="6559">
      <c r="A6559" s="9" t="s">
        <v>23098</v>
      </c>
      <c r="B6559" s="9" t="s">
        <v>23099</v>
      </c>
      <c r="G6559" s="9" t="s">
        <v>23100</v>
      </c>
      <c r="O6559" s="10">
        <f>IFERROR(__xludf.DUMMYFUNCTION("VALUE(REGEXEXTRACT(A6559, ""\d+""))"),10288.0)</f>
        <v>10288</v>
      </c>
    </row>
    <row r="6560">
      <c r="A6560" s="9" t="s">
        <v>23101</v>
      </c>
      <c r="B6560" s="9" t="s">
        <v>23102</v>
      </c>
      <c r="G6560" s="9" t="s">
        <v>23103</v>
      </c>
      <c r="O6560" s="10">
        <f>IFERROR(__xludf.DUMMYFUNCTION("VALUE(REGEXEXTRACT(A6560, ""\d+""))"),10290.0)</f>
        <v>10290</v>
      </c>
    </row>
    <row r="6561">
      <c r="A6561" s="9" t="s">
        <v>23104</v>
      </c>
      <c r="B6561" s="9" t="s">
        <v>23105</v>
      </c>
      <c r="G6561" s="9" t="s">
        <v>23106</v>
      </c>
      <c r="O6561" s="10">
        <f>IFERROR(__xludf.DUMMYFUNCTION("VALUE(REGEXEXTRACT(A6561, ""\d+""))"),10291.0)</f>
        <v>10291</v>
      </c>
    </row>
    <row r="6562">
      <c r="A6562" s="9" t="s">
        <v>23107</v>
      </c>
      <c r="B6562" s="9" t="s">
        <v>23108</v>
      </c>
      <c r="G6562" s="9" t="s">
        <v>23109</v>
      </c>
      <c r="O6562" s="10">
        <f>IFERROR(__xludf.DUMMYFUNCTION("VALUE(REGEXEXTRACT(A6562, ""\d+""))"),10292.0)</f>
        <v>10292</v>
      </c>
    </row>
    <row r="6563">
      <c r="A6563" s="9" t="s">
        <v>23110</v>
      </c>
      <c r="B6563" s="9" t="s">
        <v>23108</v>
      </c>
      <c r="G6563" s="9" t="s">
        <v>23109</v>
      </c>
      <c r="O6563" s="10">
        <f>IFERROR(__xludf.DUMMYFUNCTION("VALUE(REGEXEXTRACT(A6563, ""\d+""))"),10293.0)</f>
        <v>10293</v>
      </c>
    </row>
    <row r="6564">
      <c r="A6564" s="9" t="s">
        <v>23111</v>
      </c>
      <c r="B6564" s="9" t="s">
        <v>23112</v>
      </c>
      <c r="G6564" s="9" t="s">
        <v>23113</v>
      </c>
      <c r="O6564" s="10">
        <f>IFERROR(__xludf.DUMMYFUNCTION("VALUE(REGEXEXTRACT(A6564, ""\d+""))"),10294.0)</f>
        <v>10294</v>
      </c>
    </row>
    <row r="6565">
      <c r="A6565" s="9" t="s">
        <v>23114</v>
      </c>
      <c r="B6565" s="9" t="s">
        <v>23115</v>
      </c>
      <c r="G6565" s="9" t="s">
        <v>23116</v>
      </c>
      <c r="O6565" s="10">
        <f>IFERROR(__xludf.DUMMYFUNCTION("VALUE(REGEXEXTRACT(A6565, ""\d+""))"),10295.0)</f>
        <v>10295</v>
      </c>
    </row>
    <row r="6566">
      <c r="A6566" s="9" t="s">
        <v>23117</v>
      </c>
      <c r="B6566" s="9" t="s">
        <v>23118</v>
      </c>
      <c r="G6566" s="9" t="s">
        <v>23119</v>
      </c>
      <c r="O6566" s="10">
        <f>IFERROR(__xludf.DUMMYFUNCTION("VALUE(REGEXEXTRACT(A6566, ""\d+""))"),10296.0)</f>
        <v>10296</v>
      </c>
    </row>
    <row r="6567">
      <c r="A6567" s="9" t="s">
        <v>23120</v>
      </c>
      <c r="B6567" s="9" t="s">
        <v>23121</v>
      </c>
      <c r="G6567" s="9" t="s">
        <v>23122</v>
      </c>
      <c r="O6567" s="10">
        <f>IFERROR(__xludf.DUMMYFUNCTION("VALUE(REGEXEXTRACT(A6567, ""\d+""))"),10297.0)</f>
        <v>10297</v>
      </c>
    </row>
    <row r="6568">
      <c r="A6568" s="9" t="s">
        <v>23123</v>
      </c>
      <c r="B6568" s="9" t="s">
        <v>23124</v>
      </c>
      <c r="G6568" s="9" t="s">
        <v>23125</v>
      </c>
      <c r="O6568" s="10">
        <f>IFERROR(__xludf.DUMMYFUNCTION("VALUE(REGEXEXTRACT(A6568, ""\d+""))"),10298.0)</f>
        <v>10298</v>
      </c>
    </row>
    <row r="6569">
      <c r="A6569" s="9" t="s">
        <v>23126</v>
      </c>
      <c r="B6569" s="9" t="s">
        <v>23127</v>
      </c>
      <c r="G6569" s="9" t="s">
        <v>23128</v>
      </c>
      <c r="O6569" s="10">
        <f>IFERROR(__xludf.DUMMYFUNCTION("VALUE(REGEXEXTRACT(A6569, ""\d+""))"),10299.0)</f>
        <v>10299</v>
      </c>
    </row>
    <row r="6570">
      <c r="A6570" s="9" t="s">
        <v>23129</v>
      </c>
      <c r="B6570" s="9" t="s">
        <v>23130</v>
      </c>
      <c r="G6570" s="9" t="s">
        <v>23131</v>
      </c>
      <c r="O6570" s="10">
        <f>IFERROR(__xludf.DUMMYFUNCTION("VALUE(REGEXEXTRACT(A6570, ""\d+""))"),10300.0)</f>
        <v>10300</v>
      </c>
    </row>
    <row r="6571">
      <c r="A6571" s="9" t="s">
        <v>23132</v>
      </c>
      <c r="B6571" s="9" t="s">
        <v>23133</v>
      </c>
      <c r="G6571" s="9" t="s">
        <v>23134</v>
      </c>
      <c r="O6571" s="10">
        <f>IFERROR(__xludf.DUMMYFUNCTION("VALUE(REGEXEXTRACT(A6571, ""\d+""))"),10301.0)</f>
        <v>10301</v>
      </c>
    </row>
    <row r="6572">
      <c r="A6572" s="9" t="s">
        <v>23135</v>
      </c>
      <c r="B6572" s="9" t="s">
        <v>23136</v>
      </c>
      <c r="G6572" s="9" t="s">
        <v>23137</v>
      </c>
      <c r="O6572" s="10">
        <f>IFERROR(__xludf.DUMMYFUNCTION("VALUE(REGEXEXTRACT(A6572, ""\d+""))"),10302.0)</f>
        <v>10302</v>
      </c>
    </row>
    <row r="6573">
      <c r="A6573" s="9" t="s">
        <v>23138</v>
      </c>
      <c r="B6573" s="9" t="s">
        <v>23139</v>
      </c>
      <c r="G6573" s="9" t="s">
        <v>23140</v>
      </c>
      <c r="O6573" s="10">
        <f>IFERROR(__xludf.DUMMYFUNCTION("VALUE(REGEXEXTRACT(A6573, ""\d+""))"),10303.0)</f>
        <v>10303</v>
      </c>
    </row>
    <row r="6574">
      <c r="A6574" s="9" t="s">
        <v>23141</v>
      </c>
      <c r="B6574" s="9" t="s">
        <v>23142</v>
      </c>
      <c r="G6574" s="9" t="s">
        <v>23143</v>
      </c>
      <c r="O6574" s="10">
        <f>IFERROR(__xludf.DUMMYFUNCTION("VALUE(REGEXEXTRACT(A6574, ""\d+""))"),10304.0)</f>
        <v>10304</v>
      </c>
    </row>
    <row r="6575">
      <c r="A6575" s="9" t="s">
        <v>23144</v>
      </c>
      <c r="B6575" s="9" t="s">
        <v>23145</v>
      </c>
      <c r="G6575" s="9" t="s">
        <v>23146</v>
      </c>
      <c r="O6575" s="10">
        <f>IFERROR(__xludf.DUMMYFUNCTION("VALUE(REGEXEXTRACT(A6575, ""\d+""))"),10305.0)</f>
        <v>10305</v>
      </c>
    </row>
    <row r="6576">
      <c r="A6576" s="9" t="s">
        <v>23147</v>
      </c>
      <c r="B6576" s="9" t="s">
        <v>23148</v>
      </c>
      <c r="G6576" s="9" t="s">
        <v>23149</v>
      </c>
      <c r="O6576" s="10">
        <f>IFERROR(__xludf.DUMMYFUNCTION("VALUE(REGEXEXTRACT(A6576, ""\d+""))"),10306.0)</f>
        <v>10306</v>
      </c>
    </row>
    <row r="6577">
      <c r="A6577" s="9" t="s">
        <v>23150</v>
      </c>
      <c r="B6577" s="9" t="s">
        <v>23151</v>
      </c>
      <c r="G6577" s="9" t="s">
        <v>23152</v>
      </c>
      <c r="O6577" s="10">
        <f>IFERROR(__xludf.DUMMYFUNCTION("VALUE(REGEXEXTRACT(A6577, ""\d+""))"),10307.0)</f>
        <v>10307</v>
      </c>
    </row>
    <row r="6578">
      <c r="A6578" s="9" t="s">
        <v>23153</v>
      </c>
      <c r="B6578" s="9" t="s">
        <v>23154</v>
      </c>
      <c r="G6578" s="9" t="s">
        <v>23155</v>
      </c>
      <c r="O6578" s="10">
        <f>IFERROR(__xludf.DUMMYFUNCTION("VALUE(REGEXEXTRACT(A6578, ""\d+""))"),10308.0)</f>
        <v>10308</v>
      </c>
    </row>
    <row r="6579">
      <c r="A6579" s="9" t="s">
        <v>23156</v>
      </c>
      <c r="B6579" s="9" t="s">
        <v>23157</v>
      </c>
      <c r="G6579" s="9" t="s">
        <v>23158</v>
      </c>
      <c r="O6579" s="10">
        <f>IFERROR(__xludf.DUMMYFUNCTION("VALUE(REGEXEXTRACT(A6579, ""\d+""))"),10309.0)</f>
        <v>10309</v>
      </c>
    </row>
    <row r="6580">
      <c r="A6580" s="9" t="s">
        <v>23159</v>
      </c>
      <c r="B6580" s="9" t="s">
        <v>23160</v>
      </c>
      <c r="G6580" s="9" t="s">
        <v>23161</v>
      </c>
      <c r="O6580" s="10">
        <f>IFERROR(__xludf.DUMMYFUNCTION("VALUE(REGEXEXTRACT(A6580, ""\d+""))"),10310.0)</f>
        <v>10310</v>
      </c>
    </row>
    <row r="6581">
      <c r="A6581" s="9" t="s">
        <v>23162</v>
      </c>
      <c r="B6581" s="9" t="s">
        <v>23163</v>
      </c>
      <c r="G6581" s="9" t="s">
        <v>23164</v>
      </c>
      <c r="O6581" s="10">
        <f>IFERROR(__xludf.DUMMYFUNCTION("VALUE(REGEXEXTRACT(A6581, ""\d+""))"),10311.0)</f>
        <v>10311</v>
      </c>
    </row>
    <row r="6582">
      <c r="A6582" s="9" t="s">
        <v>23165</v>
      </c>
      <c r="B6582" s="9" t="s">
        <v>23166</v>
      </c>
      <c r="G6582" s="9" t="s">
        <v>23167</v>
      </c>
      <c r="O6582" s="10">
        <f>IFERROR(__xludf.DUMMYFUNCTION("VALUE(REGEXEXTRACT(A6582, ""\d+""))"),10312.0)</f>
        <v>10312</v>
      </c>
    </row>
    <row r="6583">
      <c r="A6583" s="9" t="s">
        <v>23168</v>
      </c>
      <c r="B6583" s="9" t="s">
        <v>23169</v>
      </c>
      <c r="G6583" s="9" t="s">
        <v>23170</v>
      </c>
      <c r="O6583" s="10">
        <f>IFERROR(__xludf.DUMMYFUNCTION("VALUE(REGEXEXTRACT(A6583, ""\d+""))"),10313.0)</f>
        <v>10313</v>
      </c>
    </row>
    <row r="6584">
      <c r="A6584" s="9" t="s">
        <v>23171</v>
      </c>
      <c r="B6584" s="9" t="s">
        <v>23172</v>
      </c>
      <c r="G6584" s="9" t="s">
        <v>23173</v>
      </c>
      <c r="O6584" s="10">
        <f>IFERROR(__xludf.DUMMYFUNCTION("VALUE(REGEXEXTRACT(A6584, ""\d+""))"),10314.0)</f>
        <v>10314</v>
      </c>
    </row>
    <row r="6585">
      <c r="A6585" s="9" t="s">
        <v>23174</v>
      </c>
      <c r="B6585" s="9" t="s">
        <v>23175</v>
      </c>
      <c r="G6585" s="9" t="s">
        <v>23176</v>
      </c>
      <c r="O6585" s="10">
        <f>IFERROR(__xludf.DUMMYFUNCTION("VALUE(REGEXEXTRACT(A6585, ""\d+""))"),10315.0)</f>
        <v>10315</v>
      </c>
    </row>
    <row r="6586">
      <c r="A6586" s="9" t="s">
        <v>23177</v>
      </c>
      <c r="B6586" s="9" t="s">
        <v>23178</v>
      </c>
      <c r="G6586" s="9" t="s">
        <v>23179</v>
      </c>
      <c r="O6586" s="10">
        <f>IFERROR(__xludf.DUMMYFUNCTION("VALUE(REGEXEXTRACT(A6586, ""\d+""))"),10316.0)</f>
        <v>10316</v>
      </c>
    </row>
    <row r="6587">
      <c r="A6587" s="9" t="s">
        <v>23180</v>
      </c>
      <c r="B6587" s="9" t="s">
        <v>23181</v>
      </c>
      <c r="G6587" s="9" t="s">
        <v>23182</v>
      </c>
      <c r="O6587" s="10">
        <f>IFERROR(__xludf.DUMMYFUNCTION("VALUE(REGEXEXTRACT(A6587, ""\d+""))"),10317.0)</f>
        <v>10317</v>
      </c>
    </row>
    <row r="6588">
      <c r="A6588" s="9" t="s">
        <v>23183</v>
      </c>
      <c r="B6588" s="9" t="s">
        <v>23184</v>
      </c>
      <c r="G6588" s="9" t="s">
        <v>23185</v>
      </c>
      <c r="O6588" s="10">
        <f>IFERROR(__xludf.DUMMYFUNCTION("VALUE(REGEXEXTRACT(A6588, ""\d+""))"),10318.0)</f>
        <v>10318</v>
      </c>
    </row>
    <row r="6589">
      <c r="A6589" s="9" t="s">
        <v>23186</v>
      </c>
      <c r="B6589" s="9" t="s">
        <v>23187</v>
      </c>
      <c r="G6589" s="9" t="s">
        <v>23188</v>
      </c>
      <c r="O6589" s="10">
        <f>IFERROR(__xludf.DUMMYFUNCTION("VALUE(REGEXEXTRACT(A6589, ""\d+""))"),10319.0)</f>
        <v>10319</v>
      </c>
    </row>
    <row r="6590">
      <c r="A6590" s="9" t="s">
        <v>23189</v>
      </c>
      <c r="B6590" s="9" t="s">
        <v>23190</v>
      </c>
      <c r="G6590" s="9" t="s">
        <v>23191</v>
      </c>
      <c r="O6590" s="10">
        <f>IFERROR(__xludf.DUMMYFUNCTION("VALUE(REGEXEXTRACT(A6590, ""\d+""))"),10320.0)</f>
        <v>10320</v>
      </c>
    </row>
    <row r="6591">
      <c r="A6591" s="9" t="s">
        <v>23192</v>
      </c>
      <c r="B6591" s="9" t="s">
        <v>23193</v>
      </c>
      <c r="G6591" s="9" t="s">
        <v>23194</v>
      </c>
      <c r="O6591" s="10">
        <f>IFERROR(__xludf.DUMMYFUNCTION("VALUE(REGEXEXTRACT(A6591, ""\d+""))"),10321.0)</f>
        <v>10321</v>
      </c>
    </row>
    <row r="6592">
      <c r="A6592" s="9" t="s">
        <v>23195</v>
      </c>
      <c r="B6592" s="9" t="s">
        <v>23196</v>
      </c>
      <c r="G6592" s="9" t="s">
        <v>23197</v>
      </c>
      <c r="O6592" s="10">
        <f>IFERROR(__xludf.DUMMYFUNCTION("VALUE(REGEXEXTRACT(A6592, ""\d+""))"),10322.0)</f>
        <v>10322</v>
      </c>
    </row>
    <row r="6593">
      <c r="A6593" s="9" t="s">
        <v>23198</v>
      </c>
      <c r="B6593" s="9" t="s">
        <v>23199</v>
      </c>
      <c r="G6593" s="9" t="s">
        <v>23200</v>
      </c>
      <c r="O6593" s="10">
        <f>IFERROR(__xludf.DUMMYFUNCTION("VALUE(REGEXEXTRACT(A6593, ""\d+""))"),10323.0)</f>
        <v>10323</v>
      </c>
    </row>
    <row r="6594">
      <c r="A6594" s="9" t="s">
        <v>23201</v>
      </c>
      <c r="B6594" s="9" t="s">
        <v>23202</v>
      </c>
      <c r="G6594" s="9" t="s">
        <v>23203</v>
      </c>
      <c r="O6594" s="10">
        <f>IFERROR(__xludf.DUMMYFUNCTION("VALUE(REGEXEXTRACT(A6594, ""\d+""))"),10324.0)</f>
        <v>10324</v>
      </c>
    </row>
    <row r="6595">
      <c r="A6595" s="9" t="s">
        <v>23204</v>
      </c>
      <c r="B6595" s="9" t="s">
        <v>23205</v>
      </c>
      <c r="G6595" s="9" t="s">
        <v>23206</v>
      </c>
      <c r="O6595" s="10">
        <f>IFERROR(__xludf.DUMMYFUNCTION("VALUE(REGEXEXTRACT(A6595, ""\d+""))"),10325.0)</f>
        <v>10325</v>
      </c>
    </row>
    <row r="6596">
      <c r="A6596" s="9" t="s">
        <v>23207</v>
      </c>
      <c r="B6596" s="9" t="s">
        <v>23208</v>
      </c>
      <c r="G6596" s="9" t="s">
        <v>23209</v>
      </c>
      <c r="O6596" s="10">
        <f>IFERROR(__xludf.DUMMYFUNCTION("VALUE(REGEXEXTRACT(A6596, ""\d+""))"),10326.0)</f>
        <v>10326</v>
      </c>
    </row>
    <row r="6597">
      <c r="A6597" s="9" t="s">
        <v>23210</v>
      </c>
      <c r="B6597" s="9" t="s">
        <v>23211</v>
      </c>
      <c r="G6597" s="9" t="s">
        <v>23212</v>
      </c>
      <c r="O6597" s="10">
        <f>IFERROR(__xludf.DUMMYFUNCTION("VALUE(REGEXEXTRACT(A6597, ""\d+""))"),10327.0)</f>
        <v>10327</v>
      </c>
    </row>
    <row r="6598">
      <c r="A6598" s="9" t="s">
        <v>23213</v>
      </c>
      <c r="B6598" s="9" t="s">
        <v>23214</v>
      </c>
      <c r="G6598" s="9" t="s">
        <v>23215</v>
      </c>
      <c r="O6598" s="10">
        <f>IFERROR(__xludf.DUMMYFUNCTION("VALUE(REGEXEXTRACT(A6598, ""\d+""))"),10328.0)</f>
        <v>10328</v>
      </c>
    </row>
    <row r="6599">
      <c r="A6599" s="9" t="s">
        <v>23216</v>
      </c>
      <c r="B6599" s="9" t="s">
        <v>23217</v>
      </c>
      <c r="G6599" s="9" t="s">
        <v>23218</v>
      </c>
      <c r="O6599" s="10">
        <f>IFERROR(__xludf.DUMMYFUNCTION("VALUE(REGEXEXTRACT(A6599, ""\d+""))"),10329.0)</f>
        <v>10329</v>
      </c>
    </row>
    <row r="6600">
      <c r="A6600" s="9" t="s">
        <v>23219</v>
      </c>
      <c r="B6600" s="9" t="s">
        <v>23220</v>
      </c>
      <c r="G6600" s="9" t="s">
        <v>23221</v>
      </c>
      <c r="O6600" s="10">
        <f>IFERROR(__xludf.DUMMYFUNCTION("VALUE(REGEXEXTRACT(A6600, ""\d+""))"),10330.0)</f>
        <v>10330</v>
      </c>
    </row>
    <row r="6601">
      <c r="A6601" s="9" t="s">
        <v>23222</v>
      </c>
      <c r="B6601" s="9" t="s">
        <v>23223</v>
      </c>
      <c r="G6601" s="9" t="s">
        <v>23224</v>
      </c>
      <c r="O6601" s="10">
        <f>IFERROR(__xludf.DUMMYFUNCTION("VALUE(REGEXEXTRACT(A6601, ""\d+""))"),10331.0)</f>
        <v>10331</v>
      </c>
    </row>
    <row r="6602">
      <c r="A6602" s="9" t="s">
        <v>23225</v>
      </c>
      <c r="B6602" s="9" t="s">
        <v>23226</v>
      </c>
      <c r="G6602" s="9" t="s">
        <v>23227</v>
      </c>
      <c r="O6602" s="10">
        <f>IFERROR(__xludf.DUMMYFUNCTION("VALUE(REGEXEXTRACT(A6602, ""\d+""))"),10332.0)</f>
        <v>10332</v>
      </c>
    </row>
    <row r="6603">
      <c r="A6603" s="9" t="s">
        <v>23228</v>
      </c>
      <c r="B6603" s="9" t="s">
        <v>23229</v>
      </c>
      <c r="G6603" s="9" t="s">
        <v>23230</v>
      </c>
      <c r="O6603" s="10">
        <f>IFERROR(__xludf.DUMMYFUNCTION("VALUE(REGEXEXTRACT(A6603, ""\d+""))"),10333.0)</f>
        <v>10333</v>
      </c>
    </row>
    <row r="6604">
      <c r="A6604" s="9" t="s">
        <v>23231</v>
      </c>
      <c r="B6604" s="9" t="s">
        <v>23232</v>
      </c>
      <c r="G6604" s="9" t="s">
        <v>23233</v>
      </c>
      <c r="O6604" s="10">
        <f>IFERROR(__xludf.DUMMYFUNCTION("VALUE(REGEXEXTRACT(A6604, ""\d+""))"),10334.0)</f>
        <v>10334</v>
      </c>
    </row>
    <row r="6605">
      <c r="A6605" s="9" t="s">
        <v>23234</v>
      </c>
      <c r="B6605" s="9" t="s">
        <v>23235</v>
      </c>
      <c r="G6605" s="9" t="s">
        <v>23236</v>
      </c>
      <c r="O6605" s="10">
        <f>IFERROR(__xludf.DUMMYFUNCTION("VALUE(REGEXEXTRACT(A6605, ""\d+""))"),10335.0)</f>
        <v>10335</v>
      </c>
    </row>
    <row r="6606">
      <c r="A6606" s="9" t="s">
        <v>23237</v>
      </c>
      <c r="B6606" s="9" t="s">
        <v>23238</v>
      </c>
      <c r="G6606" s="9" t="s">
        <v>23239</v>
      </c>
      <c r="O6606" s="10">
        <f>IFERROR(__xludf.DUMMYFUNCTION("VALUE(REGEXEXTRACT(A6606, ""\d+""))"),10336.0)</f>
        <v>10336</v>
      </c>
    </row>
    <row r="6607">
      <c r="A6607" s="9" t="s">
        <v>23240</v>
      </c>
      <c r="B6607" s="9" t="s">
        <v>23241</v>
      </c>
      <c r="G6607" s="9" t="s">
        <v>23242</v>
      </c>
      <c r="O6607" s="10">
        <f>IFERROR(__xludf.DUMMYFUNCTION("VALUE(REGEXEXTRACT(A6607, ""\d+""))"),10337.0)</f>
        <v>10337</v>
      </c>
    </row>
    <row r="6608">
      <c r="A6608" s="9" t="s">
        <v>23243</v>
      </c>
      <c r="B6608" s="9" t="s">
        <v>23244</v>
      </c>
      <c r="G6608" s="9" t="s">
        <v>23245</v>
      </c>
      <c r="O6608" s="10">
        <f>IFERROR(__xludf.DUMMYFUNCTION("VALUE(REGEXEXTRACT(A6608, ""\d+""))"),10338.0)</f>
        <v>10338</v>
      </c>
    </row>
    <row r="6609">
      <c r="A6609" s="9" t="s">
        <v>23246</v>
      </c>
      <c r="B6609" s="9" t="s">
        <v>23247</v>
      </c>
      <c r="G6609" s="9" t="s">
        <v>23248</v>
      </c>
      <c r="O6609" s="10">
        <f>IFERROR(__xludf.DUMMYFUNCTION("VALUE(REGEXEXTRACT(A6609, ""\d+""))"),10339.0)</f>
        <v>10339</v>
      </c>
    </row>
    <row r="6610">
      <c r="A6610" s="9" t="s">
        <v>23249</v>
      </c>
      <c r="B6610" s="9" t="s">
        <v>23250</v>
      </c>
      <c r="G6610" s="9" t="s">
        <v>23251</v>
      </c>
      <c r="O6610" s="10">
        <f>IFERROR(__xludf.DUMMYFUNCTION("VALUE(REGEXEXTRACT(A6610, ""\d+""))"),10340.0)</f>
        <v>10340</v>
      </c>
    </row>
    <row r="6611">
      <c r="A6611" s="9" t="s">
        <v>23252</v>
      </c>
      <c r="B6611" s="9" t="s">
        <v>23253</v>
      </c>
      <c r="G6611" s="9" t="s">
        <v>23254</v>
      </c>
      <c r="O6611" s="10">
        <f>IFERROR(__xludf.DUMMYFUNCTION("VALUE(REGEXEXTRACT(A6611, ""\d+""))"),10341.0)</f>
        <v>10341</v>
      </c>
    </row>
    <row r="6612">
      <c r="A6612" s="9" t="s">
        <v>23255</v>
      </c>
      <c r="B6612" s="9" t="s">
        <v>23256</v>
      </c>
      <c r="G6612" s="9" t="s">
        <v>23257</v>
      </c>
      <c r="O6612" s="10">
        <f>IFERROR(__xludf.DUMMYFUNCTION("VALUE(REGEXEXTRACT(A6612, ""\d+""))"),10342.0)</f>
        <v>10342</v>
      </c>
    </row>
    <row r="6613">
      <c r="A6613" s="9" t="s">
        <v>23258</v>
      </c>
      <c r="B6613" s="9" t="s">
        <v>23259</v>
      </c>
      <c r="G6613" s="9" t="s">
        <v>23260</v>
      </c>
      <c r="O6613" s="10">
        <f>IFERROR(__xludf.DUMMYFUNCTION("VALUE(REGEXEXTRACT(A6613, ""\d+""))"),10343.0)</f>
        <v>10343</v>
      </c>
    </row>
    <row r="6614">
      <c r="A6614" s="9" t="s">
        <v>23261</v>
      </c>
      <c r="B6614" s="9" t="s">
        <v>23262</v>
      </c>
      <c r="G6614" s="9" t="s">
        <v>23263</v>
      </c>
      <c r="O6614" s="10">
        <f>IFERROR(__xludf.DUMMYFUNCTION("VALUE(REGEXEXTRACT(A6614, ""\d+""))"),10344.0)</f>
        <v>10344</v>
      </c>
    </row>
    <row r="6615">
      <c r="A6615" s="9" t="s">
        <v>23264</v>
      </c>
      <c r="B6615" s="9" t="s">
        <v>23265</v>
      </c>
      <c r="G6615" s="9" t="s">
        <v>23266</v>
      </c>
      <c r="O6615" s="10">
        <f>IFERROR(__xludf.DUMMYFUNCTION("VALUE(REGEXEXTRACT(A6615, ""\d+""))"),10345.0)</f>
        <v>10345</v>
      </c>
    </row>
    <row r="6616">
      <c r="A6616" s="9" t="s">
        <v>23267</v>
      </c>
      <c r="B6616" s="9" t="s">
        <v>23268</v>
      </c>
      <c r="G6616" s="9" t="s">
        <v>23269</v>
      </c>
      <c r="O6616" s="10">
        <f>IFERROR(__xludf.DUMMYFUNCTION("VALUE(REGEXEXTRACT(A6616, ""\d+""))"),10346.0)</f>
        <v>10346</v>
      </c>
    </row>
    <row r="6617">
      <c r="A6617" s="9" t="s">
        <v>23270</v>
      </c>
      <c r="B6617" s="9" t="s">
        <v>23271</v>
      </c>
      <c r="G6617" s="9" t="s">
        <v>23272</v>
      </c>
      <c r="O6617" s="10">
        <f>IFERROR(__xludf.DUMMYFUNCTION("VALUE(REGEXEXTRACT(A6617, ""\d+""))"),10347.0)</f>
        <v>10347</v>
      </c>
    </row>
    <row r="6618">
      <c r="A6618" s="9" t="s">
        <v>23273</v>
      </c>
      <c r="B6618" s="9" t="s">
        <v>23274</v>
      </c>
      <c r="G6618" s="9" t="s">
        <v>23275</v>
      </c>
      <c r="O6618" s="10">
        <f>IFERROR(__xludf.DUMMYFUNCTION("VALUE(REGEXEXTRACT(A6618, ""\d+""))"),10348.0)</f>
        <v>10348</v>
      </c>
    </row>
    <row r="6619">
      <c r="A6619" s="9" t="s">
        <v>23276</v>
      </c>
      <c r="B6619" s="9" t="s">
        <v>23277</v>
      </c>
      <c r="G6619" s="9" t="s">
        <v>23278</v>
      </c>
      <c r="O6619" s="10">
        <f>IFERROR(__xludf.DUMMYFUNCTION("VALUE(REGEXEXTRACT(A6619, ""\d+""))"),10349.0)</f>
        <v>10349</v>
      </c>
    </row>
    <row r="6620">
      <c r="A6620" s="9" t="s">
        <v>23279</v>
      </c>
      <c r="B6620" s="9" t="s">
        <v>23280</v>
      </c>
      <c r="G6620" s="9" t="s">
        <v>23281</v>
      </c>
      <c r="O6620" s="10">
        <f>IFERROR(__xludf.DUMMYFUNCTION("VALUE(REGEXEXTRACT(A6620, ""\d+""))"),10350.0)</f>
        <v>10350</v>
      </c>
    </row>
    <row r="6621">
      <c r="A6621" s="9" t="s">
        <v>23282</v>
      </c>
      <c r="B6621" s="9" t="s">
        <v>23283</v>
      </c>
      <c r="G6621" s="9" t="s">
        <v>23284</v>
      </c>
      <c r="O6621" s="10">
        <f>IFERROR(__xludf.DUMMYFUNCTION("VALUE(REGEXEXTRACT(A6621, ""\d+""))"),10351.0)</f>
        <v>10351</v>
      </c>
    </row>
    <row r="6622">
      <c r="A6622" s="9" t="s">
        <v>23285</v>
      </c>
      <c r="B6622" s="9" t="s">
        <v>23286</v>
      </c>
      <c r="G6622" s="9" t="s">
        <v>23287</v>
      </c>
      <c r="O6622" s="10">
        <f>IFERROR(__xludf.DUMMYFUNCTION("VALUE(REGEXEXTRACT(A6622, ""\d+""))"),10352.0)</f>
        <v>10352</v>
      </c>
    </row>
    <row r="6623">
      <c r="A6623" s="9" t="s">
        <v>23288</v>
      </c>
      <c r="B6623" s="9" t="s">
        <v>23289</v>
      </c>
      <c r="G6623" s="9" t="s">
        <v>23290</v>
      </c>
      <c r="O6623" s="10">
        <f>IFERROR(__xludf.DUMMYFUNCTION("VALUE(REGEXEXTRACT(A6623, ""\d+""))"),10353.0)</f>
        <v>10353</v>
      </c>
    </row>
    <row r="6624">
      <c r="A6624" s="9" t="s">
        <v>23291</v>
      </c>
      <c r="B6624" s="9" t="s">
        <v>23292</v>
      </c>
      <c r="G6624" s="9" t="s">
        <v>23293</v>
      </c>
      <c r="O6624" s="10">
        <f>IFERROR(__xludf.DUMMYFUNCTION("VALUE(REGEXEXTRACT(A6624, ""\d+""))"),10354.0)</f>
        <v>10354</v>
      </c>
    </row>
    <row r="6625">
      <c r="A6625" s="9" t="s">
        <v>23294</v>
      </c>
      <c r="B6625" s="9" t="s">
        <v>23295</v>
      </c>
      <c r="G6625" s="9" t="s">
        <v>23296</v>
      </c>
      <c r="O6625" s="10">
        <f>IFERROR(__xludf.DUMMYFUNCTION("VALUE(REGEXEXTRACT(A6625, ""\d+""))"),10355.0)</f>
        <v>10355</v>
      </c>
    </row>
    <row r="6626">
      <c r="A6626" s="9" t="s">
        <v>23297</v>
      </c>
      <c r="B6626" s="9" t="s">
        <v>23298</v>
      </c>
      <c r="G6626" s="9" t="s">
        <v>23299</v>
      </c>
      <c r="O6626" s="10">
        <f>IFERROR(__xludf.DUMMYFUNCTION("VALUE(REGEXEXTRACT(A6626, ""\d+""))"),10356.0)</f>
        <v>10356</v>
      </c>
    </row>
    <row r="6627">
      <c r="A6627" s="9" t="s">
        <v>23300</v>
      </c>
      <c r="B6627" s="9" t="s">
        <v>23301</v>
      </c>
      <c r="G6627" s="9" t="s">
        <v>23302</v>
      </c>
      <c r="O6627" s="10">
        <f>IFERROR(__xludf.DUMMYFUNCTION("VALUE(REGEXEXTRACT(A6627, ""\d+""))"),10357.0)</f>
        <v>10357</v>
      </c>
    </row>
    <row r="6628">
      <c r="A6628" s="9" t="s">
        <v>23303</v>
      </c>
      <c r="B6628" s="9" t="s">
        <v>23304</v>
      </c>
      <c r="G6628" s="9" t="s">
        <v>23305</v>
      </c>
      <c r="O6628" s="10">
        <f>IFERROR(__xludf.DUMMYFUNCTION("VALUE(REGEXEXTRACT(A6628, ""\d+""))"),10358.0)</f>
        <v>10358</v>
      </c>
    </row>
    <row r="6629">
      <c r="A6629" s="9" t="s">
        <v>23306</v>
      </c>
      <c r="B6629" s="9" t="s">
        <v>23307</v>
      </c>
      <c r="G6629" s="9" t="s">
        <v>23308</v>
      </c>
      <c r="O6629" s="10">
        <f>IFERROR(__xludf.DUMMYFUNCTION("VALUE(REGEXEXTRACT(A6629, ""\d+""))"),10359.0)</f>
        <v>10359</v>
      </c>
    </row>
    <row r="6630">
      <c r="A6630" s="9" t="s">
        <v>23309</v>
      </c>
      <c r="B6630" s="9" t="s">
        <v>23310</v>
      </c>
      <c r="G6630" s="9" t="s">
        <v>23311</v>
      </c>
      <c r="O6630" s="10">
        <f>IFERROR(__xludf.DUMMYFUNCTION("VALUE(REGEXEXTRACT(A6630, ""\d+""))"),10360.0)</f>
        <v>10360</v>
      </c>
    </row>
    <row r="6631">
      <c r="A6631" s="9" t="s">
        <v>23312</v>
      </c>
      <c r="B6631" s="9" t="s">
        <v>23313</v>
      </c>
      <c r="G6631" s="9" t="s">
        <v>23314</v>
      </c>
      <c r="O6631" s="10">
        <f>IFERROR(__xludf.DUMMYFUNCTION("VALUE(REGEXEXTRACT(A6631, ""\d+""))"),10361.0)</f>
        <v>10361</v>
      </c>
    </row>
    <row r="6632">
      <c r="A6632" s="9" t="s">
        <v>23315</v>
      </c>
      <c r="B6632" s="9" t="s">
        <v>23316</v>
      </c>
      <c r="G6632" s="9" t="s">
        <v>23317</v>
      </c>
      <c r="O6632" s="10">
        <f>IFERROR(__xludf.DUMMYFUNCTION("VALUE(REGEXEXTRACT(A6632, ""\d+""))"),10362.0)</f>
        <v>10362</v>
      </c>
    </row>
    <row r="6633">
      <c r="A6633" s="9" t="s">
        <v>23318</v>
      </c>
      <c r="B6633" s="9" t="s">
        <v>23319</v>
      </c>
      <c r="G6633" s="9" t="s">
        <v>23320</v>
      </c>
      <c r="O6633" s="10">
        <f>IFERROR(__xludf.DUMMYFUNCTION("VALUE(REGEXEXTRACT(A6633, ""\d+""))"),10363.0)</f>
        <v>10363</v>
      </c>
    </row>
    <row r="6634">
      <c r="A6634" s="9" t="s">
        <v>23321</v>
      </c>
      <c r="B6634" s="9" t="s">
        <v>23322</v>
      </c>
      <c r="G6634" s="9" t="s">
        <v>23323</v>
      </c>
      <c r="O6634" s="10">
        <f>IFERROR(__xludf.DUMMYFUNCTION("VALUE(REGEXEXTRACT(A6634, ""\d+""))"),10364.0)</f>
        <v>10364</v>
      </c>
    </row>
    <row r="6635">
      <c r="A6635" s="9" t="s">
        <v>23324</v>
      </c>
      <c r="B6635" s="9" t="s">
        <v>23325</v>
      </c>
      <c r="G6635" s="9" t="s">
        <v>23326</v>
      </c>
      <c r="O6635" s="10">
        <f>IFERROR(__xludf.DUMMYFUNCTION("VALUE(REGEXEXTRACT(A6635, ""\d+""))"),10365.0)</f>
        <v>10365</v>
      </c>
    </row>
    <row r="6636">
      <c r="A6636" s="9" t="s">
        <v>23327</v>
      </c>
      <c r="B6636" s="9" t="s">
        <v>23328</v>
      </c>
      <c r="G6636" s="9" t="s">
        <v>23329</v>
      </c>
      <c r="O6636" s="10">
        <f>IFERROR(__xludf.DUMMYFUNCTION("VALUE(REGEXEXTRACT(A6636, ""\d+""))"),10366.0)</f>
        <v>10366</v>
      </c>
    </row>
    <row r="6637">
      <c r="A6637" s="9" t="s">
        <v>23330</v>
      </c>
      <c r="B6637" s="9" t="s">
        <v>23331</v>
      </c>
      <c r="G6637" s="9" t="s">
        <v>23332</v>
      </c>
      <c r="O6637" s="10">
        <f>IFERROR(__xludf.DUMMYFUNCTION("VALUE(REGEXEXTRACT(A6637, ""\d+""))"),10367.0)</f>
        <v>10367</v>
      </c>
    </row>
    <row r="6638">
      <c r="A6638" s="9" t="s">
        <v>23333</v>
      </c>
      <c r="B6638" s="9" t="s">
        <v>23334</v>
      </c>
      <c r="G6638" s="9" t="s">
        <v>23335</v>
      </c>
      <c r="O6638" s="10">
        <f>IFERROR(__xludf.DUMMYFUNCTION("VALUE(REGEXEXTRACT(A6638, ""\d+""))"),10368.0)</f>
        <v>10368</v>
      </c>
    </row>
    <row r="6639">
      <c r="A6639" s="9" t="s">
        <v>23336</v>
      </c>
      <c r="B6639" s="9" t="s">
        <v>23337</v>
      </c>
      <c r="G6639" s="9" t="s">
        <v>23338</v>
      </c>
      <c r="O6639" s="10">
        <f>IFERROR(__xludf.DUMMYFUNCTION("VALUE(REGEXEXTRACT(A6639, ""\d+""))"),10369.0)</f>
        <v>10369</v>
      </c>
    </row>
    <row r="6640">
      <c r="A6640" s="9" t="s">
        <v>23339</v>
      </c>
      <c r="B6640" s="9" t="s">
        <v>23340</v>
      </c>
      <c r="G6640" s="9" t="s">
        <v>23341</v>
      </c>
      <c r="O6640" s="10">
        <f>IFERROR(__xludf.DUMMYFUNCTION("VALUE(REGEXEXTRACT(A6640, ""\d+""))"),10370.0)</f>
        <v>10370</v>
      </c>
    </row>
    <row r="6641">
      <c r="A6641" s="9" t="s">
        <v>23342</v>
      </c>
      <c r="B6641" s="9" t="s">
        <v>23343</v>
      </c>
      <c r="G6641" s="9" t="s">
        <v>23344</v>
      </c>
      <c r="O6641" s="10">
        <f>IFERROR(__xludf.DUMMYFUNCTION("VALUE(REGEXEXTRACT(A6641, ""\d+""))"),10371.0)</f>
        <v>10371</v>
      </c>
    </row>
    <row r="6642">
      <c r="A6642" s="9" t="s">
        <v>23345</v>
      </c>
      <c r="B6642" s="9" t="s">
        <v>23346</v>
      </c>
      <c r="G6642" s="9" t="s">
        <v>23347</v>
      </c>
      <c r="O6642" s="10">
        <f>IFERROR(__xludf.DUMMYFUNCTION("VALUE(REGEXEXTRACT(A6642, ""\d+""))"),10372.0)</f>
        <v>10372</v>
      </c>
    </row>
    <row r="6643">
      <c r="A6643" s="9" t="s">
        <v>23348</v>
      </c>
      <c r="B6643" s="9" t="s">
        <v>23349</v>
      </c>
      <c r="G6643" s="9" t="s">
        <v>23350</v>
      </c>
      <c r="O6643" s="10">
        <f>IFERROR(__xludf.DUMMYFUNCTION("VALUE(REGEXEXTRACT(A6643, ""\d+""))"),10373.0)</f>
        <v>10373</v>
      </c>
    </row>
    <row r="6644">
      <c r="A6644" s="9" t="s">
        <v>23351</v>
      </c>
      <c r="B6644" s="9" t="s">
        <v>23352</v>
      </c>
      <c r="G6644" s="9" t="s">
        <v>23353</v>
      </c>
      <c r="O6644" s="10">
        <f>IFERROR(__xludf.DUMMYFUNCTION("VALUE(REGEXEXTRACT(A6644, ""\d+""))"),10374.0)</f>
        <v>10374</v>
      </c>
    </row>
    <row r="6645">
      <c r="A6645" s="9" t="s">
        <v>23354</v>
      </c>
      <c r="B6645" s="9" t="s">
        <v>23355</v>
      </c>
      <c r="G6645" s="9" t="s">
        <v>23356</v>
      </c>
      <c r="O6645" s="10">
        <f>IFERROR(__xludf.DUMMYFUNCTION("VALUE(REGEXEXTRACT(A6645, ""\d+""))"),10375.0)</f>
        <v>10375</v>
      </c>
    </row>
    <row r="6646">
      <c r="A6646" s="9" t="s">
        <v>23357</v>
      </c>
      <c r="B6646" s="9" t="s">
        <v>23358</v>
      </c>
      <c r="G6646" s="9" t="s">
        <v>23359</v>
      </c>
      <c r="O6646" s="10">
        <f>IFERROR(__xludf.DUMMYFUNCTION("VALUE(REGEXEXTRACT(A6646, ""\d+""))"),10376.0)</f>
        <v>10376</v>
      </c>
    </row>
    <row r="6647">
      <c r="A6647" s="9" t="s">
        <v>23360</v>
      </c>
      <c r="B6647" s="9" t="s">
        <v>23361</v>
      </c>
      <c r="G6647" s="9" t="s">
        <v>23362</v>
      </c>
      <c r="O6647" s="10">
        <f>IFERROR(__xludf.DUMMYFUNCTION("VALUE(REGEXEXTRACT(A6647, ""\d+""))"),10377.0)</f>
        <v>10377</v>
      </c>
    </row>
    <row r="6648">
      <c r="A6648" s="9" t="s">
        <v>23363</v>
      </c>
      <c r="B6648" s="9" t="s">
        <v>23364</v>
      </c>
      <c r="G6648" s="9" t="s">
        <v>23365</v>
      </c>
      <c r="O6648" s="10">
        <f>IFERROR(__xludf.DUMMYFUNCTION("VALUE(REGEXEXTRACT(A6648, ""\d+""))"),10378.0)</f>
        <v>10378</v>
      </c>
    </row>
    <row r="6649">
      <c r="A6649" s="9" t="s">
        <v>23366</v>
      </c>
      <c r="B6649" s="9" t="s">
        <v>23367</v>
      </c>
      <c r="G6649" s="9" t="s">
        <v>23368</v>
      </c>
      <c r="O6649" s="10">
        <f>IFERROR(__xludf.DUMMYFUNCTION("VALUE(REGEXEXTRACT(A6649, ""\d+""))"),10379.0)</f>
        <v>10379</v>
      </c>
    </row>
    <row r="6650">
      <c r="A6650" s="9" t="s">
        <v>23369</v>
      </c>
      <c r="B6650" s="9" t="s">
        <v>23370</v>
      </c>
      <c r="G6650" s="9" t="s">
        <v>23371</v>
      </c>
      <c r="O6650" s="10">
        <f>IFERROR(__xludf.DUMMYFUNCTION("VALUE(REGEXEXTRACT(A6650, ""\d+""))"),10380.0)</f>
        <v>10380</v>
      </c>
    </row>
    <row r="6651">
      <c r="A6651" s="9" t="s">
        <v>23372</v>
      </c>
      <c r="B6651" s="9" t="s">
        <v>23373</v>
      </c>
      <c r="G6651" s="9" t="s">
        <v>23374</v>
      </c>
      <c r="O6651" s="10">
        <f>IFERROR(__xludf.DUMMYFUNCTION("VALUE(REGEXEXTRACT(A6651, ""\d+""))"),10381.0)</f>
        <v>10381</v>
      </c>
    </row>
    <row r="6652">
      <c r="A6652" s="9" t="s">
        <v>23375</v>
      </c>
      <c r="B6652" s="9" t="s">
        <v>23376</v>
      </c>
      <c r="G6652" s="9" t="s">
        <v>23377</v>
      </c>
      <c r="O6652" s="10">
        <f>IFERROR(__xludf.DUMMYFUNCTION("VALUE(REGEXEXTRACT(A6652, ""\d+""))"),10382.0)</f>
        <v>10382</v>
      </c>
    </row>
    <row r="6653">
      <c r="A6653" s="9" t="s">
        <v>23378</v>
      </c>
      <c r="B6653" s="9" t="s">
        <v>23379</v>
      </c>
      <c r="G6653" s="9" t="s">
        <v>23380</v>
      </c>
      <c r="O6653" s="10">
        <f>IFERROR(__xludf.DUMMYFUNCTION("VALUE(REGEXEXTRACT(A6653, ""\d+""))"),10383.0)</f>
        <v>10383</v>
      </c>
    </row>
    <row r="6654">
      <c r="A6654" s="9" t="s">
        <v>23381</v>
      </c>
      <c r="B6654" s="9" t="s">
        <v>23382</v>
      </c>
      <c r="G6654" s="9" t="s">
        <v>23383</v>
      </c>
      <c r="O6654" s="10">
        <f>IFERROR(__xludf.DUMMYFUNCTION("VALUE(REGEXEXTRACT(A6654, ""\d+""))"),10384.0)</f>
        <v>10384</v>
      </c>
    </row>
    <row r="6655">
      <c r="A6655" s="9" t="s">
        <v>23384</v>
      </c>
      <c r="B6655" s="9" t="s">
        <v>23385</v>
      </c>
      <c r="G6655" s="9" t="s">
        <v>23386</v>
      </c>
      <c r="O6655" s="10">
        <f>IFERROR(__xludf.DUMMYFUNCTION("VALUE(REGEXEXTRACT(A6655, ""\d+""))"),10385.0)</f>
        <v>10385</v>
      </c>
    </row>
    <row r="6656">
      <c r="A6656" s="9" t="s">
        <v>23387</v>
      </c>
      <c r="B6656" s="9" t="s">
        <v>23388</v>
      </c>
      <c r="G6656" s="9" t="s">
        <v>23389</v>
      </c>
      <c r="O6656" s="10">
        <f>IFERROR(__xludf.DUMMYFUNCTION("VALUE(REGEXEXTRACT(A6656, ""\d+""))"),10386.0)</f>
        <v>10386</v>
      </c>
    </row>
    <row r="6657">
      <c r="A6657" s="9" t="s">
        <v>23390</v>
      </c>
      <c r="B6657" s="9" t="s">
        <v>23391</v>
      </c>
      <c r="G6657" s="9" t="s">
        <v>23392</v>
      </c>
      <c r="O6657" s="10">
        <f>IFERROR(__xludf.DUMMYFUNCTION("VALUE(REGEXEXTRACT(A6657, ""\d+""))"),10387.0)</f>
        <v>10387</v>
      </c>
    </row>
    <row r="6658">
      <c r="A6658" s="9" t="s">
        <v>23393</v>
      </c>
      <c r="B6658" s="9" t="s">
        <v>23394</v>
      </c>
      <c r="G6658" s="9" t="s">
        <v>23395</v>
      </c>
      <c r="O6658" s="10">
        <f>IFERROR(__xludf.DUMMYFUNCTION("VALUE(REGEXEXTRACT(A6658, ""\d+""))"),10388.0)</f>
        <v>10388</v>
      </c>
    </row>
    <row r="6659">
      <c r="A6659" s="9" t="s">
        <v>23396</v>
      </c>
      <c r="B6659" s="9" t="s">
        <v>23397</v>
      </c>
      <c r="G6659" s="9" t="s">
        <v>23398</v>
      </c>
      <c r="O6659" s="10">
        <f>IFERROR(__xludf.DUMMYFUNCTION("VALUE(REGEXEXTRACT(A6659, ""\d+""))"),10389.0)</f>
        <v>10389</v>
      </c>
    </row>
    <row r="6660">
      <c r="A6660" s="9" t="s">
        <v>23399</v>
      </c>
      <c r="B6660" s="9" t="s">
        <v>23400</v>
      </c>
      <c r="G6660" s="9" t="s">
        <v>23401</v>
      </c>
      <c r="O6660" s="10">
        <f>IFERROR(__xludf.DUMMYFUNCTION("VALUE(REGEXEXTRACT(A6660, ""\d+""))"),10390.0)</f>
        <v>10390</v>
      </c>
    </row>
    <row r="6661">
      <c r="A6661" s="9" t="s">
        <v>23402</v>
      </c>
      <c r="B6661" s="9" t="s">
        <v>23403</v>
      </c>
      <c r="O6661" s="10">
        <f>IFERROR(__xludf.DUMMYFUNCTION("VALUE(REGEXEXTRACT(A6661, ""\d+""))"),10391.0)</f>
        <v>10391</v>
      </c>
    </row>
    <row r="6662">
      <c r="A6662" s="9" t="s">
        <v>23404</v>
      </c>
      <c r="B6662" s="9" t="s">
        <v>23405</v>
      </c>
      <c r="O6662" s="10">
        <f>IFERROR(__xludf.DUMMYFUNCTION("VALUE(REGEXEXTRACT(A6662, ""\d+""))"),10392.0)</f>
        <v>10392</v>
      </c>
    </row>
    <row r="6663">
      <c r="A6663" s="9" t="s">
        <v>23406</v>
      </c>
      <c r="B6663" s="9" t="s">
        <v>23407</v>
      </c>
      <c r="O6663" s="10">
        <f>IFERROR(__xludf.DUMMYFUNCTION("VALUE(REGEXEXTRACT(A6663, ""\d+""))"),10393.0)</f>
        <v>10393</v>
      </c>
    </row>
    <row r="6664">
      <c r="A6664" s="9" t="s">
        <v>23408</v>
      </c>
      <c r="B6664" s="9" t="s">
        <v>23409</v>
      </c>
      <c r="O6664" s="10">
        <f>IFERROR(__xludf.DUMMYFUNCTION("VALUE(REGEXEXTRACT(A6664, ""\d+""))"),10394.0)</f>
        <v>10394</v>
      </c>
    </row>
    <row r="6665">
      <c r="A6665" s="9" t="s">
        <v>23410</v>
      </c>
      <c r="B6665" s="9" t="s">
        <v>23411</v>
      </c>
      <c r="G6665" s="9" t="s">
        <v>23412</v>
      </c>
      <c r="O6665" s="10">
        <f>IFERROR(__xludf.DUMMYFUNCTION("VALUE(REGEXEXTRACT(A6665, ""\d+""))"),10395.0)</f>
        <v>10395</v>
      </c>
    </row>
    <row r="6666">
      <c r="A6666" s="9" t="s">
        <v>23413</v>
      </c>
      <c r="B6666" s="9" t="s">
        <v>23414</v>
      </c>
      <c r="G6666" s="9" t="s">
        <v>23415</v>
      </c>
      <c r="O6666" s="10">
        <f>IFERROR(__xludf.DUMMYFUNCTION("VALUE(REGEXEXTRACT(A6666, ""\d+""))"),10396.0)</f>
        <v>10396</v>
      </c>
    </row>
    <row r="6667">
      <c r="A6667" s="9" t="s">
        <v>23416</v>
      </c>
      <c r="B6667" s="9" t="s">
        <v>23417</v>
      </c>
      <c r="G6667" s="9" t="s">
        <v>23418</v>
      </c>
      <c r="O6667" s="10">
        <f>IFERROR(__xludf.DUMMYFUNCTION("VALUE(REGEXEXTRACT(A6667, ""\d+""))"),10397.0)</f>
        <v>10397</v>
      </c>
    </row>
    <row r="6668">
      <c r="A6668" s="9" t="s">
        <v>23419</v>
      </c>
      <c r="B6668" s="9" t="s">
        <v>23420</v>
      </c>
      <c r="G6668" s="9" t="s">
        <v>23421</v>
      </c>
      <c r="O6668" s="10">
        <f>IFERROR(__xludf.DUMMYFUNCTION("VALUE(REGEXEXTRACT(A6668, ""\d+""))"),10398.0)</f>
        <v>10398</v>
      </c>
    </row>
    <row r="6669">
      <c r="A6669" s="9" t="s">
        <v>23422</v>
      </c>
      <c r="B6669" s="9" t="s">
        <v>23423</v>
      </c>
      <c r="G6669" s="9" t="s">
        <v>23424</v>
      </c>
      <c r="O6669" s="10">
        <f>IFERROR(__xludf.DUMMYFUNCTION("VALUE(REGEXEXTRACT(A6669, ""\d+""))"),10399.0)</f>
        <v>10399</v>
      </c>
    </row>
    <row r="6670">
      <c r="A6670" s="9" t="s">
        <v>23425</v>
      </c>
      <c r="B6670" s="9" t="s">
        <v>23426</v>
      </c>
      <c r="G6670" s="9" t="s">
        <v>23427</v>
      </c>
      <c r="O6670" s="10">
        <f>IFERROR(__xludf.DUMMYFUNCTION("VALUE(REGEXEXTRACT(A6670, ""\d+""))"),10400.0)</f>
        <v>10400</v>
      </c>
    </row>
    <row r="6671">
      <c r="A6671" s="9" t="s">
        <v>23428</v>
      </c>
      <c r="B6671" s="9" t="s">
        <v>23429</v>
      </c>
      <c r="G6671" s="9" t="s">
        <v>23430</v>
      </c>
      <c r="O6671" s="10">
        <f>IFERROR(__xludf.DUMMYFUNCTION("VALUE(REGEXEXTRACT(A6671, ""\d+""))"),10401.0)</f>
        <v>10401</v>
      </c>
    </row>
    <row r="6672">
      <c r="A6672" s="9" t="s">
        <v>23431</v>
      </c>
      <c r="B6672" s="9" t="s">
        <v>23432</v>
      </c>
      <c r="G6672" s="9" t="s">
        <v>23433</v>
      </c>
      <c r="O6672" s="10">
        <f>IFERROR(__xludf.DUMMYFUNCTION("VALUE(REGEXEXTRACT(A6672, ""\d+""))"),10402.0)</f>
        <v>10402</v>
      </c>
    </row>
    <row r="6673">
      <c r="A6673" s="9" t="s">
        <v>23434</v>
      </c>
      <c r="B6673" s="9" t="s">
        <v>23435</v>
      </c>
      <c r="G6673" s="9" t="s">
        <v>23436</v>
      </c>
      <c r="O6673" s="10">
        <f>IFERROR(__xludf.DUMMYFUNCTION("VALUE(REGEXEXTRACT(A6673, ""\d+""))"),10403.0)</f>
        <v>10403</v>
      </c>
    </row>
    <row r="6674">
      <c r="A6674" s="9" t="s">
        <v>23437</v>
      </c>
      <c r="B6674" s="9" t="s">
        <v>23438</v>
      </c>
      <c r="G6674" s="9" t="s">
        <v>23439</v>
      </c>
      <c r="O6674" s="10">
        <f>IFERROR(__xludf.DUMMYFUNCTION("VALUE(REGEXEXTRACT(A6674, ""\d+""))"),10405.0)</f>
        <v>10405</v>
      </c>
    </row>
    <row r="6675">
      <c r="A6675" s="9" t="s">
        <v>23440</v>
      </c>
      <c r="B6675" s="9" t="s">
        <v>23441</v>
      </c>
      <c r="G6675" s="9" t="s">
        <v>23442</v>
      </c>
      <c r="O6675" s="10">
        <f>IFERROR(__xludf.DUMMYFUNCTION("VALUE(REGEXEXTRACT(A6675, ""\d+""))"),10406.0)</f>
        <v>10406</v>
      </c>
    </row>
    <row r="6676">
      <c r="A6676" s="9" t="s">
        <v>23443</v>
      </c>
      <c r="B6676" s="9" t="s">
        <v>23444</v>
      </c>
      <c r="G6676" s="9" t="s">
        <v>23445</v>
      </c>
      <c r="O6676" s="10">
        <f>IFERROR(__xludf.DUMMYFUNCTION("VALUE(REGEXEXTRACT(A6676, ""\d+""))"),10407.0)</f>
        <v>10407</v>
      </c>
    </row>
    <row r="6677">
      <c r="A6677" s="9" t="s">
        <v>23446</v>
      </c>
      <c r="B6677" s="9" t="s">
        <v>23447</v>
      </c>
      <c r="G6677" s="9" t="s">
        <v>23448</v>
      </c>
      <c r="O6677" s="10">
        <f>IFERROR(__xludf.DUMMYFUNCTION("VALUE(REGEXEXTRACT(A6677, ""\d+""))"),10408.0)</f>
        <v>10408</v>
      </c>
    </row>
    <row r="6678">
      <c r="A6678" s="9" t="s">
        <v>23449</v>
      </c>
      <c r="B6678" s="9" t="s">
        <v>23450</v>
      </c>
      <c r="G6678" s="9" t="s">
        <v>23450</v>
      </c>
      <c r="O6678" s="10">
        <f>IFERROR(__xludf.DUMMYFUNCTION("VALUE(REGEXEXTRACT(A6678, ""\d+""))"),10409.0)</f>
        <v>10409</v>
      </c>
    </row>
    <row r="6679">
      <c r="A6679" s="9" t="s">
        <v>23451</v>
      </c>
      <c r="B6679" s="9" t="s">
        <v>23452</v>
      </c>
      <c r="G6679" s="9" t="s">
        <v>23452</v>
      </c>
      <c r="O6679" s="10">
        <f>IFERROR(__xludf.DUMMYFUNCTION("VALUE(REGEXEXTRACT(A6679, ""\d+""))"),10410.0)</f>
        <v>10410</v>
      </c>
    </row>
    <row r="6680">
      <c r="A6680" s="9" t="s">
        <v>23453</v>
      </c>
      <c r="B6680" s="9" t="s">
        <v>23454</v>
      </c>
      <c r="G6680" s="9" t="s">
        <v>23454</v>
      </c>
      <c r="O6680" s="10">
        <f>IFERROR(__xludf.DUMMYFUNCTION("VALUE(REGEXEXTRACT(A6680, ""\d+""))"),10412.0)</f>
        <v>10412</v>
      </c>
    </row>
    <row r="6681">
      <c r="A6681" s="9" t="s">
        <v>23455</v>
      </c>
      <c r="B6681" s="9" t="s">
        <v>23456</v>
      </c>
      <c r="G6681" s="9" t="s">
        <v>23457</v>
      </c>
      <c r="O6681" s="10">
        <f>IFERROR(__xludf.DUMMYFUNCTION("VALUE(REGEXEXTRACT(A6681, ""\d+""))"),10413.0)</f>
        <v>10413</v>
      </c>
    </row>
    <row r="6682">
      <c r="A6682" s="9" t="s">
        <v>23458</v>
      </c>
      <c r="B6682" s="9" t="s">
        <v>23459</v>
      </c>
      <c r="G6682" s="9" t="s">
        <v>23460</v>
      </c>
      <c r="O6682" s="10">
        <f>IFERROR(__xludf.DUMMYFUNCTION("VALUE(REGEXEXTRACT(A6682, ""\d+""))"),10414.0)</f>
        <v>10414</v>
      </c>
    </row>
    <row r="6683">
      <c r="A6683" s="9" t="s">
        <v>23461</v>
      </c>
      <c r="B6683" s="9" t="s">
        <v>23462</v>
      </c>
      <c r="G6683" s="9" t="s">
        <v>23462</v>
      </c>
      <c r="O6683" s="10">
        <f>IFERROR(__xludf.DUMMYFUNCTION("VALUE(REGEXEXTRACT(A6683, ""\d+""))"),10415.0)</f>
        <v>10415</v>
      </c>
    </row>
    <row r="6684">
      <c r="A6684" s="9" t="s">
        <v>23463</v>
      </c>
      <c r="B6684" s="9" t="s">
        <v>23464</v>
      </c>
      <c r="G6684" s="9" t="s">
        <v>23464</v>
      </c>
      <c r="O6684" s="10">
        <f>IFERROR(__xludf.DUMMYFUNCTION("VALUE(REGEXEXTRACT(A6684, ""\d+""))"),10416.0)</f>
        <v>10416</v>
      </c>
    </row>
    <row r="6685">
      <c r="A6685" s="9" t="s">
        <v>23465</v>
      </c>
      <c r="B6685" s="9" t="s">
        <v>23466</v>
      </c>
      <c r="G6685" s="9" t="s">
        <v>23466</v>
      </c>
      <c r="O6685" s="10">
        <f>IFERROR(__xludf.DUMMYFUNCTION("VALUE(REGEXEXTRACT(A6685, ""\d+""))"),10417.0)</f>
        <v>10417</v>
      </c>
    </row>
    <row r="6686">
      <c r="A6686" s="9" t="s">
        <v>23467</v>
      </c>
      <c r="B6686" s="9" t="s">
        <v>23468</v>
      </c>
      <c r="G6686" s="9" t="s">
        <v>23468</v>
      </c>
      <c r="O6686" s="10">
        <f>IFERROR(__xludf.DUMMYFUNCTION("VALUE(REGEXEXTRACT(A6686, ""\d+""))"),10418.0)</f>
        <v>10418</v>
      </c>
    </row>
    <row r="6687">
      <c r="A6687" s="9" t="s">
        <v>23469</v>
      </c>
      <c r="B6687" s="9" t="s">
        <v>23470</v>
      </c>
      <c r="G6687" s="9" t="s">
        <v>23470</v>
      </c>
      <c r="O6687" s="10">
        <f>IFERROR(__xludf.DUMMYFUNCTION("VALUE(REGEXEXTRACT(A6687, ""\d+""))"),10419.0)</f>
        <v>10419</v>
      </c>
    </row>
    <row r="6688">
      <c r="A6688" s="9" t="s">
        <v>23471</v>
      </c>
      <c r="B6688" s="9" t="s">
        <v>23472</v>
      </c>
      <c r="G6688" s="9" t="s">
        <v>23472</v>
      </c>
      <c r="O6688" s="10">
        <f>IFERROR(__xludf.DUMMYFUNCTION("VALUE(REGEXEXTRACT(A6688, ""\d+""))"),10420.0)</f>
        <v>10420</v>
      </c>
    </row>
    <row r="6689">
      <c r="A6689" s="9" t="s">
        <v>23473</v>
      </c>
      <c r="B6689" s="9" t="s">
        <v>23474</v>
      </c>
      <c r="G6689" s="9" t="s">
        <v>23474</v>
      </c>
      <c r="O6689" s="10">
        <f>IFERROR(__xludf.DUMMYFUNCTION("VALUE(REGEXEXTRACT(A6689, ""\d+""))"),10421.0)</f>
        <v>10421</v>
      </c>
    </row>
    <row r="6690">
      <c r="A6690" s="9" t="s">
        <v>23475</v>
      </c>
      <c r="B6690" s="9" t="s">
        <v>23476</v>
      </c>
      <c r="G6690" s="9" t="s">
        <v>23476</v>
      </c>
      <c r="O6690" s="10">
        <f>IFERROR(__xludf.DUMMYFUNCTION("VALUE(REGEXEXTRACT(A6690, ""\d+""))"),10422.0)</f>
        <v>10422</v>
      </c>
    </row>
    <row r="6691">
      <c r="A6691" s="9" t="s">
        <v>23477</v>
      </c>
      <c r="B6691" s="9" t="s">
        <v>23478</v>
      </c>
      <c r="O6691" s="10">
        <f>IFERROR(__xludf.DUMMYFUNCTION("VALUE(REGEXEXTRACT(A6691, ""\d+""))"),10423.0)</f>
        <v>10423</v>
      </c>
    </row>
    <row r="6692">
      <c r="A6692" s="9" t="s">
        <v>23479</v>
      </c>
      <c r="B6692" s="9" t="s">
        <v>23480</v>
      </c>
      <c r="G6692" s="9" t="s">
        <v>23424</v>
      </c>
      <c r="O6692" s="10">
        <f>IFERROR(__xludf.DUMMYFUNCTION("VALUE(REGEXEXTRACT(A6692, ""\d+""))"),10424.0)</f>
        <v>10424</v>
      </c>
    </row>
    <row r="6693">
      <c r="A6693" s="9" t="s">
        <v>23481</v>
      </c>
      <c r="B6693" s="9" t="s">
        <v>23482</v>
      </c>
      <c r="G6693" s="9" t="s">
        <v>23430</v>
      </c>
      <c r="O6693" s="10">
        <f>IFERROR(__xludf.DUMMYFUNCTION("VALUE(REGEXEXTRACT(A6693, ""\d+""))"),10425.0)</f>
        <v>10425</v>
      </c>
    </row>
    <row r="6694">
      <c r="A6694" s="9" t="s">
        <v>23483</v>
      </c>
      <c r="B6694" s="9" t="s">
        <v>23484</v>
      </c>
      <c r="O6694" s="10">
        <f>IFERROR(__xludf.DUMMYFUNCTION("VALUE(REGEXEXTRACT(A6694, ""\d+""))"),10426.0)</f>
        <v>10426</v>
      </c>
    </row>
    <row r="6695">
      <c r="A6695" s="9" t="s">
        <v>23485</v>
      </c>
      <c r="B6695" s="9" t="s">
        <v>23486</v>
      </c>
      <c r="G6695" s="9" t="s">
        <v>23424</v>
      </c>
      <c r="O6695" s="10">
        <f>IFERROR(__xludf.DUMMYFUNCTION("VALUE(REGEXEXTRACT(A6695, ""\d+""))"),10427.0)</f>
        <v>10427</v>
      </c>
    </row>
    <row r="6696">
      <c r="A6696" s="9" t="s">
        <v>23487</v>
      </c>
      <c r="B6696" s="9" t="s">
        <v>23488</v>
      </c>
      <c r="G6696" s="9" t="s">
        <v>23430</v>
      </c>
      <c r="O6696" s="10">
        <f>IFERROR(__xludf.DUMMYFUNCTION("VALUE(REGEXEXTRACT(A6696, ""\d+""))"),10428.0)</f>
        <v>10428</v>
      </c>
    </row>
    <row r="6697">
      <c r="A6697" s="9" t="s">
        <v>23489</v>
      </c>
      <c r="B6697" s="9" t="s">
        <v>23490</v>
      </c>
      <c r="O6697" s="10">
        <f>IFERROR(__xludf.DUMMYFUNCTION("VALUE(REGEXEXTRACT(A6697, ""\d+""))"),10429.0)</f>
        <v>10429</v>
      </c>
    </row>
    <row r="6698">
      <c r="A6698" s="9" t="s">
        <v>23491</v>
      </c>
      <c r="B6698" s="9" t="s">
        <v>23492</v>
      </c>
      <c r="G6698" s="9" t="s">
        <v>23424</v>
      </c>
      <c r="O6698" s="10">
        <f>IFERROR(__xludf.DUMMYFUNCTION("VALUE(REGEXEXTRACT(A6698, ""\d+""))"),10430.0)</f>
        <v>10430</v>
      </c>
    </row>
    <row r="6699">
      <c r="A6699" s="9" t="s">
        <v>23493</v>
      </c>
      <c r="B6699" s="9" t="s">
        <v>23494</v>
      </c>
      <c r="G6699" s="9" t="s">
        <v>23430</v>
      </c>
      <c r="O6699" s="10">
        <f>IFERROR(__xludf.DUMMYFUNCTION("VALUE(REGEXEXTRACT(A6699, ""\d+""))"),10431.0)</f>
        <v>10431</v>
      </c>
    </row>
    <row r="6700">
      <c r="A6700" s="9" t="s">
        <v>23495</v>
      </c>
      <c r="B6700" s="9" t="s">
        <v>14096</v>
      </c>
      <c r="G6700" s="9" t="s">
        <v>23496</v>
      </c>
      <c r="O6700" s="10">
        <f>IFERROR(__xludf.DUMMYFUNCTION("VALUE(REGEXEXTRACT(A6700, ""\d+""))"),10432.0)</f>
        <v>10432</v>
      </c>
    </row>
    <row r="6701">
      <c r="A6701" s="9" t="s">
        <v>23497</v>
      </c>
      <c r="B6701" s="9" t="s">
        <v>14099</v>
      </c>
      <c r="G6701" s="9" t="s">
        <v>23498</v>
      </c>
      <c r="O6701" s="10">
        <f>IFERROR(__xludf.DUMMYFUNCTION("VALUE(REGEXEXTRACT(A6701, ""\d+""))"),10433.0)</f>
        <v>10433</v>
      </c>
    </row>
    <row r="6702">
      <c r="A6702" s="9" t="s">
        <v>23499</v>
      </c>
      <c r="B6702" s="9" t="s">
        <v>14102</v>
      </c>
      <c r="G6702" s="9" t="s">
        <v>23500</v>
      </c>
      <c r="O6702" s="10">
        <f>IFERROR(__xludf.DUMMYFUNCTION("VALUE(REGEXEXTRACT(A6702, ""\d+""))"),10434.0)</f>
        <v>10434</v>
      </c>
    </row>
    <row r="6703">
      <c r="A6703" s="9" t="s">
        <v>23501</v>
      </c>
      <c r="B6703" s="9" t="s">
        <v>23502</v>
      </c>
      <c r="O6703" s="10">
        <f>IFERROR(__xludf.DUMMYFUNCTION("VALUE(REGEXEXTRACT(A6703, ""\d+""))"),10435.0)</f>
        <v>10435</v>
      </c>
    </row>
    <row r="6704">
      <c r="A6704" s="9" t="s">
        <v>23503</v>
      </c>
      <c r="B6704" s="9" t="s">
        <v>14108</v>
      </c>
      <c r="G6704" s="9" t="s">
        <v>23504</v>
      </c>
      <c r="O6704" s="10">
        <f>IFERROR(__xludf.DUMMYFUNCTION("VALUE(REGEXEXTRACT(A6704, ""\d+""))"),10436.0)</f>
        <v>10436</v>
      </c>
    </row>
    <row r="6705">
      <c r="A6705" s="9" t="s">
        <v>23505</v>
      </c>
      <c r="B6705" s="9" t="s">
        <v>14111</v>
      </c>
      <c r="G6705" s="9" t="s">
        <v>23506</v>
      </c>
      <c r="O6705" s="10">
        <f>IFERROR(__xludf.DUMMYFUNCTION("VALUE(REGEXEXTRACT(A6705, ""\d+""))"),10437.0)</f>
        <v>10437</v>
      </c>
    </row>
    <row r="6706">
      <c r="A6706" s="9" t="s">
        <v>23507</v>
      </c>
      <c r="B6706" s="9" t="s">
        <v>23508</v>
      </c>
      <c r="G6706" s="9" t="s">
        <v>23509</v>
      </c>
      <c r="O6706" s="10">
        <f>IFERROR(__xludf.DUMMYFUNCTION("VALUE(REGEXEXTRACT(A6706, ""\d+""))"),10439.0)</f>
        <v>10439</v>
      </c>
    </row>
    <row r="6707">
      <c r="A6707" s="9" t="s">
        <v>23510</v>
      </c>
      <c r="B6707" s="9" t="s">
        <v>23511</v>
      </c>
      <c r="G6707" s="9" t="s">
        <v>23512</v>
      </c>
      <c r="O6707" s="10">
        <f>IFERROR(__xludf.DUMMYFUNCTION("VALUE(REGEXEXTRACT(A6707, ""\d+""))"),10440.0)</f>
        <v>10440</v>
      </c>
    </row>
    <row r="6708">
      <c r="A6708" s="9" t="s">
        <v>23513</v>
      </c>
      <c r="B6708" s="9" t="s">
        <v>23514</v>
      </c>
      <c r="G6708" s="9" t="s">
        <v>23515</v>
      </c>
      <c r="O6708" s="10">
        <f>IFERROR(__xludf.DUMMYFUNCTION("VALUE(REGEXEXTRACT(A6708, ""\d+""))"),10441.0)</f>
        <v>10441</v>
      </c>
    </row>
    <row r="6709">
      <c r="A6709" s="9" t="s">
        <v>23516</v>
      </c>
      <c r="B6709" s="9" t="s">
        <v>23517</v>
      </c>
      <c r="G6709" s="9" t="s">
        <v>23518</v>
      </c>
      <c r="O6709" s="10">
        <f>IFERROR(__xludf.DUMMYFUNCTION("VALUE(REGEXEXTRACT(A6709, ""\d+""))"),10442.0)</f>
        <v>10442</v>
      </c>
    </row>
    <row r="6710">
      <c r="A6710" s="9" t="s">
        <v>23519</v>
      </c>
      <c r="B6710" s="9" t="s">
        <v>23520</v>
      </c>
      <c r="G6710" s="9" t="s">
        <v>23521</v>
      </c>
      <c r="O6710" s="10">
        <f>IFERROR(__xludf.DUMMYFUNCTION("VALUE(REGEXEXTRACT(A6710, ""\d+""))"),10443.0)</f>
        <v>10443</v>
      </c>
    </row>
    <row r="6711">
      <c r="A6711" s="9" t="s">
        <v>23522</v>
      </c>
      <c r="B6711" s="9" t="s">
        <v>23523</v>
      </c>
      <c r="G6711" s="9" t="s">
        <v>23524</v>
      </c>
      <c r="O6711" s="10">
        <f>IFERROR(__xludf.DUMMYFUNCTION("VALUE(REGEXEXTRACT(A6711, ""\d+""))"),10444.0)</f>
        <v>10444</v>
      </c>
    </row>
    <row r="6712">
      <c r="A6712" s="9" t="s">
        <v>23525</v>
      </c>
      <c r="B6712" s="9" t="s">
        <v>23526</v>
      </c>
      <c r="O6712" s="10">
        <f>IFERROR(__xludf.DUMMYFUNCTION("VALUE(REGEXEXTRACT(A6712, ""\d+""))"),10445.0)</f>
        <v>10445</v>
      </c>
    </row>
    <row r="6713">
      <c r="A6713" s="9" t="s">
        <v>23527</v>
      </c>
      <c r="B6713" s="9" t="s">
        <v>23528</v>
      </c>
      <c r="G6713" s="9" t="s">
        <v>23529</v>
      </c>
      <c r="O6713" s="10">
        <f>IFERROR(__xludf.DUMMYFUNCTION("VALUE(REGEXEXTRACT(A6713, ""\d+""))"),10446.0)</f>
        <v>10446</v>
      </c>
    </row>
    <row r="6714">
      <c r="A6714" s="9" t="s">
        <v>23530</v>
      </c>
      <c r="B6714" s="9" t="s">
        <v>23531</v>
      </c>
      <c r="G6714" s="9" t="s">
        <v>23532</v>
      </c>
      <c r="O6714" s="10">
        <f>IFERROR(__xludf.DUMMYFUNCTION("VALUE(REGEXEXTRACT(A6714, ""\d+""))"),10448.0)</f>
        <v>10448</v>
      </c>
    </row>
    <row r="6715">
      <c r="A6715" s="9" t="s">
        <v>23533</v>
      </c>
      <c r="B6715" s="9" t="s">
        <v>23534</v>
      </c>
      <c r="G6715" s="9" t="s">
        <v>23535</v>
      </c>
      <c r="O6715" s="10">
        <f>IFERROR(__xludf.DUMMYFUNCTION("VALUE(REGEXEXTRACT(A6715, ""\d+""))"),10449.0)</f>
        <v>10449</v>
      </c>
    </row>
    <row r="6716">
      <c r="A6716" s="9" t="s">
        <v>23536</v>
      </c>
      <c r="B6716" s="9" t="s">
        <v>23537</v>
      </c>
      <c r="G6716" s="9" t="s">
        <v>23538</v>
      </c>
      <c r="O6716" s="10">
        <f>IFERROR(__xludf.DUMMYFUNCTION("VALUE(REGEXEXTRACT(A6716, ""\d+""))"),10450.0)</f>
        <v>10450</v>
      </c>
    </row>
    <row r="6717">
      <c r="A6717" s="9" t="s">
        <v>23539</v>
      </c>
      <c r="B6717" s="9" t="s">
        <v>23540</v>
      </c>
      <c r="G6717" s="9" t="s">
        <v>23541</v>
      </c>
      <c r="O6717" s="10">
        <f>IFERROR(__xludf.DUMMYFUNCTION("VALUE(REGEXEXTRACT(A6717, ""\d+""))"),10451.0)</f>
        <v>10451</v>
      </c>
    </row>
    <row r="6718">
      <c r="A6718" s="9" t="s">
        <v>23542</v>
      </c>
      <c r="B6718" s="9" t="s">
        <v>23543</v>
      </c>
      <c r="G6718" s="9" t="s">
        <v>23544</v>
      </c>
      <c r="O6718" s="10">
        <f>IFERROR(__xludf.DUMMYFUNCTION("VALUE(REGEXEXTRACT(A6718, ""\d+""))"),10452.0)</f>
        <v>10452</v>
      </c>
    </row>
    <row r="6719">
      <c r="A6719" s="9" t="s">
        <v>23545</v>
      </c>
      <c r="B6719" s="9" t="s">
        <v>23546</v>
      </c>
      <c r="O6719" s="10">
        <f>IFERROR(__xludf.DUMMYFUNCTION("VALUE(REGEXEXTRACT(A6719, ""\d+""))"),10453.0)</f>
        <v>10453</v>
      </c>
    </row>
    <row r="6720">
      <c r="A6720" s="9" t="s">
        <v>23547</v>
      </c>
      <c r="B6720" s="9" t="s">
        <v>23548</v>
      </c>
      <c r="O6720" s="10">
        <f>IFERROR(__xludf.DUMMYFUNCTION("VALUE(REGEXEXTRACT(A6720, ""\d+""))"),10454.0)</f>
        <v>10454</v>
      </c>
    </row>
    <row r="6721">
      <c r="A6721" s="9" t="s">
        <v>23549</v>
      </c>
      <c r="B6721" s="9" t="s">
        <v>23550</v>
      </c>
      <c r="G6721" s="9" t="s">
        <v>23551</v>
      </c>
      <c r="O6721" s="10">
        <f>IFERROR(__xludf.DUMMYFUNCTION("VALUE(REGEXEXTRACT(A6721, ""\d+""))"),10455.0)</f>
        <v>10455</v>
      </c>
    </row>
    <row r="6722">
      <c r="A6722" s="9" t="s">
        <v>23552</v>
      </c>
      <c r="B6722" s="9" t="s">
        <v>23553</v>
      </c>
      <c r="G6722" s="9" t="s">
        <v>23554</v>
      </c>
      <c r="O6722" s="10">
        <f>IFERROR(__xludf.DUMMYFUNCTION("VALUE(REGEXEXTRACT(A6722, ""\d+""))"),10456.0)</f>
        <v>10456</v>
      </c>
    </row>
    <row r="6723">
      <c r="A6723" s="9" t="s">
        <v>23555</v>
      </c>
      <c r="B6723" s="9" t="s">
        <v>23556</v>
      </c>
      <c r="G6723" s="9" t="s">
        <v>23557</v>
      </c>
      <c r="O6723" s="10">
        <f>IFERROR(__xludf.DUMMYFUNCTION("VALUE(REGEXEXTRACT(A6723, ""\d+""))"),10457.0)</f>
        <v>10457</v>
      </c>
    </row>
    <row r="6724">
      <c r="A6724" s="9" t="s">
        <v>23558</v>
      </c>
      <c r="B6724" s="9" t="s">
        <v>23559</v>
      </c>
      <c r="G6724" s="9" t="s">
        <v>23560</v>
      </c>
      <c r="O6724" s="10">
        <f>IFERROR(__xludf.DUMMYFUNCTION("VALUE(REGEXEXTRACT(A6724, ""\d+""))"),10458.0)</f>
        <v>10458</v>
      </c>
    </row>
    <row r="6725">
      <c r="A6725" s="9" t="s">
        <v>23561</v>
      </c>
      <c r="B6725" s="9" t="s">
        <v>23562</v>
      </c>
      <c r="G6725" s="9" t="s">
        <v>23563</v>
      </c>
      <c r="O6725" s="10">
        <f>IFERROR(__xludf.DUMMYFUNCTION("VALUE(REGEXEXTRACT(A6725, ""\d+""))"),10459.0)</f>
        <v>10459</v>
      </c>
    </row>
    <row r="6726">
      <c r="A6726" s="9" t="s">
        <v>23564</v>
      </c>
      <c r="B6726" s="9" t="s">
        <v>23565</v>
      </c>
      <c r="G6726" s="9" t="s">
        <v>23566</v>
      </c>
      <c r="O6726" s="10">
        <f>IFERROR(__xludf.DUMMYFUNCTION("VALUE(REGEXEXTRACT(A6726, ""\d+""))"),10460.0)</f>
        <v>10460</v>
      </c>
    </row>
    <row r="6727">
      <c r="A6727" s="9" t="s">
        <v>23567</v>
      </c>
      <c r="B6727" s="9" t="s">
        <v>23568</v>
      </c>
      <c r="G6727" s="9" t="s">
        <v>23569</v>
      </c>
      <c r="O6727" s="10">
        <f>IFERROR(__xludf.DUMMYFUNCTION("VALUE(REGEXEXTRACT(A6727, ""\d+""))"),10461.0)</f>
        <v>10461</v>
      </c>
    </row>
    <row r="6728">
      <c r="A6728" s="9" t="s">
        <v>23570</v>
      </c>
      <c r="B6728" s="9" t="s">
        <v>23571</v>
      </c>
      <c r="G6728" s="9" t="s">
        <v>23572</v>
      </c>
      <c r="O6728" s="10">
        <f>IFERROR(__xludf.DUMMYFUNCTION("VALUE(REGEXEXTRACT(A6728, ""\d+""))"),10462.0)</f>
        <v>10462</v>
      </c>
    </row>
    <row r="6729">
      <c r="A6729" s="9" t="s">
        <v>23573</v>
      </c>
      <c r="B6729" s="9" t="s">
        <v>23571</v>
      </c>
      <c r="G6729" s="9" t="s">
        <v>23572</v>
      </c>
      <c r="O6729" s="10">
        <f>IFERROR(__xludf.DUMMYFUNCTION("VALUE(REGEXEXTRACT(A6729, ""\d+""))"),10463.0)</f>
        <v>10463</v>
      </c>
    </row>
    <row r="6730">
      <c r="A6730" s="9" t="s">
        <v>23574</v>
      </c>
      <c r="B6730" s="9" t="s">
        <v>23575</v>
      </c>
      <c r="G6730" s="9" t="s">
        <v>23576</v>
      </c>
      <c r="O6730" s="10">
        <f>IFERROR(__xludf.DUMMYFUNCTION("VALUE(REGEXEXTRACT(A6730, ""\d+""))"),10464.0)</f>
        <v>10464</v>
      </c>
    </row>
    <row r="6731">
      <c r="A6731" s="9" t="s">
        <v>23577</v>
      </c>
      <c r="B6731" s="9" t="s">
        <v>23578</v>
      </c>
      <c r="G6731" s="9" t="s">
        <v>23579</v>
      </c>
      <c r="O6731" s="10">
        <f>IFERROR(__xludf.DUMMYFUNCTION("VALUE(REGEXEXTRACT(A6731, ""\d+""))"),10465.0)</f>
        <v>10465</v>
      </c>
    </row>
    <row r="6732">
      <c r="A6732" s="9" t="s">
        <v>23580</v>
      </c>
      <c r="B6732" s="9" t="s">
        <v>23581</v>
      </c>
      <c r="G6732" s="9" t="s">
        <v>23582</v>
      </c>
      <c r="O6732" s="10">
        <f>IFERROR(__xludf.DUMMYFUNCTION("VALUE(REGEXEXTRACT(A6732, ""\d+""))"),10466.0)</f>
        <v>10466</v>
      </c>
    </row>
    <row r="6733">
      <c r="A6733" s="9" t="s">
        <v>23583</v>
      </c>
      <c r="B6733" s="9" t="s">
        <v>23584</v>
      </c>
      <c r="G6733" s="9" t="s">
        <v>23585</v>
      </c>
      <c r="O6733" s="10">
        <f>IFERROR(__xludf.DUMMYFUNCTION("VALUE(REGEXEXTRACT(A6733, ""\d+""))"),10467.0)</f>
        <v>10467</v>
      </c>
    </row>
    <row r="6734">
      <c r="A6734" s="9" t="s">
        <v>23586</v>
      </c>
      <c r="B6734" s="9" t="s">
        <v>23587</v>
      </c>
      <c r="G6734" s="9" t="s">
        <v>23588</v>
      </c>
      <c r="O6734" s="10">
        <f>IFERROR(__xludf.DUMMYFUNCTION("VALUE(REGEXEXTRACT(A6734, ""\d+""))"),10468.0)</f>
        <v>10468</v>
      </c>
    </row>
    <row r="6735">
      <c r="A6735" s="9" t="s">
        <v>23589</v>
      </c>
      <c r="B6735" s="9" t="s">
        <v>23590</v>
      </c>
      <c r="G6735" s="9" t="s">
        <v>23591</v>
      </c>
      <c r="O6735" s="10">
        <f>IFERROR(__xludf.DUMMYFUNCTION("VALUE(REGEXEXTRACT(A6735, ""\d+""))"),10469.0)</f>
        <v>10469</v>
      </c>
    </row>
    <row r="6736">
      <c r="A6736" s="9" t="s">
        <v>23592</v>
      </c>
      <c r="B6736" s="9" t="s">
        <v>23593</v>
      </c>
      <c r="G6736" s="9" t="s">
        <v>23594</v>
      </c>
      <c r="O6736" s="10">
        <f>IFERROR(__xludf.DUMMYFUNCTION("VALUE(REGEXEXTRACT(A6736, ""\d+""))"),10470.0)</f>
        <v>10470</v>
      </c>
    </row>
    <row r="6737">
      <c r="A6737" s="9" t="s">
        <v>23595</v>
      </c>
      <c r="B6737" s="9" t="s">
        <v>23596</v>
      </c>
      <c r="G6737" s="9" t="s">
        <v>23597</v>
      </c>
      <c r="O6737" s="10">
        <f>IFERROR(__xludf.DUMMYFUNCTION("VALUE(REGEXEXTRACT(A6737, ""\d+""))"),10471.0)</f>
        <v>10471</v>
      </c>
    </row>
    <row r="6738">
      <c r="A6738" s="9" t="s">
        <v>23598</v>
      </c>
      <c r="B6738" s="9" t="s">
        <v>23599</v>
      </c>
      <c r="G6738" s="9" t="s">
        <v>23600</v>
      </c>
      <c r="O6738" s="10">
        <f>IFERROR(__xludf.DUMMYFUNCTION("VALUE(REGEXEXTRACT(A6738, ""\d+""))"),10472.0)</f>
        <v>10472</v>
      </c>
    </row>
    <row r="6739">
      <c r="A6739" s="9" t="s">
        <v>23601</v>
      </c>
      <c r="B6739" s="9" t="s">
        <v>23602</v>
      </c>
      <c r="G6739" s="9" t="s">
        <v>23603</v>
      </c>
      <c r="O6739" s="10">
        <f>IFERROR(__xludf.DUMMYFUNCTION("VALUE(REGEXEXTRACT(A6739, ""\d+""))"),10473.0)</f>
        <v>10473</v>
      </c>
    </row>
    <row r="6740">
      <c r="A6740" s="9" t="s">
        <v>23604</v>
      </c>
      <c r="B6740" s="9" t="s">
        <v>23605</v>
      </c>
      <c r="G6740" s="9" t="s">
        <v>23606</v>
      </c>
      <c r="O6740" s="10">
        <f>IFERROR(__xludf.DUMMYFUNCTION("VALUE(REGEXEXTRACT(A6740, ""\d+""))"),10474.0)</f>
        <v>10474</v>
      </c>
    </row>
    <row r="6741">
      <c r="A6741" s="9" t="s">
        <v>23607</v>
      </c>
      <c r="B6741" s="9" t="s">
        <v>23608</v>
      </c>
      <c r="G6741" s="9" t="s">
        <v>23609</v>
      </c>
      <c r="O6741" s="10">
        <f>IFERROR(__xludf.DUMMYFUNCTION("VALUE(REGEXEXTRACT(A6741, ""\d+""))"),10475.0)</f>
        <v>10475</v>
      </c>
    </row>
    <row r="6742">
      <c r="A6742" s="9" t="s">
        <v>23610</v>
      </c>
      <c r="B6742" s="9" t="s">
        <v>23581</v>
      </c>
      <c r="G6742" s="9" t="s">
        <v>23582</v>
      </c>
      <c r="O6742" s="10">
        <f>IFERROR(__xludf.DUMMYFUNCTION("VALUE(REGEXEXTRACT(A6742, ""\d+""))"),10476.0)</f>
        <v>10476</v>
      </c>
    </row>
    <row r="6743">
      <c r="A6743" s="9" t="s">
        <v>23611</v>
      </c>
      <c r="B6743" s="9" t="s">
        <v>23612</v>
      </c>
      <c r="G6743" s="9" t="s">
        <v>23613</v>
      </c>
      <c r="O6743" s="10">
        <f>IFERROR(__xludf.DUMMYFUNCTION("VALUE(REGEXEXTRACT(A6743, ""\d+""))"),10477.0)</f>
        <v>10477</v>
      </c>
    </row>
    <row r="6744">
      <c r="A6744" s="9" t="s">
        <v>23614</v>
      </c>
      <c r="B6744" s="9" t="s">
        <v>23615</v>
      </c>
      <c r="G6744" s="9" t="s">
        <v>23616</v>
      </c>
      <c r="O6744" s="10">
        <f>IFERROR(__xludf.DUMMYFUNCTION("VALUE(REGEXEXTRACT(A6744, ""\d+""))"),10480.0)</f>
        <v>10480</v>
      </c>
    </row>
    <row r="6745">
      <c r="A6745" s="9" t="s">
        <v>23617</v>
      </c>
      <c r="B6745" s="9" t="s">
        <v>23618</v>
      </c>
      <c r="G6745" s="9" t="s">
        <v>23619</v>
      </c>
      <c r="O6745" s="10">
        <f>IFERROR(__xludf.DUMMYFUNCTION("VALUE(REGEXEXTRACT(A6745, ""\d+""))"),10481.0)</f>
        <v>10481</v>
      </c>
    </row>
    <row r="6746">
      <c r="A6746" s="9" t="s">
        <v>23620</v>
      </c>
      <c r="B6746" s="9" t="s">
        <v>23621</v>
      </c>
      <c r="G6746" s="9" t="s">
        <v>23622</v>
      </c>
      <c r="O6746" s="10">
        <f>IFERROR(__xludf.DUMMYFUNCTION("VALUE(REGEXEXTRACT(A6746, ""\d+""))"),10483.0)</f>
        <v>10483</v>
      </c>
    </row>
    <row r="6747">
      <c r="A6747" s="9" t="s">
        <v>23623</v>
      </c>
      <c r="B6747" s="9" t="s">
        <v>23624</v>
      </c>
      <c r="G6747" s="9" t="s">
        <v>23625</v>
      </c>
      <c r="O6747" s="10">
        <f>IFERROR(__xludf.DUMMYFUNCTION("VALUE(REGEXEXTRACT(A6747, ""\d+""))"),10484.0)</f>
        <v>10484</v>
      </c>
    </row>
    <row r="6748">
      <c r="A6748" s="9" t="s">
        <v>23626</v>
      </c>
      <c r="B6748" s="9" t="s">
        <v>23627</v>
      </c>
      <c r="G6748" s="9" t="s">
        <v>23628</v>
      </c>
      <c r="O6748" s="10">
        <f>IFERROR(__xludf.DUMMYFUNCTION("VALUE(REGEXEXTRACT(A6748, ""\d+""))"),10485.0)</f>
        <v>10485</v>
      </c>
    </row>
    <row r="6749">
      <c r="A6749" s="9" t="s">
        <v>23629</v>
      </c>
      <c r="B6749" s="9" t="s">
        <v>23630</v>
      </c>
      <c r="G6749" s="9" t="s">
        <v>23631</v>
      </c>
      <c r="O6749" s="10">
        <f>IFERROR(__xludf.DUMMYFUNCTION("VALUE(REGEXEXTRACT(A6749, ""\d+""))"),10486.0)</f>
        <v>10486</v>
      </c>
    </row>
    <row r="6750">
      <c r="A6750" s="9" t="s">
        <v>23632</v>
      </c>
      <c r="B6750" s="9" t="s">
        <v>23633</v>
      </c>
      <c r="G6750" s="9" t="s">
        <v>23634</v>
      </c>
      <c r="O6750" s="10">
        <f>IFERROR(__xludf.DUMMYFUNCTION("VALUE(REGEXEXTRACT(A6750, ""\d+""))"),10487.0)</f>
        <v>10487</v>
      </c>
    </row>
    <row r="6751">
      <c r="A6751" s="9" t="s">
        <v>23635</v>
      </c>
      <c r="B6751" s="9" t="s">
        <v>23636</v>
      </c>
      <c r="G6751" s="9" t="s">
        <v>23637</v>
      </c>
      <c r="O6751" s="10">
        <f>IFERROR(__xludf.DUMMYFUNCTION("VALUE(REGEXEXTRACT(A6751, ""\d+""))"),10488.0)</f>
        <v>10488</v>
      </c>
    </row>
    <row r="6752">
      <c r="A6752" s="9" t="s">
        <v>23638</v>
      </c>
      <c r="B6752" s="9" t="s">
        <v>23639</v>
      </c>
      <c r="G6752" s="9" t="s">
        <v>23640</v>
      </c>
      <c r="O6752" s="10">
        <f>IFERROR(__xludf.DUMMYFUNCTION("VALUE(REGEXEXTRACT(A6752, ""\d+""))"),10489.0)</f>
        <v>10489</v>
      </c>
    </row>
    <row r="6753">
      <c r="A6753" s="9" t="s">
        <v>23641</v>
      </c>
      <c r="B6753" s="9" t="s">
        <v>23642</v>
      </c>
      <c r="G6753" s="9" t="s">
        <v>23643</v>
      </c>
      <c r="O6753" s="10">
        <f>IFERROR(__xludf.DUMMYFUNCTION("VALUE(REGEXEXTRACT(A6753, ""\d+""))"),10495.0)</f>
        <v>10495</v>
      </c>
    </row>
    <row r="6754">
      <c r="A6754" s="9" t="s">
        <v>23644</v>
      </c>
      <c r="B6754" s="9" t="s">
        <v>23645</v>
      </c>
      <c r="G6754" s="9" t="s">
        <v>23646</v>
      </c>
      <c r="O6754" s="10">
        <f>IFERROR(__xludf.DUMMYFUNCTION("VALUE(REGEXEXTRACT(A6754, ""\d+""))"),10496.0)</f>
        <v>10496</v>
      </c>
    </row>
    <row r="6755">
      <c r="A6755" s="9" t="s">
        <v>23647</v>
      </c>
      <c r="B6755" s="9" t="s">
        <v>23648</v>
      </c>
      <c r="G6755" s="9" t="s">
        <v>23649</v>
      </c>
      <c r="O6755" s="10">
        <f>IFERROR(__xludf.DUMMYFUNCTION("VALUE(REGEXEXTRACT(A6755, ""\d+""))"),10497.0)</f>
        <v>10497</v>
      </c>
    </row>
    <row r="6756">
      <c r="A6756" s="9" t="s">
        <v>23650</v>
      </c>
      <c r="B6756" s="9" t="s">
        <v>23651</v>
      </c>
      <c r="G6756" s="9" t="s">
        <v>23652</v>
      </c>
      <c r="O6756" s="10">
        <f>IFERROR(__xludf.DUMMYFUNCTION("VALUE(REGEXEXTRACT(A6756, ""\d+""))"),10499.0)</f>
        <v>10499</v>
      </c>
    </row>
    <row r="6757">
      <c r="A6757" s="9" t="s">
        <v>23653</v>
      </c>
      <c r="B6757" s="9" t="s">
        <v>23654</v>
      </c>
      <c r="G6757" s="9" t="s">
        <v>23655</v>
      </c>
      <c r="O6757" s="10">
        <f>IFERROR(__xludf.DUMMYFUNCTION("VALUE(REGEXEXTRACT(A6757, ""\d+""))"),10500.0)</f>
        <v>10500</v>
      </c>
    </row>
    <row r="6758">
      <c r="A6758" s="9" t="s">
        <v>23656</v>
      </c>
      <c r="B6758" s="9" t="s">
        <v>23657</v>
      </c>
      <c r="G6758" s="9" t="s">
        <v>23658</v>
      </c>
      <c r="O6758" s="10">
        <f>IFERROR(__xludf.DUMMYFUNCTION("VALUE(REGEXEXTRACT(A6758, ""\d+""))"),10501.0)</f>
        <v>10501</v>
      </c>
    </row>
    <row r="6759">
      <c r="A6759" s="9" t="s">
        <v>23659</v>
      </c>
      <c r="B6759" s="9" t="s">
        <v>23660</v>
      </c>
      <c r="G6759" s="9" t="s">
        <v>23661</v>
      </c>
      <c r="O6759" s="10">
        <f>IFERROR(__xludf.DUMMYFUNCTION("VALUE(REGEXEXTRACT(A6759, ""\d+""))"),10502.0)</f>
        <v>10502</v>
      </c>
    </row>
    <row r="6760">
      <c r="A6760" s="9" t="s">
        <v>23662</v>
      </c>
      <c r="B6760" s="9" t="s">
        <v>23663</v>
      </c>
      <c r="G6760" s="9" t="s">
        <v>23664</v>
      </c>
      <c r="O6760" s="10">
        <f>IFERROR(__xludf.DUMMYFUNCTION("VALUE(REGEXEXTRACT(A6760, ""\d+""))"),10503.0)</f>
        <v>10503</v>
      </c>
    </row>
    <row r="6761">
      <c r="A6761" s="9" t="s">
        <v>23665</v>
      </c>
      <c r="B6761" s="9" t="s">
        <v>23666</v>
      </c>
      <c r="G6761" s="9" t="s">
        <v>23667</v>
      </c>
      <c r="O6761" s="10">
        <f>IFERROR(__xludf.DUMMYFUNCTION("VALUE(REGEXEXTRACT(A6761, ""\d+""))"),10504.0)</f>
        <v>10504</v>
      </c>
    </row>
    <row r="6762">
      <c r="A6762" s="9" t="s">
        <v>23668</v>
      </c>
      <c r="B6762" s="9" t="s">
        <v>23669</v>
      </c>
      <c r="G6762" s="9" t="s">
        <v>23670</v>
      </c>
      <c r="O6762" s="10">
        <f>IFERROR(__xludf.DUMMYFUNCTION("VALUE(REGEXEXTRACT(A6762, ""\d+""))"),10505.0)</f>
        <v>10505</v>
      </c>
    </row>
    <row r="6763">
      <c r="A6763" s="9" t="s">
        <v>23671</v>
      </c>
      <c r="B6763" s="9" t="s">
        <v>23672</v>
      </c>
      <c r="G6763" s="9" t="s">
        <v>23673</v>
      </c>
      <c r="O6763" s="10">
        <f>IFERROR(__xludf.DUMMYFUNCTION("VALUE(REGEXEXTRACT(A6763, ""\d+""))"),10506.0)</f>
        <v>10506</v>
      </c>
    </row>
    <row r="6764">
      <c r="A6764" s="9" t="s">
        <v>23674</v>
      </c>
      <c r="B6764" s="9" t="s">
        <v>23675</v>
      </c>
      <c r="G6764" s="9" t="s">
        <v>23676</v>
      </c>
      <c r="O6764" s="10">
        <f>IFERROR(__xludf.DUMMYFUNCTION("VALUE(REGEXEXTRACT(A6764, ""\d+""))"),10507.0)</f>
        <v>10507</v>
      </c>
    </row>
    <row r="6765">
      <c r="A6765" s="9" t="s">
        <v>23677</v>
      </c>
      <c r="B6765" s="9" t="s">
        <v>23678</v>
      </c>
      <c r="G6765" s="9" t="s">
        <v>23679</v>
      </c>
      <c r="O6765" s="10">
        <f>IFERROR(__xludf.DUMMYFUNCTION("VALUE(REGEXEXTRACT(A6765, ""\d+""))"),10508.0)</f>
        <v>10508</v>
      </c>
    </row>
    <row r="6766">
      <c r="A6766" s="9" t="s">
        <v>23680</v>
      </c>
      <c r="B6766" s="9" t="s">
        <v>23681</v>
      </c>
      <c r="G6766" s="9" t="s">
        <v>23682</v>
      </c>
      <c r="O6766" s="10">
        <f>IFERROR(__xludf.DUMMYFUNCTION("VALUE(REGEXEXTRACT(A6766, ""\d+""))"),10509.0)</f>
        <v>10509</v>
      </c>
    </row>
    <row r="6767">
      <c r="A6767" s="9" t="s">
        <v>23683</v>
      </c>
      <c r="B6767" s="9" t="s">
        <v>23684</v>
      </c>
      <c r="G6767" s="9" t="s">
        <v>23685</v>
      </c>
      <c r="O6767" s="10">
        <f>IFERROR(__xludf.DUMMYFUNCTION("VALUE(REGEXEXTRACT(A6767, ""\d+""))"),10510.0)</f>
        <v>10510</v>
      </c>
    </row>
    <row r="6768">
      <c r="A6768" s="9" t="s">
        <v>23686</v>
      </c>
      <c r="B6768" s="9" t="s">
        <v>23687</v>
      </c>
      <c r="G6768" s="9" t="s">
        <v>23688</v>
      </c>
      <c r="O6768" s="10">
        <f>IFERROR(__xludf.DUMMYFUNCTION("VALUE(REGEXEXTRACT(A6768, ""\d+""))"),10511.0)</f>
        <v>10511</v>
      </c>
    </row>
    <row r="6769">
      <c r="A6769" s="9" t="s">
        <v>23689</v>
      </c>
      <c r="B6769" s="9" t="s">
        <v>23690</v>
      </c>
      <c r="G6769" s="9" t="s">
        <v>23691</v>
      </c>
      <c r="O6769" s="10">
        <f>IFERROR(__xludf.DUMMYFUNCTION("VALUE(REGEXEXTRACT(A6769, ""\d+""))"),10512.0)</f>
        <v>10512</v>
      </c>
    </row>
    <row r="6770">
      <c r="A6770" s="9" t="s">
        <v>23692</v>
      </c>
      <c r="B6770" s="9" t="s">
        <v>23693</v>
      </c>
      <c r="G6770" s="9" t="s">
        <v>23694</v>
      </c>
      <c r="O6770" s="10">
        <f>IFERROR(__xludf.DUMMYFUNCTION("VALUE(REGEXEXTRACT(A6770, ""\d+""))"),10513.0)</f>
        <v>10513</v>
      </c>
    </row>
    <row r="6771">
      <c r="A6771" s="9" t="s">
        <v>23695</v>
      </c>
      <c r="B6771" s="9" t="s">
        <v>23696</v>
      </c>
      <c r="G6771" s="9" t="s">
        <v>23697</v>
      </c>
      <c r="O6771" s="10">
        <f>IFERROR(__xludf.DUMMYFUNCTION("VALUE(REGEXEXTRACT(A6771, ""\d+""))"),10514.0)</f>
        <v>10514</v>
      </c>
    </row>
    <row r="6772">
      <c r="A6772" s="9" t="s">
        <v>23698</v>
      </c>
      <c r="B6772" s="9" t="s">
        <v>23699</v>
      </c>
      <c r="G6772" s="9" t="s">
        <v>23700</v>
      </c>
      <c r="O6772" s="10">
        <f>IFERROR(__xludf.DUMMYFUNCTION("VALUE(REGEXEXTRACT(A6772, ""\d+""))"),10516.0)</f>
        <v>10516</v>
      </c>
    </row>
    <row r="6773">
      <c r="A6773" s="9" t="s">
        <v>23701</v>
      </c>
      <c r="B6773" s="9" t="s">
        <v>23702</v>
      </c>
      <c r="G6773" s="9" t="s">
        <v>23703</v>
      </c>
      <c r="O6773" s="10">
        <f>IFERROR(__xludf.DUMMYFUNCTION("VALUE(REGEXEXTRACT(A6773, ""\d+""))"),10517.0)</f>
        <v>10517</v>
      </c>
    </row>
    <row r="6774">
      <c r="A6774" s="9" t="s">
        <v>23704</v>
      </c>
      <c r="B6774" s="9" t="s">
        <v>23705</v>
      </c>
      <c r="G6774" s="9" t="s">
        <v>23706</v>
      </c>
      <c r="O6774" s="10">
        <f>IFERROR(__xludf.DUMMYFUNCTION("VALUE(REGEXEXTRACT(A6774, ""\d+""))"),10518.0)</f>
        <v>10518</v>
      </c>
    </row>
    <row r="6775">
      <c r="A6775" s="9" t="s">
        <v>23707</v>
      </c>
      <c r="B6775" s="9" t="s">
        <v>23708</v>
      </c>
      <c r="G6775" s="9" t="s">
        <v>23709</v>
      </c>
      <c r="O6775" s="10">
        <f>IFERROR(__xludf.DUMMYFUNCTION("VALUE(REGEXEXTRACT(A6775, ""\d+""))"),10519.0)</f>
        <v>10519</v>
      </c>
    </row>
    <row r="6776">
      <c r="A6776" s="9" t="s">
        <v>23710</v>
      </c>
      <c r="B6776" s="9" t="s">
        <v>23711</v>
      </c>
      <c r="G6776" s="9" t="s">
        <v>23712</v>
      </c>
      <c r="O6776" s="10">
        <f>IFERROR(__xludf.DUMMYFUNCTION("VALUE(REGEXEXTRACT(A6776, ""\d+""))"),10520.0)</f>
        <v>10520</v>
      </c>
    </row>
    <row r="6777">
      <c r="A6777" s="9" t="s">
        <v>23713</v>
      </c>
      <c r="B6777" s="9" t="s">
        <v>23714</v>
      </c>
      <c r="G6777" s="9" t="s">
        <v>23715</v>
      </c>
      <c r="O6777" s="10">
        <f>IFERROR(__xludf.DUMMYFUNCTION("VALUE(REGEXEXTRACT(A6777, ""\d+""))"),10522.0)</f>
        <v>10522</v>
      </c>
    </row>
    <row r="6778">
      <c r="A6778" s="9" t="s">
        <v>23716</v>
      </c>
      <c r="B6778" s="9" t="s">
        <v>23717</v>
      </c>
      <c r="G6778" s="9" t="s">
        <v>23718</v>
      </c>
      <c r="O6778" s="10">
        <f>IFERROR(__xludf.DUMMYFUNCTION("VALUE(REGEXEXTRACT(A6778, ""\d+""))"),10523.0)</f>
        <v>10523</v>
      </c>
    </row>
    <row r="6779">
      <c r="A6779" s="9" t="s">
        <v>23719</v>
      </c>
      <c r="B6779" s="9" t="s">
        <v>23720</v>
      </c>
      <c r="G6779" s="9" t="s">
        <v>23721</v>
      </c>
      <c r="O6779" s="10">
        <f>IFERROR(__xludf.DUMMYFUNCTION("VALUE(REGEXEXTRACT(A6779, ""\d+""))"),10524.0)</f>
        <v>10524</v>
      </c>
    </row>
    <row r="6780">
      <c r="A6780" s="9" t="s">
        <v>23722</v>
      </c>
      <c r="B6780" s="9" t="s">
        <v>23723</v>
      </c>
      <c r="G6780" s="9" t="s">
        <v>23724</v>
      </c>
      <c r="O6780" s="10">
        <f>IFERROR(__xludf.DUMMYFUNCTION("VALUE(REGEXEXTRACT(A6780, ""\d+""))"),10525.0)</f>
        <v>10525</v>
      </c>
    </row>
    <row r="6781">
      <c r="A6781" s="9" t="s">
        <v>23725</v>
      </c>
      <c r="B6781" s="9" t="s">
        <v>23726</v>
      </c>
      <c r="G6781" s="9" t="s">
        <v>23727</v>
      </c>
      <c r="O6781" s="10">
        <f>IFERROR(__xludf.DUMMYFUNCTION("VALUE(REGEXEXTRACT(A6781, ""\d+""))"),10526.0)</f>
        <v>10526</v>
      </c>
    </row>
    <row r="6782">
      <c r="A6782" s="9" t="s">
        <v>23728</v>
      </c>
      <c r="B6782" s="9" t="s">
        <v>23729</v>
      </c>
      <c r="O6782" s="10">
        <f>IFERROR(__xludf.DUMMYFUNCTION("VALUE(REGEXEXTRACT(A6782, ""\d+""))"),10527.0)</f>
        <v>10527</v>
      </c>
    </row>
    <row r="6783">
      <c r="A6783" s="9" t="s">
        <v>23730</v>
      </c>
      <c r="B6783" s="9" t="s">
        <v>23731</v>
      </c>
      <c r="G6783" s="9" t="s">
        <v>23732</v>
      </c>
      <c r="O6783" s="10">
        <f>IFERROR(__xludf.DUMMYFUNCTION("VALUE(REGEXEXTRACT(A6783, ""\d+""))"),10528.0)</f>
        <v>10528</v>
      </c>
    </row>
    <row r="6784">
      <c r="A6784" s="9" t="s">
        <v>23733</v>
      </c>
      <c r="B6784" s="9" t="s">
        <v>23734</v>
      </c>
      <c r="G6784" s="9" t="s">
        <v>23735</v>
      </c>
      <c r="O6784" s="10">
        <f>IFERROR(__xludf.DUMMYFUNCTION("VALUE(REGEXEXTRACT(A6784, ""\d+""))"),10535.0)</f>
        <v>10535</v>
      </c>
    </row>
    <row r="6785">
      <c r="A6785" s="9" t="s">
        <v>23736</v>
      </c>
      <c r="B6785" s="9" t="s">
        <v>23737</v>
      </c>
      <c r="G6785" s="9" t="s">
        <v>23738</v>
      </c>
      <c r="O6785" s="10">
        <f>IFERROR(__xludf.DUMMYFUNCTION("VALUE(REGEXEXTRACT(A6785, ""\d+""))"),10537.0)</f>
        <v>10537</v>
      </c>
    </row>
    <row r="6786">
      <c r="A6786" s="9" t="s">
        <v>23739</v>
      </c>
      <c r="B6786" s="9" t="s">
        <v>23740</v>
      </c>
      <c r="G6786" s="9" t="s">
        <v>23741</v>
      </c>
      <c r="O6786" s="10">
        <f>IFERROR(__xludf.DUMMYFUNCTION("VALUE(REGEXEXTRACT(A6786, ""\d+""))"),10539.0)</f>
        <v>10539</v>
      </c>
    </row>
    <row r="6787">
      <c r="A6787" s="9" t="s">
        <v>23742</v>
      </c>
      <c r="B6787" s="9" t="s">
        <v>23743</v>
      </c>
      <c r="G6787" s="9" t="s">
        <v>23744</v>
      </c>
      <c r="O6787" s="10">
        <f>IFERROR(__xludf.DUMMYFUNCTION("VALUE(REGEXEXTRACT(A6787, ""\d+""))"),10540.0)</f>
        <v>10540</v>
      </c>
    </row>
    <row r="6788">
      <c r="A6788" s="9" t="s">
        <v>23745</v>
      </c>
      <c r="B6788" s="9" t="s">
        <v>23746</v>
      </c>
      <c r="G6788" s="9" t="s">
        <v>23747</v>
      </c>
      <c r="O6788" s="10">
        <f>IFERROR(__xludf.DUMMYFUNCTION("VALUE(REGEXEXTRACT(A6788, ""\d+""))"),10541.0)</f>
        <v>10541</v>
      </c>
    </row>
    <row r="6789">
      <c r="A6789" s="9" t="s">
        <v>23748</v>
      </c>
      <c r="B6789" s="9" t="s">
        <v>23749</v>
      </c>
      <c r="G6789" s="9" t="s">
        <v>23750</v>
      </c>
      <c r="O6789" s="10">
        <f>IFERROR(__xludf.DUMMYFUNCTION("VALUE(REGEXEXTRACT(A6789, ""\d+""))"),10542.0)</f>
        <v>10542</v>
      </c>
    </row>
    <row r="6790">
      <c r="A6790" s="9" t="s">
        <v>23751</v>
      </c>
      <c r="B6790" s="9" t="s">
        <v>23752</v>
      </c>
      <c r="G6790" s="9" t="s">
        <v>23753</v>
      </c>
      <c r="O6790" s="10">
        <f>IFERROR(__xludf.DUMMYFUNCTION("VALUE(REGEXEXTRACT(A6790, ""\d+""))"),10543.0)</f>
        <v>10543</v>
      </c>
    </row>
    <row r="6791">
      <c r="A6791" s="9" t="s">
        <v>23754</v>
      </c>
      <c r="B6791" s="9" t="s">
        <v>23755</v>
      </c>
      <c r="G6791" s="9" t="s">
        <v>23756</v>
      </c>
      <c r="O6791" s="10">
        <f>IFERROR(__xludf.DUMMYFUNCTION("VALUE(REGEXEXTRACT(A6791, ""\d+""))"),10544.0)</f>
        <v>10544</v>
      </c>
    </row>
    <row r="6792">
      <c r="A6792" s="9" t="s">
        <v>23757</v>
      </c>
      <c r="B6792" s="9" t="s">
        <v>23758</v>
      </c>
      <c r="G6792" s="9" t="s">
        <v>23759</v>
      </c>
      <c r="O6792" s="10">
        <f>IFERROR(__xludf.DUMMYFUNCTION("VALUE(REGEXEXTRACT(A6792, ""\d+""))"),10545.0)</f>
        <v>10545</v>
      </c>
    </row>
    <row r="6793">
      <c r="A6793" s="9" t="s">
        <v>23760</v>
      </c>
      <c r="B6793" s="9" t="s">
        <v>23761</v>
      </c>
      <c r="G6793" s="9" t="s">
        <v>23762</v>
      </c>
      <c r="O6793" s="10">
        <f>IFERROR(__xludf.DUMMYFUNCTION("VALUE(REGEXEXTRACT(A6793, ""\d+""))"),10546.0)</f>
        <v>10546</v>
      </c>
    </row>
    <row r="6794">
      <c r="A6794" s="9" t="s">
        <v>23763</v>
      </c>
      <c r="B6794" s="9" t="s">
        <v>23764</v>
      </c>
      <c r="O6794" s="10">
        <f>IFERROR(__xludf.DUMMYFUNCTION("VALUE(REGEXEXTRACT(A6794, ""\d+""))"),10547.0)</f>
        <v>10547</v>
      </c>
    </row>
    <row r="6795">
      <c r="A6795" s="9" t="s">
        <v>23765</v>
      </c>
      <c r="B6795" s="9" t="s">
        <v>23766</v>
      </c>
      <c r="O6795" s="10">
        <f>IFERROR(__xludf.DUMMYFUNCTION("VALUE(REGEXEXTRACT(A6795, ""\d+""))"),10548.0)</f>
        <v>10548</v>
      </c>
    </row>
    <row r="6796">
      <c r="A6796" s="9" t="s">
        <v>23767</v>
      </c>
      <c r="B6796" s="9" t="s">
        <v>23768</v>
      </c>
      <c r="G6796" s="9" t="s">
        <v>23769</v>
      </c>
      <c r="O6796" s="10">
        <f>IFERROR(__xludf.DUMMYFUNCTION("VALUE(REGEXEXTRACT(A6796, ""\d+""))"),10549.0)</f>
        <v>10549</v>
      </c>
    </row>
    <row r="6797">
      <c r="A6797" s="9" t="s">
        <v>23770</v>
      </c>
      <c r="B6797" s="9" t="s">
        <v>23771</v>
      </c>
      <c r="G6797" s="9" t="s">
        <v>23772</v>
      </c>
      <c r="O6797" s="10">
        <f>IFERROR(__xludf.DUMMYFUNCTION("VALUE(REGEXEXTRACT(A6797, ""\d+""))"),10556.0)</f>
        <v>10556</v>
      </c>
    </row>
    <row r="6798">
      <c r="A6798" s="9" t="s">
        <v>23773</v>
      </c>
      <c r="B6798" s="9" t="s">
        <v>23774</v>
      </c>
      <c r="G6798" s="9" t="s">
        <v>23775</v>
      </c>
      <c r="O6798" s="10">
        <f>IFERROR(__xludf.DUMMYFUNCTION("VALUE(REGEXEXTRACT(A6798, ""\d+""))"),10557.0)</f>
        <v>10557</v>
      </c>
    </row>
    <row r="6799">
      <c r="A6799" s="9" t="s">
        <v>23776</v>
      </c>
      <c r="B6799" s="9" t="s">
        <v>23777</v>
      </c>
      <c r="G6799" s="9" t="s">
        <v>23778</v>
      </c>
      <c r="O6799" s="10">
        <f>IFERROR(__xludf.DUMMYFUNCTION("VALUE(REGEXEXTRACT(A6799, ""\d+""))"),10558.0)</f>
        <v>10558</v>
      </c>
    </row>
    <row r="6800">
      <c r="A6800" s="9" t="s">
        <v>23779</v>
      </c>
      <c r="B6800" s="9" t="s">
        <v>23780</v>
      </c>
      <c r="G6800" s="9" t="s">
        <v>23781</v>
      </c>
      <c r="O6800" s="10">
        <f>IFERROR(__xludf.DUMMYFUNCTION("VALUE(REGEXEXTRACT(A6800, ""\d+""))"),10559.0)</f>
        <v>10559</v>
      </c>
    </row>
    <row r="6801">
      <c r="A6801" s="9" t="s">
        <v>23782</v>
      </c>
      <c r="B6801" s="9" t="s">
        <v>23783</v>
      </c>
      <c r="G6801" s="9" t="s">
        <v>23784</v>
      </c>
      <c r="O6801" s="10">
        <f>IFERROR(__xludf.DUMMYFUNCTION("VALUE(REGEXEXTRACT(A6801, ""\d+""))"),10560.0)</f>
        <v>10560</v>
      </c>
    </row>
    <row r="6802">
      <c r="A6802" s="9" t="s">
        <v>23785</v>
      </c>
      <c r="B6802" s="9" t="s">
        <v>23786</v>
      </c>
      <c r="G6802" s="9" t="s">
        <v>23787</v>
      </c>
      <c r="O6802" s="10">
        <f>IFERROR(__xludf.DUMMYFUNCTION("VALUE(REGEXEXTRACT(A6802, ""\d+""))"),10561.0)</f>
        <v>10561</v>
      </c>
    </row>
    <row r="6803">
      <c r="A6803" s="9" t="s">
        <v>23788</v>
      </c>
      <c r="B6803" s="9" t="s">
        <v>23789</v>
      </c>
      <c r="G6803" s="9" t="s">
        <v>23790</v>
      </c>
      <c r="O6803" s="10">
        <f>IFERROR(__xludf.DUMMYFUNCTION("VALUE(REGEXEXTRACT(A6803, ""\d+""))"),10562.0)</f>
        <v>10562</v>
      </c>
    </row>
    <row r="6804">
      <c r="A6804" s="9" t="s">
        <v>23791</v>
      </c>
      <c r="B6804" s="9" t="s">
        <v>23792</v>
      </c>
      <c r="G6804" s="9" t="s">
        <v>23793</v>
      </c>
      <c r="O6804" s="10">
        <f>IFERROR(__xludf.DUMMYFUNCTION("VALUE(REGEXEXTRACT(A6804, ""\d+""))"),10563.0)</f>
        <v>10563</v>
      </c>
    </row>
    <row r="6805">
      <c r="A6805" s="9" t="s">
        <v>23794</v>
      </c>
      <c r="B6805" s="9" t="s">
        <v>23795</v>
      </c>
      <c r="G6805" s="9" t="s">
        <v>23796</v>
      </c>
      <c r="O6805" s="10">
        <f>IFERROR(__xludf.DUMMYFUNCTION("VALUE(REGEXEXTRACT(A6805, ""\d+""))"),10564.0)</f>
        <v>10564</v>
      </c>
    </row>
    <row r="6806">
      <c r="A6806" s="9" t="s">
        <v>23797</v>
      </c>
      <c r="B6806" s="9" t="s">
        <v>23798</v>
      </c>
      <c r="G6806" s="9" t="s">
        <v>23799</v>
      </c>
      <c r="O6806" s="10">
        <f>IFERROR(__xludf.DUMMYFUNCTION("VALUE(REGEXEXTRACT(A6806, ""\d+""))"),10565.0)</f>
        <v>10565</v>
      </c>
    </row>
    <row r="6807">
      <c r="A6807" s="9" t="s">
        <v>23800</v>
      </c>
      <c r="B6807" s="9" t="s">
        <v>23801</v>
      </c>
      <c r="G6807" s="9" t="s">
        <v>23802</v>
      </c>
      <c r="O6807" s="10">
        <f>IFERROR(__xludf.DUMMYFUNCTION("VALUE(REGEXEXTRACT(A6807, ""\d+""))"),10566.0)</f>
        <v>10566</v>
      </c>
    </row>
    <row r="6808">
      <c r="A6808" s="9" t="s">
        <v>23803</v>
      </c>
      <c r="B6808" s="9" t="s">
        <v>23804</v>
      </c>
      <c r="G6808" s="9" t="s">
        <v>23805</v>
      </c>
      <c r="O6808" s="10">
        <f>IFERROR(__xludf.DUMMYFUNCTION("VALUE(REGEXEXTRACT(A6808, ""\d+""))"),10568.0)</f>
        <v>10568</v>
      </c>
    </row>
    <row r="6809">
      <c r="A6809" s="9" t="s">
        <v>23806</v>
      </c>
      <c r="B6809" s="9" t="s">
        <v>23807</v>
      </c>
      <c r="G6809" s="9" t="s">
        <v>23808</v>
      </c>
      <c r="O6809" s="10">
        <f>IFERROR(__xludf.DUMMYFUNCTION("VALUE(REGEXEXTRACT(A6809, ""\d+""))"),10569.0)</f>
        <v>10569</v>
      </c>
    </row>
    <row r="6810">
      <c r="A6810" s="9" t="s">
        <v>23809</v>
      </c>
      <c r="B6810" s="9" t="s">
        <v>23810</v>
      </c>
      <c r="G6810" s="9" t="s">
        <v>23811</v>
      </c>
      <c r="O6810" s="10">
        <f>IFERROR(__xludf.DUMMYFUNCTION("VALUE(REGEXEXTRACT(A6810, ""\d+""))"),10570.0)</f>
        <v>10570</v>
      </c>
    </row>
    <row r="6811">
      <c r="A6811" s="9" t="s">
        <v>23812</v>
      </c>
      <c r="B6811" s="9" t="s">
        <v>23813</v>
      </c>
      <c r="G6811" s="9" t="s">
        <v>23814</v>
      </c>
      <c r="O6811" s="10">
        <f>IFERROR(__xludf.DUMMYFUNCTION("VALUE(REGEXEXTRACT(A6811, ""\d+""))"),10571.0)</f>
        <v>10571</v>
      </c>
    </row>
    <row r="6812">
      <c r="A6812" s="9" t="s">
        <v>23815</v>
      </c>
      <c r="B6812" s="9" t="s">
        <v>23816</v>
      </c>
      <c r="G6812" s="9" t="s">
        <v>23817</v>
      </c>
      <c r="O6812" s="10">
        <f>IFERROR(__xludf.DUMMYFUNCTION("VALUE(REGEXEXTRACT(A6812, ""\d+""))"),10572.0)</f>
        <v>10572</v>
      </c>
    </row>
    <row r="6813">
      <c r="A6813" s="9" t="s">
        <v>23818</v>
      </c>
      <c r="B6813" s="9" t="s">
        <v>23819</v>
      </c>
      <c r="G6813" s="9" t="s">
        <v>23820</v>
      </c>
      <c r="O6813" s="10">
        <f>IFERROR(__xludf.DUMMYFUNCTION("VALUE(REGEXEXTRACT(A6813, ""\d+""))"),10573.0)</f>
        <v>10573</v>
      </c>
    </row>
    <row r="6814">
      <c r="A6814" s="9" t="s">
        <v>23821</v>
      </c>
      <c r="B6814" s="9" t="s">
        <v>23822</v>
      </c>
      <c r="G6814" s="9" t="s">
        <v>23823</v>
      </c>
      <c r="O6814" s="10">
        <f>IFERROR(__xludf.DUMMYFUNCTION("VALUE(REGEXEXTRACT(A6814, ""\d+""))"),10574.0)</f>
        <v>10574</v>
      </c>
    </row>
    <row r="6815">
      <c r="A6815" s="9" t="s">
        <v>23824</v>
      </c>
      <c r="B6815" s="9" t="s">
        <v>23825</v>
      </c>
      <c r="G6815" s="9" t="s">
        <v>23826</v>
      </c>
      <c r="O6815" s="10">
        <f>IFERROR(__xludf.DUMMYFUNCTION("VALUE(REGEXEXTRACT(A6815, ""\d+""))"),10575.0)</f>
        <v>10575</v>
      </c>
    </row>
    <row r="6816">
      <c r="A6816" s="9" t="s">
        <v>23827</v>
      </c>
      <c r="B6816" s="9" t="s">
        <v>23828</v>
      </c>
      <c r="G6816" s="9" t="s">
        <v>23829</v>
      </c>
      <c r="O6816" s="10">
        <f>IFERROR(__xludf.DUMMYFUNCTION("VALUE(REGEXEXTRACT(A6816, ""\d+""))"),10576.0)</f>
        <v>10576</v>
      </c>
    </row>
    <row r="6817">
      <c r="A6817" s="9" t="s">
        <v>23830</v>
      </c>
      <c r="B6817" s="9" t="s">
        <v>23831</v>
      </c>
      <c r="G6817" s="9" t="s">
        <v>23832</v>
      </c>
      <c r="O6817" s="10">
        <f>IFERROR(__xludf.DUMMYFUNCTION("VALUE(REGEXEXTRACT(A6817, ""\d+""))"),10577.0)</f>
        <v>10577</v>
      </c>
    </row>
    <row r="6818">
      <c r="A6818" s="9" t="s">
        <v>23833</v>
      </c>
      <c r="B6818" s="9" t="s">
        <v>23834</v>
      </c>
      <c r="G6818" s="9" t="s">
        <v>23835</v>
      </c>
      <c r="O6818" s="10">
        <f>IFERROR(__xludf.DUMMYFUNCTION("VALUE(REGEXEXTRACT(A6818, ""\d+""))"),10578.0)</f>
        <v>10578</v>
      </c>
    </row>
    <row r="6819">
      <c r="A6819" s="9" t="s">
        <v>23836</v>
      </c>
      <c r="B6819" s="9" t="s">
        <v>23837</v>
      </c>
      <c r="G6819" s="9" t="s">
        <v>23838</v>
      </c>
      <c r="O6819" s="10">
        <f>IFERROR(__xludf.DUMMYFUNCTION("VALUE(REGEXEXTRACT(A6819, ""\d+""))"),10579.0)</f>
        <v>10579</v>
      </c>
    </row>
    <row r="6820">
      <c r="A6820" s="9" t="s">
        <v>23839</v>
      </c>
      <c r="B6820" s="9" t="s">
        <v>23840</v>
      </c>
      <c r="G6820" s="9" t="s">
        <v>23841</v>
      </c>
      <c r="O6820" s="10">
        <f>IFERROR(__xludf.DUMMYFUNCTION("VALUE(REGEXEXTRACT(A6820, ""\d+""))"),10580.0)</f>
        <v>10580</v>
      </c>
    </row>
    <row r="6821">
      <c r="A6821" s="9" t="s">
        <v>23842</v>
      </c>
      <c r="B6821" s="9" t="s">
        <v>23843</v>
      </c>
      <c r="G6821" s="9" t="s">
        <v>23844</v>
      </c>
      <c r="O6821" s="10">
        <f>IFERROR(__xludf.DUMMYFUNCTION("VALUE(REGEXEXTRACT(A6821, ""\d+""))"),10581.0)</f>
        <v>10581</v>
      </c>
    </row>
    <row r="6822">
      <c r="A6822" s="9" t="s">
        <v>23845</v>
      </c>
      <c r="B6822" s="9" t="s">
        <v>23846</v>
      </c>
      <c r="G6822" s="9" t="s">
        <v>23847</v>
      </c>
      <c r="O6822" s="10">
        <f>IFERROR(__xludf.DUMMYFUNCTION("VALUE(REGEXEXTRACT(A6822, ""\d+""))"),10582.0)</f>
        <v>10582</v>
      </c>
    </row>
    <row r="6823">
      <c r="A6823" s="9" t="s">
        <v>23848</v>
      </c>
      <c r="B6823" s="9" t="s">
        <v>23849</v>
      </c>
      <c r="G6823" s="9" t="s">
        <v>23850</v>
      </c>
      <c r="O6823" s="10">
        <f>IFERROR(__xludf.DUMMYFUNCTION("VALUE(REGEXEXTRACT(A6823, ""\d+""))"),10583.0)</f>
        <v>10583</v>
      </c>
    </row>
    <row r="6824">
      <c r="A6824" s="9" t="s">
        <v>23851</v>
      </c>
      <c r="B6824" s="9" t="s">
        <v>23852</v>
      </c>
      <c r="G6824" s="9" t="s">
        <v>23853</v>
      </c>
      <c r="O6824" s="10">
        <f>IFERROR(__xludf.DUMMYFUNCTION("VALUE(REGEXEXTRACT(A6824, ""\d+""))"),10584.0)</f>
        <v>10584</v>
      </c>
    </row>
    <row r="6825">
      <c r="A6825" s="9" t="s">
        <v>23854</v>
      </c>
      <c r="B6825" s="9" t="s">
        <v>23855</v>
      </c>
      <c r="G6825" s="9" t="s">
        <v>23856</v>
      </c>
      <c r="O6825" s="10">
        <f>IFERROR(__xludf.DUMMYFUNCTION("VALUE(REGEXEXTRACT(A6825, ""\d+""))"),10585.0)</f>
        <v>10585</v>
      </c>
    </row>
    <row r="6826">
      <c r="A6826" s="9" t="s">
        <v>23857</v>
      </c>
      <c r="B6826" s="9" t="s">
        <v>23858</v>
      </c>
      <c r="G6826" s="9" t="s">
        <v>23859</v>
      </c>
      <c r="O6826" s="10">
        <f>IFERROR(__xludf.DUMMYFUNCTION("VALUE(REGEXEXTRACT(A6826, ""\d+""))"),10586.0)</f>
        <v>10586</v>
      </c>
    </row>
    <row r="6827">
      <c r="A6827" s="9" t="s">
        <v>23860</v>
      </c>
      <c r="B6827" s="9" t="s">
        <v>23861</v>
      </c>
      <c r="G6827" s="9" t="s">
        <v>23862</v>
      </c>
      <c r="O6827" s="10">
        <f>IFERROR(__xludf.DUMMYFUNCTION("VALUE(REGEXEXTRACT(A6827, ""\d+""))"),10587.0)</f>
        <v>10587</v>
      </c>
    </row>
    <row r="6828">
      <c r="A6828" s="9" t="s">
        <v>23863</v>
      </c>
      <c r="B6828" s="9" t="s">
        <v>23864</v>
      </c>
      <c r="G6828" s="9" t="s">
        <v>23865</v>
      </c>
      <c r="O6828" s="10">
        <f>IFERROR(__xludf.DUMMYFUNCTION("VALUE(REGEXEXTRACT(A6828, ""\d+""))"),10588.0)</f>
        <v>10588</v>
      </c>
    </row>
    <row r="6829">
      <c r="A6829" s="9" t="s">
        <v>23866</v>
      </c>
      <c r="B6829" s="9" t="s">
        <v>23867</v>
      </c>
      <c r="G6829" s="9" t="s">
        <v>23868</v>
      </c>
      <c r="O6829" s="10">
        <f>IFERROR(__xludf.DUMMYFUNCTION("VALUE(REGEXEXTRACT(A6829, ""\d+""))"),10589.0)</f>
        <v>10589</v>
      </c>
    </row>
    <row r="6830">
      <c r="A6830" s="9" t="s">
        <v>23869</v>
      </c>
      <c r="B6830" s="9" t="s">
        <v>23870</v>
      </c>
      <c r="G6830" s="9" t="s">
        <v>23871</v>
      </c>
      <c r="O6830" s="10">
        <f>IFERROR(__xludf.DUMMYFUNCTION("VALUE(REGEXEXTRACT(A6830, ""\d+""))"),10590.0)</f>
        <v>10590</v>
      </c>
    </row>
    <row r="6831">
      <c r="A6831" s="9" t="s">
        <v>23872</v>
      </c>
      <c r="B6831" s="9" t="s">
        <v>23873</v>
      </c>
      <c r="G6831" s="9" t="s">
        <v>23874</v>
      </c>
      <c r="O6831" s="10">
        <f>IFERROR(__xludf.DUMMYFUNCTION("VALUE(REGEXEXTRACT(A6831, ""\d+""))"),10591.0)</f>
        <v>10591</v>
      </c>
    </row>
    <row r="6832">
      <c r="A6832" s="9" t="s">
        <v>23875</v>
      </c>
      <c r="B6832" s="9" t="s">
        <v>23876</v>
      </c>
      <c r="G6832" s="9" t="s">
        <v>23877</v>
      </c>
      <c r="O6832" s="10">
        <f>IFERROR(__xludf.DUMMYFUNCTION("VALUE(REGEXEXTRACT(A6832, ""\d+""))"),10592.0)</f>
        <v>10592</v>
      </c>
    </row>
    <row r="6833">
      <c r="A6833" s="9" t="s">
        <v>23878</v>
      </c>
      <c r="B6833" s="9" t="s">
        <v>23879</v>
      </c>
      <c r="G6833" s="9" t="s">
        <v>23880</v>
      </c>
      <c r="O6833" s="10">
        <f>IFERROR(__xludf.DUMMYFUNCTION("VALUE(REGEXEXTRACT(A6833, ""\d+""))"),10593.0)</f>
        <v>10593</v>
      </c>
    </row>
    <row r="6834">
      <c r="A6834" s="9" t="s">
        <v>23881</v>
      </c>
      <c r="B6834" s="9" t="s">
        <v>23882</v>
      </c>
      <c r="G6834" s="9" t="s">
        <v>23883</v>
      </c>
      <c r="O6834" s="10">
        <f>IFERROR(__xludf.DUMMYFUNCTION("VALUE(REGEXEXTRACT(A6834, ""\d+""))"),10594.0)</f>
        <v>10594</v>
      </c>
    </row>
    <row r="6835">
      <c r="A6835" s="9" t="s">
        <v>23884</v>
      </c>
      <c r="B6835" s="9" t="s">
        <v>23885</v>
      </c>
      <c r="G6835" s="9" t="s">
        <v>23885</v>
      </c>
      <c r="O6835" s="10">
        <f>IFERROR(__xludf.DUMMYFUNCTION("VALUE(REGEXEXTRACT(A6835, ""\d+""))"),10595.0)</f>
        <v>10595</v>
      </c>
    </row>
    <row r="6836">
      <c r="A6836" s="9" t="s">
        <v>23886</v>
      </c>
      <c r="B6836" s="9" t="s">
        <v>23887</v>
      </c>
      <c r="G6836" s="9" t="s">
        <v>23887</v>
      </c>
      <c r="O6836" s="10">
        <f>IFERROR(__xludf.DUMMYFUNCTION("VALUE(REGEXEXTRACT(A6836, ""\d+""))"),10596.0)</f>
        <v>10596</v>
      </c>
    </row>
    <row r="6837">
      <c r="A6837" s="9" t="s">
        <v>23888</v>
      </c>
      <c r="B6837" s="9" t="s">
        <v>23889</v>
      </c>
      <c r="G6837" s="9" t="s">
        <v>23889</v>
      </c>
      <c r="O6837" s="10">
        <f>IFERROR(__xludf.DUMMYFUNCTION("VALUE(REGEXEXTRACT(A6837, ""\d+""))"),10597.0)</f>
        <v>10597</v>
      </c>
    </row>
    <row r="6838">
      <c r="A6838" s="9" t="s">
        <v>23890</v>
      </c>
      <c r="B6838" s="9" t="s">
        <v>23891</v>
      </c>
      <c r="G6838" s="9" t="s">
        <v>23892</v>
      </c>
      <c r="O6838" s="10">
        <f>IFERROR(__xludf.DUMMYFUNCTION("VALUE(REGEXEXTRACT(A6838, ""\d+""))"),10598.0)</f>
        <v>10598</v>
      </c>
    </row>
    <row r="6839">
      <c r="A6839" s="9" t="s">
        <v>23893</v>
      </c>
      <c r="B6839" s="9" t="s">
        <v>23894</v>
      </c>
      <c r="G6839" s="9" t="s">
        <v>23895</v>
      </c>
      <c r="O6839" s="10">
        <f>IFERROR(__xludf.DUMMYFUNCTION("VALUE(REGEXEXTRACT(A6839, ""\d+""))"),10599.0)</f>
        <v>10599</v>
      </c>
    </row>
    <row r="6840">
      <c r="A6840" s="9" t="s">
        <v>23896</v>
      </c>
      <c r="B6840" s="9" t="s">
        <v>23897</v>
      </c>
      <c r="G6840" s="9" t="s">
        <v>23898</v>
      </c>
      <c r="O6840" s="10">
        <f>IFERROR(__xludf.DUMMYFUNCTION("VALUE(REGEXEXTRACT(A6840, ""\d+""))"),10600.0)</f>
        <v>10600</v>
      </c>
    </row>
    <row r="6841">
      <c r="A6841" s="9" t="s">
        <v>23899</v>
      </c>
      <c r="B6841" s="9" t="s">
        <v>23900</v>
      </c>
      <c r="G6841" s="9" t="s">
        <v>23901</v>
      </c>
      <c r="O6841" s="10">
        <f>IFERROR(__xludf.DUMMYFUNCTION("VALUE(REGEXEXTRACT(A6841, ""\d+""))"),10601.0)</f>
        <v>10601</v>
      </c>
    </row>
    <row r="6842">
      <c r="A6842" s="9" t="s">
        <v>23902</v>
      </c>
      <c r="B6842" s="9" t="s">
        <v>23903</v>
      </c>
      <c r="G6842" s="9" t="s">
        <v>23904</v>
      </c>
      <c r="O6842" s="10">
        <f>IFERROR(__xludf.DUMMYFUNCTION("VALUE(REGEXEXTRACT(A6842, ""\d+""))"),10602.0)</f>
        <v>10602</v>
      </c>
    </row>
    <row r="6843">
      <c r="A6843" s="9" t="s">
        <v>23905</v>
      </c>
      <c r="B6843" s="9" t="s">
        <v>23906</v>
      </c>
      <c r="G6843" s="9" t="s">
        <v>23907</v>
      </c>
      <c r="O6843" s="10">
        <f>IFERROR(__xludf.DUMMYFUNCTION("VALUE(REGEXEXTRACT(A6843, ""\d+""))"),10603.0)</f>
        <v>10603</v>
      </c>
    </row>
    <row r="6844">
      <c r="A6844" s="9" t="s">
        <v>23908</v>
      </c>
      <c r="B6844" s="9" t="s">
        <v>23909</v>
      </c>
      <c r="G6844" s="9" t="s">
        <v>23910</v>
      </c>
      <c r="O6844" s="10">
        <f>IFERROR(__xludf.DUMMYFUNCTION("VALUE(REGEXEXTRACT(A6844, ""\d+""))"),10604.0)</f>
        <v>10604</v>
      </c>
    </row>
    <row r="6845">
      <c r="A6845" s="9" t="s">
        <v>23911</v>
      </c>
      <c r="B6845" s="9" t="s">
        <v>23912</v>
      </c>
      <c r="G6845" s="9" t="s">
        <v>23913</v>
      </c>
      <c r="O6845" s="10">
        <f>IFERROR(__xludf.DUMMYFUNCTION("VALUE(REGEXEXTRACT(A6845, ""\d+""))"),10605.0)</f>
        <v>10605</v>
      </c>
    </row>
    <row r="6846">
      <c r="A6846" s="9" t="s">
        <v>23914</v>
      </c>
      <c r="B6846" s="9" t="s">
        <v>23915</v>
      </c>
      <c r="G6846" s="9" t="s">
        <v>23916</v>
      </c>
      <c r="O6846" s="10">
        <f>IFERROR(__xludf.DUMMYFUNCTION("VALUE(REGEXEXTRACT(A6846, ""\d+""))"),10606.0)</f>
        <v>10606</v>
      </c>
    </row>
    <row r="6847">
      <c r="A6847" s="9" t="s">
        <v>23917</v>
      </c>
      <c r="B6847" s="9" t="s">
        <v>23918</v>
      </c>
      <c r="O6847" s="10">
        <f>IFERROR(__xludf.DUMMYFUNCTION("VALUE(REGEXEXTRACT(A6847, ""\d+""))"),10607.0)</f>
        <v>10607</v>
      </c>
    </row>
    <row r="6848">
      <c r="A6848" s="9" t="s">
        <v>23919</v>
      </c>
      <c r="B6848" s="9" t="s">
        <v>23920</v>
      </c>
      <c r="G6848" s="9" t="s">
        <v>23921</v>
      </c>
      <c r="O6848" s="10">
        <f>IFERROR(__xludf.DUMMYFUNCTION("VALUE(REGEXEXTRACT(A6848, ""\d+""))"),10608.0)</f>
        <v>10608</v>
      </c>
    </row>
    <row r="6849">
      <c r="A6849" s="9" t="s">
        <v>23922</v>
      </c>
      <c r="B6849" s="9" t="s">
        <v>23923</v>
      </c>
      <c r="G6849" s="9" t="s">
        <v>23924</v>
      </c>
      <c r="O6849" s="10">
        <f>IFERROR(__xludf.DUMMYFUNCTION("VALUE(REGEXEXTRACT(A6849, ""\d+""))"),10609.0)</f>
        <v>10609</v>
      </c>
    </row>
    <row r="6850">
      <c r="A6850" s="9" t="s">
        <v>23925</v>
      </c>
      <c r="B6850" s="9" t="s">
        <v>23926</v>
      </c>
      <c r="G6850" s="9" t="s">
        <v>23927</v>
      </c>
      <c r="O6850" s="10">
        <f>IFERROR(__xludf.DUMMYFUNCTION("VALUE(REGEXEXTRACT(A6850, ""\d+""))"),10610.0)</f>
        <v>10610</v>
      </c>
    </row>
    <row r="6851">
      <c r="A6851" s="9" t="s">
        <v>23928</v>
      </c>
      <c r="B6851" s="9" t="s">
        <v>23929</v>
      </c>
      <c r="G6851" s="9" t="s">
        <v>23930</v>
      </c>
      <c r="O6851" s="10">
        <f>IFERROR(__xludf.DUMMYFUNCTION("VALUE(REGEXEXTRACT(A6851, ""\d+""))"),10611.0)</f>
        <v>10611</v>
      </c>
    </row>
    <row r="6852">
      <c r="A6852" s="9" t="s">
        <v>23931</v>
      </c>
      <c r="B6852" s="9" t="s">
        <v>9594</v>
      </c>
      <c r="G6852" s="9" t="s">
        <v>9596</v>
      </c>
      <c r="O6852" s="10">
        <f>IFERROR(__xludf.DUMMYFUNCTION("VALUE(REGEXEXTRACT(A6852, ""\d+""))"),10612.0)</f>
        <v>10612</v>
      </c>
    </row>
    <row r="6853">
      <c r="A6853" s="9" t="s">
        <v>23932</v>
      </c>
      <c r="B6853" s="9" t="s">
        <v>23933</v>
      </c>
      <c r="G6853" s="9" t="s">
        <v>23934</v>
      </c>
      <c r="O6853" s="10">
        <f>IFERROR(__xludf.DUMMYFUNCTION("VALUE(REGEXEXTRACT(A6853, ""\d+""))"),10613.0)</f>
        <v>10613</v>
      </c>
    </row>
    <row r="6854">
      <c r="A6854" s="9" t="s">
        <v>23935</v>
      </c>
      <c r="B6854" s="9" t="s">
        <v>23936</v>
      </c>
      <c r="G6854" s="9" t="s">
        <v>9596</v>
      </c>
      <c r="O6854" s="10">
        <f>IFERROR(__xludf.DUMMYFUNCTION("VALUE(REGEXEXTRACT(A6854, ""\d+""))"),10614.0)</f>
        <v>10614</v>
      </c>
    </row>
    <row r="6855">
      <c r="A6855" s="9" t="s">
        <v>23937</v>
      </c>
      <c r="B6855" s="9" t="s">
        <v>23938</v>
      </c>
      <c r="O6855" s="10">
        <f>IFERROR(__xludf.DUMMYFUNCTION("VALUE(REGEXEXTRACT(A6855, ""\d+""))"),10615.0)</f>
        <v>10615</v>
      </c>
    </row>
    <row r="6856">
      <c r="A6856" s="9" t="s">
        <v>23939</v>
      </c>
      <c r="B6856" s="9" t="s">
        <v>23940</v>
      </c>
      <c r="G6856" s="9" t="s">
        <v>15455</v>
      </c>
      <c r="O6856" s="10">
        <f>IFERROR(__xludf.DUMMYFUNCTION("VALUE(REGEXEXTRACT(A6856, ""\d+""))"),10616.0)</f>
        <v>10616</v>
      </c>
    </row>
    <row r="6857">
      <c r="A6857" s="9" t="s">
        <v>23941</v>
      </c>
      <c r="B6857" s="9" t="s">
        <v>23942</v>
      </c>
      <c r="G6857" s="9" t="s">
        <v>23943</v>
      </c>
      <c r="O6857" s="10">
        <f>IFERROR(__xludf.DUMMYFUNCTION("VALUE(REGEXEXTRACT(A6857, ""\d+""))"),10617.0)</f>
        <v>10617</v>
      </c>
    </row>
    <row r="6858">
      <c r="A6858" s="9" t="s">
        <v>23944</v>
      </c>
      <c r="B6858" s="9" t="s">
        <v>23945</v>
      </c>
      <c r="G6858" s="9" t="s">
        <v>23946</v>
      </c>
      <c r="O6858" s="10">
        <f>IFERROR(__xludf.DUMMYFUNCTION("VALUE(REGEXEXTRACT(A6858, ""\d+""))"),10618.0)</f>
        <v>10618</v>
      </c>
    </row>
    <row r="6859">
      <c r="A6859" s="9" t="s">
        <v>23947</v>
      </c>
      <c r="B6859" s="9" t="s">
        <v>23948</v>
      </c>
      <c r="G6859" s="9" t="s">
        <v>23949</v>
      </c>
      <c r="O6859" s="10">
        <f>IFERROR(__xludf.DUMMYFUNCTION("VALUE(REGEXEXTRACT(A6859, ""\d+""))"),10619.0)</f>
        <v>10619</v>
      </c>
    </row>
    <row r="6860">
      <c r="A6860" s="9" t="s">
        <v>23950</v>
      </c>
      <c r="B6860" s="9" t="s">
        <v>23951</v>
      </c>
      <c r="G6860" s="9" t="s">
        <v>23952</v>
      </c>
      <c r="O6860" s="10">
        <f>IFERROR(__xludf.DUMMYFUNCTION("VALUE(REGEXEXTRACT(A6860, ""\d+""))"),10620.0)</f>
        <v>10620</v>
      </c>
    </row>
    <row r="6861">
      <c r="A6861" s="9" t="s">
        <v>23953</v>
      </c>
      <c r="B6861" s="9" t="s">
        <v>23954</v>
      </c>
      <c r="G6861" s="9" t="s">
        <v>23955</v>
      </c>
      <c r="O6861" s="10">
        <f>IFERROR(__xludf.DUMMYFUNCTION("VALUE(REGEXEXTRACT(A6861, ""\d+""))"),10621.0)</f>
        <v>10621</v>
      </c>
    </row>
    <row r="6862">
      <c r="A6862" s="9" t="s">
        <v>23956</v>
      </c>
      <c r="B6862" s="9" t="s">
        <v>23957</v>
      </c>
      <c r="G6862" s="9" t="s">
        <v>23958</v>
      </c>
      <c r="O6862" s="10">
        <f>IFERROR(__xludf.DUMMYFUNCTION("VALUE(REGEXEXTRACT(A6862, ""\d+""))"),10622.0)</f>
        <v>10622</v>
      </c>
    </row>
    <row r="6863">
      <c r="A6863" s="9" t="s">
        <v>23959</v>
      </c>
      <c r="B6863" s="9" t="s">
        <v>23960</v>
      </c>
      <c r="G6863" s="9" t="s">
        <v>23961</v>
      </c>
      <c r="O6863" s="10">
        <f>IFERROR(__xludf.DUMMYFUNCTION("VALUE(REGEXEXTRACT(A6863, ""\d+""))"),10623.0)</f>
        <v>10623</v>
      </c>
    </row>
    <row r="6864">
      <c r="A6864" s="9" t="s">
        <v>23962</v>
      </c>
      <c r="B6864" s="9" t="s">
        <v>23963</v>
      </c>
      <c r="G6864" s="9" t="s">
        <v>23964</v>
      </c>
      <c r="O6864" s="10">
        <f>IFERROR(__xludf.DUMMYFUNCTION("VALUE(REGEXEXTRACT(A6864, ""\d+""))"),10624.0)</f>
        <v>10624</v>
      </c>
    </row>
    <row r="6865">
      <c r="A6865" s="9" t="s">
        <v>23965</v>
      </c>
      <c r="B6865" s="9" t="s">
        <v>23966</v>
      </c>
      <c r="G6865" s="9" t="s">
        <v>23967</v>
      </c>
      <c r="O6865" s="10">
        <f>IFERROR(__xludf.DUMMYFUNCTION("VALUE(REGEXEXTRACT(A6865, ""\d+""))"),10625.0)</f>
        <v>10625</v>
      </c>
    </row>
    <row r="6866">
      <c r="A6866" s="9" t="s">
        <v>23968</v>
      </c>
      <c r="B6866" s="9" t="s">
        <v>23969</v>
      </c>
      <c r="G6866" s="9" t="s">
        <v>23967</v>
      </c>
      <c r="O6866" s="10">
        <f>IFERROR(__xludf.DUMMYFUNCTION("VALUE(REGEXEXTRACT(A6866, ""\d+""))"),10626.0)</f>
        <v>10626</v>
      </c>
    </row>
    <row r="6867">
      <c r="A6867" s="9" t="s">
        <v>23970</v>
      </c>
      <c r="B6867" s="9" t="s">
        <v>23971</v>
      </c>
      <c r="G6867" s="9" t="s">
        <v>23972</v>
      </c>
      <c r="O6867" s="10">
        <f>IFERROR(__xludf.DUMMYFUNCTION("VALUE(REGEXEXTRACT(A6867, ""\d+""))"),10627.0)</f>
        <v>10627</v>
      </c>
    </row>
    <row r="6868">
      <c r="A6868" s="9" t="s">
        <v>23973</v>
      </c>
      <c r="B6868" s="9" t="s">
        <v>23974</v>
      </c>
      <c r="G6868" s="9" t="s">
        <v>23975</v>
      </c>
      <c r="O6868" s="10">
        <f>IFERROR(__xludf.DUMMYFUNCTION("VALUE(REGEXEXTRACT(A6868, ""\d+""))"),10628.0)</f>
        <v>10628</v>
      </c>
    </row>
    <row r="6869">
      <c r="A6869" s="9" t="s">
        <v>23976</v>
      </c>
      <c r="B6869" s="9" t="s">
        <v>23977</v>
      </c>
      <c r="G6869" s="9" t="s">
        <v>23978</v>
      </c>
      <c r="O6869" s="10">
        <f>IFERROR(__xludf.DUMMYFUNCTION("VALUE(REGEXEXTRACT(A6869, ""\d+""))"),10629.0)</f>
        <v>10629</v>
      </c>
    </row>
    <row r="6870">
      <c r="A6870" s="9" t="s">
        <v>23979</v>
      </c>
      <c r="B6870" s="9" t="s">
        <v>23980</v>
      </c>
      <c r="G6870" s="9" t="s">
        <v>23981</v>
      </c>
      <c r="O6870" s="10">
        <f>IFERROR(__xludf.DUMMYFUNCTION("VALUE(REGEXEXTRACT(A6870, ""\d+""))"),10630.0)</f>
        <v>10630</v>
      </c>
    </row>
    <row r="6871">
      <c r="A6871" s="9" t="s">
        <v>23982</v>
      </c>
      <c r="B6871" s="9" t="s">
        <v>23983</v>
      </c>
      <c r="G6871" s="9" t="s">
        <v>23983</v>
      </c>
      <c r="O6871" s="10">
        <f>IFERROR(__xludf.DUMMYFUNCTION("VALUE(REGEXEXTRACT(A6871, ""\d+""))"),10633.0)</f>
        <v>10633</v>
      </c>
    </row>
    <row r="6872">
      <c r="A6872" s="9" t="s">
        <v>23984</v>
      </c>
      <c r="B6872" s="9" t="s">
        <v>23985</v>
      </c>
      <c r="G6872" s="9" t="s">
        <v>23985</v>
      </c>
      <c r="O6872" s="10">
        <f>IFERROR(__xludf.DUMMYFUNCTION("VALUE(REGEXEXTRACT(A6872, ""\d+""))"),10634.0)</f>
        <v>10634</v>
      </c>
    </row>
    <row r="6873">
      <c r="A6873" s="9" t="s">
        <v>23986</v>
      </c>
      <c r="B6873" s="9" t="s">
        <v>23987</v>
      </c>
      <c r="G6873" s="9" t="s">
        <v>23988</v>
      </c>
      <c r="O6873" s="10">
        <f>IFERROR(__xludf.DUMMYFUNCTION("VALUE(REGEXEXTRACT(A6873, ""\d+""))"),10635.0)</f>
        <v>10635</v>
      </c>
    </row>
    <row r="6874">
      <c r="A6874" s="9" t="s">
        <v>23989</v>
      </c>
      <c r="B6874" s="9" t="s">
        <v>23990</v>
      </c>
      <c r="G6874" s="9" t="s">
        <v>23990</v>
      </c>
      <c r="O6874" s="10">
        <f>IFERROR(__xludf.DUMMYFUNCTION("VALUE(REGEXEXTRACT(A6874, ""\d+""))"),10636.0)</f>
        <v>10636</v>
      </c>
    </row>
    <row r="6875">
      <c r="A6875" s="9" t="s">
        <v>23991</v>
      </c>
      <c r="B6875" s="9" t="s">
        <v>23992</v>
      </c>
      <c r="G6875" s="9" t="s">
        <v>23993</v>
      </c>
      <c r="O6875" s="10">
        <f>IFERROR(__xludf.DUMMYFUNCTION("VALUE(REGEXEXTRACT(A6875, ""\d+""))"),10637.0)</f>
        <v>10637</v>
      </c>
    </row>
    <row r="6876">
      <c r="A6876" s="9" t="s">
        <v>23994</v>
      </c>
      <c r="B6876" s="9" t="s">
        <v>23995</v>
      </c>
      <c r="G6876" s="9" t="s">
        <v>23996</v>
      </c>
      <c r="O6876" s="10">
        <f>IFERROR(__xludf.DUMMYFUNCTION("VALUE(REGEXEXTRACT(A6876, ""\d+""))"),10638.0)</f>
        <v>10638</v>
      </c>
    </row>
    <row r="6877">
      <c r="A6877" s="9" t="s">
        <v>23997</v>
      </c>
      <c r="B6877" s="9" t="s">
        <v>23998</v>
      </c>
      <c r="G6877" s="9" t="s">
        <v>23999</v>
      </c>
      <c r="O6877" s="10">
        <f>IFERROR(__xludf.DUMMYFUNCTION("VALUE(REGEXEXTRACT(A6877, ""\d+""))"),10640.0)</f>
        <v>10640</v>
      </c>
    </row>
    <row r="6878">
      <c r="A6878" s="9" t="s">
        <v>24000</v>
      </c>
      <c r="B6878" s="9" t="s">
        <v>24001</v>
      </c>
      <c r="G6878" s="9" t="s">
        <v>24002</v>
      </c>
      <c r="O6878" s="10">
        <f>IFERROR(__xludf.DUMMYFUNCTION("VALUE(REGEXEXTRACT(A6878, ""\d+""))"),10641.0)</f>
        <v>10641</v>
      </c>
    </row>
    <row r="6879">
      <c r="A6879" s="9" t="s">
        <v>24003</v>
      </c>
      <c r="B6879" s="9" t="s">
        <v>24004</v>
      </c>
      <c r="G6879" s="9" t="s">
        <v>24005</v>
      </c>
      <c r="O6879" s="10">
        <f>IFERROR(__xludf.DUMMYFUNCTION("VALUE(REGEXEXTRACT(A6879, ""\d+""))"),10642.0)</f>
        <v>10642</v>
      </c>
    </row>
    <row r="6880">
      <c r="A6880" s="9" t="s">
        <v>24006</v>
      </c>
      <c r="B6880" s="9" t="s">
        <v>24007</v>
      </c>
      <c r="G6880" s="9" t="s">
        <v>24008</v>
      </c>
      <c r="O6880" s="10">
        <f>IFERROR(__xludf.DUMMYFUNCTION("VALUE(REGEXEXTRACT(A6880, ""\d+""))"),10643.0)</f>
        <v>10643</v>
      </c>
    </row>
    <row r="6881">
      <c r="A6881" s="9" t="s">
        <v>24009</v>
      </c>
      <c r="B6881" s="9" t="s">
        <v>24010</v>
      </c>
      <c r="G6881" s="9" t="s">
        <v>24011</v>
      </c>
      <c r="O6881" s="10">
        <f>IFERROR(__xludf.DUMMYFUNCTION("VALUE(REGEXEXTRACT(A6881, ""\d+""))"),10644.0)</f>
        <v>10644</v>
      </c>
    </row>
    <row r="6882">
      <c r="A6882" s="9" t="s">
        <v>24012</v>
      </c>
      <c r="B6882" s="9" t="s">
        <v>24013</v>
      </c>
      <c r="G6882" s="9" t="s">
        <v>24014</v>
      </c>
      <c r="O6882" s="10">
        <f>IFERROR(__xludf.DUMMYFUNCTION("VALUE(REGEXEXTRACT(A6882, ""\d+""))"),10645.0)</f>
        <v>10645</v>
      </c>
    </row>
    <row r="6883">
      <c r="A6883" s="9" t="s">
        <v>24015</v>
      </c>
      <c r="B6883" s="9" t="s">
        <v>24016</v>
      </c>
      <c r="G6883" s="9" t="s">
        <v>24017</v>
      </c>
      <c r="O6883" s="10">
        <f>IFERROR(__xludf.DUMMYFUNCTION("VALUE(REGEXEXTRACT(A6883, ""\d+""))"),10646.0)</f>
        <v>10646</v>
      </c>
    </row>
    <row r="6884">
      <c r="A6884" s="9" t="s">
        <v>24018</v>
      </c>
      <c r="B6884" s="9" t="s">
        <v>24019</v>
      </c>
      <c r="G6884" s="9" t="s">
        <v>24020</v>
      </c>
      <c r="O6884" s="10">
        <f>IFERROR(__xludf.DUMMYFUNCTION("VALUE(REGEXEXTRACT(A6884, ""\d+""))"),10647.0)</f>
        <v>10647</v>
      </c>
    </row>
    <row r="6885">
      <c r="A6885" s="9" t="s">
        <v>24021</v>
      </c>
      <c r="B6885" s="9" t="s">
        <v>24022</v>
      </c>
      <c r="G6885" s="9" t="s">
        <v>24023</v>
      </c>
      <c r="O6885" s="10">
        <f>IFERROR(__xludf.DUMMYFUNCTION("VALUE(REGEXEXTRACT(A6885, ""\d+""))"),10648.0)</f>
        <v>10648</v>
      </c>
    </row>
    <row r="6886">
      <c r="A6886" s="9" t="s">
        <v>24024</v>
      </c>
      <c r="B6886" s="9" t="s">
        <v>24025</v>
      </c>
      <c r="G6886" s="9" t="s">
        <v>24026</v>
      </c>
      <c r="O6886" s="10">
        <f>IFERROR(__xludf.DUMMYFUNCTION("VALUE(REGEXEXTRACT(A6886, ""\d+""))"),10649.0)</f>
        <v>10649</v>
      </c>
    </row>
    <row r="6887">
      <c r="A6887" s="9" t="s">
        <v>24027</v>
      </c>
      <c r="B6887" s="9" t="s">
        <v>24028</v>
      </c>
      <c r="G6887" s="9" t="s">
        <v>24029</v>
      </c>
      <c r="O6887" s="10">
        <f>IFERROR(__xludf.DUMMYFUNCTION("VALUE(REGEXEXTRACT(A6887, ""\d+""))"),10650.0)</f>
        <v>10650</v>
      </c>
    </row>
    <row r="6888">
      <c r="A6888" s="9" t="s">
        <v>24030</v>
      </c>
      <c r="B6888" s="9" t="s">
        <v>24031</v>
      </c>
      <c r="G6888" s="9" t="s">
        <v>24032</v>
      </c>
      <c r="O6888" s="10">
        <f>IFERROR(__xludf.DUMMYFUNCTION("VALUE(REGEXEXTRACT(A6888, ""\d+""))"),10651.0)</f>
        <v>10651</v>
      </c>
    </row>
    <row r="6889">
      <c r="A6889" s="9" t="s">
        <v>24033</v>
      </c>
      <c r="B6889" s="9" t="s">
        <v>24034</v>
      </c>
      <c r="G6889" s="9" t="s">
        <v>24035</v>
      </c>
      <c r="O6889" s="10">
        <f>IFERROR(__xludf.DUMMYFUNCTION("VALUE(REGEXEXTRACT(A6889, ""\d+""))"),10652.0)</f>
        <v>10652</v>
      </c>
    </row>
    <row r="6890">
      <c r="A6890" s="9" t="s">
        <v>24036</v>
      </c>
      <c r="B6890" s="9" t="s">
        <v>24037</v>
      </c>
      <c r="G6890" s="9" t="s">
        <v>24038</v>
      </c>
      <c r="O6890" s="10">
        <f>IFERROR(__xludf.DUMMYFUNCTION("VALUE(REGEXEXTRACT(A6890, ""\d+""))"),10653.0)</f>
        <v>10653</v>
      </c>
    </row>
    <row r="6891">
      <c r="A6891" s="9" t="s">
        <v>24039</v>
      </c>
      <c r="B6891" s="9" t="s">
        <v>24040</v>
      </c>
      <c r="G6891" s="9" t="s">
        <v>24041</v>
      </c>
      <c r="O6891" s="10">
        <f>IFERROR(__xludf.DUMMYFUNCTION("VALUE(REGEXEXTRACT(A6891, ""\d+""))"),10654.0)</f>
        <v>10654</v>
      </c>
    </row>
    <row r="6892">
      <c r="A6892" s="9" t="s">
        <v>24042</v>
      </c>
      <c r="B6892" s="9" t="s">
        <v>24043</v>
      </c>
      <c r="G6892" s="9" t="s">
        <v>24044</v>
      </c>
      <c r="O6892" s="10">
        <f>IFERROR(__xludf.DUMMYFUNCTION("VALUE(REGEXEXTRACT(A6892, ""\d+""))"),10656.0)</f>
        <v>10656</v>
      </c>
    </row>
    <row r="6893">
      <c r="A6893" s="9" t="s">
        <v>24045</v>
      </c>
      <c r="B6893" s="9" t="s">
        <v>24046</v>
      </c>
      <c r="G6893" s="9" t="s">
        <v>24047</v>
      </c>
      <c r="O6893" s="10">
        <f>IFERROR(__xludf.DUMMYFUNCTION("VALUE(REGEXEXTRACT(A6893, ""\d+""))"),10657.0)</f>
        <v>10657</v>
      </c>
    </row>
    <row r="6894">
      <c r="A6894" s="9" t="s">
        <v>24048</v>
      </c>
      <c r="B6894" s="9" t="s">
        <v>24049</v>
      </c>
      <c r="G6894" s="9" t="s">
        <v>24050</v>
      </c>
      <c r="O6894" s="10">
        <f>IFERROR(__xludf.DUMMYFUNCTION("VALUE(REGEXEXTRACT(A6894, ""\d+""))"),10658.0)</f>
        <v>10658</v>
      </c>
    </row>
    <row r="6895">
      <c r="A6895" s="9" t="s">
        <v>24051</v>
      </c>
      <c r="B6895" s="9" t="s">
        <v>24052</v>
      </c>
      <c r="G6895" s="9" t="s">
        <v>24053</v>
      </c>
      <c r="O6895" s="10">
        <f>IFERROR(__xludf.DUMMYFUNCTION("VALUE(REGEXEXTRACT(A6895, ""\d+""))"),10661.0)</f>
        <v>10661</v>
      </c>
    </row>
    <row r="6896">
      <c r="A6896" s="9" t="s">
        <v>24054</v>
      </c>
      <c r="B6896" s="9" t="s">
        <v>24055</v>
      </c>
      <c r="G6896" s="9" t="s">
        <v>24056</v>
      </c>
      <c r="O6896" s="10">
        <f>IFERROR(__xludf.DUMMYFUNCTION("VALUE(REGEXEXTRACT(A6896, ""\d+""))"),10662.0)</f>
        <v>10662</v>
      </c>
    </row>
    <row r="6897">
      <c r="A6897" s="9" t="s">
        <v>24057</v>
      </c>
      <c r="B6897" s="9" t="s">
        <v>24058</v>
      </c>
      <c r="G6897" s="9" t="s">
        <v>24059</v>
      </c>
      <c r="O6897" s="10">
        <f>IFERROR(__xludf.DUMMYFUNCTION("VALUE(REGEXEXTRACT(A6897, ""\d+""))"),10663.0)</f>
        <v>10663</v>
      </c>
    </row>
    <row r="6898">
      <c r="A6898" s="9" t="s">
        <v>24060</v>
      </c>
      <c r="B6898" s="9" t="s">
        <v>24061</v>
      </c>
      <c r="G6898" s="9" t="s">
        <v>24062</v>
      </c>
      <c r="O6898" s="10">
        <f>IFERROR(__xludf.DUMMYFUNCTION("VALUE(REGEXEXTRACT(A6898, ""\d+""))"),10664.0)</f>
        <v>10664</v>
      </c>
    </row>
    <row r="6899">
      <c r="A6899" s="9" t="s">
        <v>24063</v>
      </c>
      <c r="B6899" s="9" t="s">
        <v>24064</v>
      </c>
      <c r="G6899" s="9" t="s">
        <v>24065</v>
      </c>
      <c r="O6899" s="10">
        <f>IFERROR(__xludf.DUMMYFUNCTION("VALUE(REGEXEXTRACT(A6899, ""\d+""))"),10666.0)</f>
        <v>10666</v>
      </c>
    </row>
    <row r="6900">
      <c r="A6900" s="9" t="s">
        <v>24066</v>
      </c>
      <c r="B6900" s="9" t="s">
        <v>24067</v>
      </c>
      <c r="G6900" s="9" t="s">
        <v>24068</v>
      </c>
      <c r="O6900" s="10">
        <f>IFERROR(__xludf.DUMMYFUNCTION("VALUE(REGEXEXTRACT(A6900, ""\d+""))"),10668.0)</f>
        <v>10668</v>
      </c>
    </row>
    <row r="6901">
      <c r="A6901" s="9" t="s">
        <v>24069</v>
      </c>
      <c r="B6901" s="9" t="s">
        <v>24070</v>
      </c>
      <c r="G6901" s="9" t="s">
        <v>24071</v>
      </c>
      <c r="O6901" s="10">
        <f>IFERROR(__xludf.DUMMYFUNCTION("VALUE(REGEXEXTRACT(A6901, ""\d+""))"),10669.0)</f>
        <v>10669</v>
      </c>
    </row>
    <row r="6902">
      <c r="A6902" s="9" t="s">
        <v>24072</v>
      </c>
      <c r="B6902" s="9" t="s">
        <v>24073</v>
      </c>
      <c r="G6902" s="9" t="s">
        <v>24074</v>
      </c>
      <c r="O6902" s="10">
        <f>IFERROR(__xludf.DUMMYFUNCTION("VALUE(REGEXEXTRACT(A6902, ""\d+""))"),10670.0)</f>
        <v>10670</v>
      </c>
    </row>
    <row r="6903">
      <c r="A6903" s="9" t="s">
        <v>24075</v>
      </c>
      <c r="B6903" s="9" t="s">
        <v>24076</v>
      </c>
      <c r="G6903" s="9" t="s">
        <v>24077</v>
      </c>
      <c r="O6903" s="10">
        <f>IFERROR(__xludf.DUMMYFUNCTION("VALUE(REGEXEXTRACT(A6903, ""\d+""))"),10672.0)</f>
        <v>10672</v>
      </c>
    </row>
    <row r="6904">
      <c r="A6904" s="9" t="s">
        <v>24078</v>
      </c>
      <c r="B6904" s="9" t="s">
        <v>24079</v>
      </c>
      <c r="G6904" s="9" t="s">
        <v>24080</v>
      </c>
      <c r="O6904" s="10">
        <f>IFERROR(__xludf.DUMMYFUNCTION("VALUE(REGEXEXTRACT(A6904, ""\d+""))"),10673.0)</f>
        <v>10673</v>
      </c>
    </row>
    <row r="6905">
      <c r="A6905" s="9" t="s">
        <v>24081</v>
      </c>
      <c r="B6905" s="9" t="s">
        <v>24082</v>
      </c>
      <c r="G6905" s="9" t="s">
        <v>24083</v>
      </c>
      <c r="O6905" s="10">
        <f>IFERROR(__xludf.DUMMYFUNCTION("VALUE(REGEXEXTRACT(A6905, ""\d+""))"),10675.0)</f>
        <v>10675</v>
      </c>
    </row>
    <row r="6906">
      <c r="A6906" s="9" t="s">
        <v>24084</v>
      </c>
      <c r="B6906" s="9" t="s">
        <v>24085</v>
      </c>
      <c r="G6906" s="9" t="s">
        <v>24086</v>
      </c>
      <c r="O6906" s="10">
        <f>IFERROR(__xludf.DUMMYFUNCTION("VALUE(REGEXEXTRACT(A6906, ""\d+""))"),10676.0)</f>
        <v>10676</v>
      </c>
    </row>
    <row r="6907">
      <c r="A6907" s="9" t="s">
        <v>24087</v>
      </c>
      <c r="B6907" s="9" t="s">
        <v>24088</v>
      </c>
      <c r="G6907" s="9" t="s">
        <v>24089</v>
      </c>
      <c r="O6907" s="10">
        <f>IFERROR(__xludf.DUMMYFUNCTION("VALUE(REGEXEXTRACT(A6907, ""\d+""))"),10678.0)</f>
        <v>10678</v>
      </c>
    </row>
    <row r="6908">
      <c r="A6908" s="9" t="s">
        <v>24090</v>
      </c>
      <c r="B6908" s="9" t="s">
        <v>24091</v>
      </c>
      <c r="G6908" s="9" t="s">
        <v>24092</v>
      </c>
      <c r="O6908" s="10">
        <f>IFERROR(__xludf.DUMMYFUNCTION("VALUE(REGEXEXTRACT(A6908, ""\d+""))"),10680.0)</f>
        <v>10680</v>
      </c>
    </row>
    <row r="6909">
      <c r="A6909" s="9" t="s">
        <v>24093</v>
      </c>
      <c r="B6909" s="9" t="s">
        <v>24094</v>
      </c>
      <c r="G6909" s="9" t="s">
        <v>24095</v>
      </c>
      <c r="O6909" s="10">
        <f>IFERROR(__xludf.DUMMYFUNCTION("VALUE(REGEXEXTRACT(A6909, ""\d+""))"),10682.0)</f>
        <v>10682</v>
      </c>
    </row>
    <row r="6910">
      <c r="A6910" s="9" t="s">
        <v>24096</v>
      </c>
      <c r="B6910" s="9" t="s">
        <v>24097</v>
      </c>
      <c r="G6910" s="9" t="s">
        <v>24098</v>
      </c>
      <c r="O6910" s="10">
        <f>IFERROR(__xludf.DUMMYFUNCTION("VALUE(REGEXEXTRACT(A6910, ""\d+""))"),10684.0)</f>
        <v>10684</v>
      </c>
    </row>
    <row r="6911">
      <c r="A6911" s="9" t="s">
        <v>24099</v>
      </c>
      <c r="B6911" s="9" t="s">
        <v>24100</v>
      </c>
      <c r="G6911" s="9" t="s">
        <v>24101</v>
      </c>
      <c r="O6911" s="10">
        <f>IFERROR(__xludf.DUMMYFUNCTION("VALUE(REGEXEXTRACT(A6911, ""\d+""))"),10686.0)</f>
        <v>10686</v>
      </c>
    </row>
    <row r="6912">
      <c r="A6912" s="9" t="s">
        <v>24102</v>
      </c>
      <c r="B6912" s="9" t="s">
        <v>24103</v>
      </c>
      <c r="G6912" s="9" t="s">
        <v>24104</v>
      </c>
      <c r="O6912" s="10">
        <f>IFERROR(__xludf.DUMMYFUNCTION("VALUE(REGEXEXTRACT(A6912, ""\d+""))"),10687.0)</f>
        <v>10687</v>
      </c>
    </row>
    <row r="6913">
      <c r="A6913" s="9" t="s">
        <v>24105</v>
      </c>
      <c r="B6913" s="9" t="s">
        <v>24106</v>
      </c>
      <c r="G6913" s="9" t="s">
        <v>24107</v>
      </c>
      <c r="O6913" s="10">
        <f>IFERROR(__xludf.DUMMYFUNCTION("VALUE(REGEXEXTRACT(A6913, ""\d+""))"),10690.0)</f>
        <v>10690</v>
      </c>
    </row>
    <row r="6914">
      <c r="A6914" s="9" t="s">
        <v>24108</v>
      </c>
      <c r="B6914" s="9" t="s">
        <v>24109</v>
      </c>
      <c r="G6914" s="9" t="s">
        <v>24110</v>
      </c>
      <c r="O6914" s="10">
        <f>IFERROR(__xludf.DUMMYFUNCTION("VALUE(REGEXEXTRACT(A6914, ""\d+""))"),10691.0)</f>
        <v>10691</v>
      </c>
    </row>
    <row r="6915">
      <c r="A6915" s="9" t="s">
        <v>24111</v>
      </c>
      <c r="B6915" s="9" t="s">
        <v>24112</v>
      </c>
      <c r="G6915" s="9" t="s">
        <v>24113</v>
      </c>
      <c r="O6915" s="10">
        <f>IFERROR(__xludf.DUMMYFUNCTION("VALUE(REGEXEXTRACT(A6915, ""\d+""))"),10693.0)</f>
        <v>10693</v>
      </c>
    </row>
    <row r="6916">
      <c r="A6916" s="9" t="s">
        <v>24114</v>
      </c>
      <c r="B6916" s="9" t="s">
        <v>24115</v>
      </c>
      <c r="G6916" s="9" t="s">
        <v>24116</v>
      </c>
      <c r="O6916" s="10">
        <f>IFERROR(__xludf.DUMMYFUNCTION("VALUE(REGEXEXTRACT(A6916, ""\d+""))"),10702.0)</f>
        <v>10702</v>
      </c>
    </row>
    <row r="6917">
      <c r="A6917" s="9" t="s">
        <v>24117</v>
      </c>
      <c r="B6917" s="9" t="s">
        <v>24118</v>
      </c>
      <c r="G6917" s="9" t="s">
        <v>24119</v>
      </c>
      <c r="O6917" s="10">
        <f>IFERROR(__xludf.DUMMYFUNCTION("VALUE(REGEXEXTRACT(A6917, ""\d+""))"),10703.0)</f>
        <v>10703</v>
      </c>
    </row>
    <row r="6918">
      <c r="A6918" s="9" t="s">
        <v>24120</v>
      </c>
      <c r="B6918" s="9" t="s">
        <v>24121</v>
      </c>
      <c r="G6918" s="9" t="s">
        <v>24122</v>
      </c>
      <c r="O6918" s="10">
        <f>IFERROR(__xludf.DUMMYFUNCTION("VALUE(REGEXEXTRACT(A6918, ""\d+""))"),10706.0)</f>
        <v>10706</v>
      </c>
    </row>
    <row r="6919">
      <c r="A6919" s="9" t="s">
        <v>24123</v>
      </c>
      <c r="B6919" s="9" t="s">
        <v>24124</v>
      </c>
      <c r="G6919" s="9" t="s">
        <v>24125</v>
      </c>
      <c r="O6919" s="10">
        <f>IFERROR(__xludf.DUMMYFUNCTION("VALUE(REGEXEXTRACT(A6919, ""\d+""))"),10707.0)</f>
        <v>10707</v>
      </c>
    </row>
    <row r="6920">
      <c r="A6920" s="9" t="s">
        <v>24126</v>
      </c>
      <c r="B6920" s="9" t="s">
        <v>24127</v>
      </c>
      <c r="G6920" s="9" t="s">
        <v>24128</v>
      </c>
      <c r="O6920" s="10">
        <f>IFERROR(__xludf.DUMMYFUNCTION("VALUE(REGEXEXTRACT(A6920, ""\d+""))"),10708.0)</f>
        <v>10708</v>
      </c>
    </row>
    <row r="6921">
      <c r="A6921" s="9" t="s">
        <v>24129</v>
      </c>
      <c r="B6921" s="9" t="s">
        <v>24130</v>
      </c>
      <c r="G6921" s="9" t="s">
        <v>24131</v>
      </c>
      <c r="O6921" s="10">
        <f>IFERROR(__xludf.DUMMYFUNCTION("VALUE(REGEXEXTRACT(A6921, ""\d+""))"),10710.0)</f>
        <v>10710</v>
      </c>
    </row>
    <row r="6922">
      <c r="A6922" s="9" t="s">
        <v>24132</v>
      </c>
      <c r="B6922" s="9" t="s">
        <v>24133</v>
      </c>
      <c r="G6922" s="9" t="s">
        <v>24134</v>
      </c>
      <c r="O6922" s="10">
        <f>IFERROR(__xludf.DUMMYFUNCTION("VALUE(REGEXEXTRACT(A6922, ""\d+""))"),10711.0)</f>
        <v>10711</v>
      </c>
    </row>
    <row r="6923">
      <c r="A6923" s="9" t="s">
        <v>24135</v>
      </c>
      <c r="B6923" s="9" t="s">
        <v>24136</v>
      </c>
      <c r="G6923" s="9" t="s">
        <v>24137</v>
      </c>
      <c r="O6923" s="10">
        <f>IFERROR(__xludf.DUMMYFUNCTION("VALUE(REGEXEXTRACT(A6923, ""\d+""))"),10712.0)</f>
        <v>10712</v>
      </c>
    </row>
    <row r="6924">
      <c r="A6924" s="9" t="s">
        <v>24138</v>
      </c>
      <c r="B6924" s="9" t="s">
        <v>24139</v>
      </c>
      <c r="G6924" s="9" t="s">
        <v>24140</v>
      </c>
      <c r="O6924" s="10">
        <f>IFERROR(__xludf.DUMMYFUNCTION("VALUE(REGEXEXTRACT(A6924, ""\d+""))"),10713.0)</f>
        <v>10713</v>
      </c>
    </row>
    <row r="6925">
      <c r="A6925" s="9" t="s">
        <v>24141</v>
      </c>
      <c r="B6925" s="9" t="s">
        <v>24142</v>
      </c>
      <c r="G6925" s="9" t="s">
        <v>24143</v>
      </c>
      <c r="O6925" s="10">
        <f>IFERROR(__xludf.DUMMYFUNCTION("VALUE(REGEXEXTRACT(A6925, ""\d+""))"),10714.0)</f>
        <v>10714</v>
      </c>
    </row>
    <row r="6926">
      <c r="A6926" s="9" t="s">
        <v>24144</v>
      </c>
      <c r="B6926" s="9" t="s">
        <v>24145</v>
      </c>
      <c r="G6926" s="9" t="s">
        <v>24146</v>
      </c>
      <c r="O6926" s="10">
        <f>IFERROR(__xludf.DUMMYFUNCTION("VALUE(REGEXEXTRACT(A6926, ""\d+""))"),10715.0)</f>
        <v>10715</v>
      </c>
    </row>
    <row r="6927">
      <c r="A6927" s="9" t="s">
        <v>24147</v>
      </c>
      <c r="B6927" s="9" t="s">
        <v>24148</v>
      </c>
      <c r="G6927" s="9" t="s">
        <v>24149</v>
      </c>
      <c r="O6927" s="10">
        <f>IFERROR(__xludf.DUMMYFUNCTION("VALUE(REGEXEXTRACT(A6927, ""\d+""))"),10720.0)</f>
        <v>10720</v>
      </c>
    </row>
    <row r="6928">
      <c r="A6928" s="9" t="s">
        <v>24150</v>
      </c>
      <c r="B6928" s="9" t="s">
        <v>24151</v>
      </c>
      <c r="G6928" s="9" t="s">
        <v>24152</v>
      </c>
      <c r="O6928" s="10">
        <f>IFERROR(__xludf.DUMMYFUNCTION("VALUE(REGEXEXTRACT(A6928, ""\d+""))"),10721.0)</f>
        <v>10721</v>
      </c>
    </row>
    <row r="6929">
      <c r="A6929" s="9" t="s">
        <v>24153</v>
      </c>
      <c r="B6929" s="9" t="s">
        <v>24154</v>
      </c>
      <c r="G6929" s="9" t="s">
        <v>24155</v>
      </c>
      <c r="O6929" s="10">
        <f>IFERROR(__xludf.DUMMYFUNCTION("VALUE(REGEXEXTRACT(A6929, ""\d+""))"),10722.0)</f>
        <v>10722</v>
      </c>
    </row>
    <row r="6930">
      <c r="A6930" s="9" t="s">
        <v>24156</v>
      </c>
      <c r="B6930" s="9" t="s">
        <v>24157</v>
      </c>
      <c r="G6930" s="9" t="s">
        <v>24157</v>
      </c>
      <c r="O6930" s="10">
        <f>IFERROR(__xludf.DUMMYFUNCTION("VALUE(REGEXEXTRACT(A6930, ""\d+""))"),10724.0)</f>
        <v>10724</v>
      </c>
    </row>
    <row r="6931">
      <c r="A6931" s="9" t="s">
        <v>24158</v>
      </c>
      <c r="B6931" s="9" t="s">
        <v>24159</v>
      </c>
      <c r="G6931" s="9" t="s">
        <v>24160</v>
      </c>
      <c r="O6931" s="10">
        <f>IFERROR(__xludf.DUMMYFUNCTION("VALUE(REGEXEXTRACT(A6931, ""\d+""))"),10725.0)</f>
        <v>10725</v>
      </c>
    </row>
    <row r="6932">
      <c r="A6932" s="9" t="s">
        <v>24161</v>
      </c>
      <c r="B6932" s="9" t="s">
        <v>24162</v>
      </c>
      <c r="G6932" s="9" t="s">
        <v>24162</v>
      </c>
      <c r="O6932" s="10">
        <f>IFERROR(__xludf.DUMMYFUNCTION("VALUE(REGEXEXTRACT(A6932, ""\d+""))"),10727.0)</f>
        <v>10727</v>
      </c>
    </row>
    <row r="6933">
      <c r="A6933" s="9" t="s">
        <v>24163</v>
      </c>
      <c r="B6933" s="9" t="s">
        <v>24164</v>
      </c>
      <c r="G6933" s="9" t="s">
        <v>24165</v>
      </c>
      <c r="O6933" s="10">
        <f>IFERROR(__xludf.DUMMYFUNCTION("VALUE(REGEXEXTRACT(A6933, ""\d+""))"),10729.0)</f>
        <v>10729</v>
      </c>
    </row>
    <row r="6934">
      <c r="A6934" s="9" t="s">
        <v>24166</v>
      </c>
      <c r="B6934" s="9" t="s">
        <v>24167</v>
      </c>
      <c r="G6934" s="9" t="s">
        <v>24168</v>
      </c>
      <c r="O6934" s="10">
        <f>IFERROR(__xludf.DUMMYFUNCTION("VALUE(REGEXEXTRACT(A6934, ""\d+""))"),10730.0)</f>
        <v>10730</v>
      </c>
    </row>
    <row r="6935">
      <c r="A6935" s="9" t="s">
        <v>24169</v>
      </c>
      <c r="B6935" s="9" t="s">
        <v>24170</v>
      </c>
      <c r="G6935" s="9" t="s">
        <v>24171</v>
      </c>
      <c r="O6935" s="10">
        <f>IFERROR(__xludf.DUMMYFUNCTION("VALUE(REGEXEXTRACT(A6935, ""\d+""))"),10732.0)</f>
        <v>10732</v>
      </c>
    </row>
    <row r="6936">
      <c r="A6936" s="9" t="s">
        <v>24172</v>
      </c>
      <c r="B6936" s="9" t="s">
        <v>24173</v>
      </c>
      <c r="G6936" s="9" t="s">
        <v>24174</v>
      </c>
      <c r="O6936" s="10">
        <f>IFERROR(__xludf.DUMMYFUNCTION("VALUE(REGEXEXTRACT(A6936, ""\d+""))"),10733.0)</f>
        <v>10733</v>
      </c>
    </row>
    <row r="6937">
      <c r="A6937" s="9" t="s">
        <v>24175</v>
      </c>
      <c r="B6937" s="9" t="s">
        <v>24176</v>
      </c>
      <c r="G6937" s="9" t="s">
        <v>24177</v>
      </c>
      <c r="O6937" s="10">
        <f>IFERROR(__xludf.DUMMYFUNCTION("VALUE(REGEXEXTRACT(A6937, ""\d+""))"),10740.0)</f>
        <v>10740</v>
      </c>
    </row>
    <row r="6938">
      <c r="A6938" s="9" t="s">
        <v>24178</v>
      </c>
      <c r="B6938" s="9" t="s">
        <v>24179</v>
      </c>
      <c r="G6938" s="9" t="s">
        <v>24180</v>
      </c>
      <c r="O6938" s="10">
        <f>IFERROR(__xludf.DUMMYFUNCTION("VALUE(REGEXEXTRACT(A6938, ""\d+""))"),10741.0)</f>
        <v>10741</v>
      </c>
    </row>
    <row r="6939">
      <c r="A6939" s="9" t="s">
        <v>24181</v>
      </c>
      <c r="B6939" s="9" t="s">
        <v>24182</v>
      </c>
      <c r="G6939" s="9" t="s">
        <v>24183</v>
      </c>
      <c r="O6939" s="10">
        <f>IFERROR(__xludf.DUMMYFUNCTION("VALUE(REGEXEXTRACT(A6939, ""\d+""))"),10742.0)</f>
        <v>10742</v>
      </c>
    </row>
    <row r="6940">
      <c r="A6940" s="9" t="s">
        <v>24184</v>
      </c>
      <c r="B6940" s="9" t="s">
        <v>24185</v>
      </c>
      <c r="G6940" s="9" t="s">
        <v>24186</v>
      </c>
      <c r="O6940" s="10">
        <f>IFERROR(__xludf.DUMMYFUNCTION("VALUE(REGEXEXTRACT(A6940, ""\d+""))"),10748.0)</f>
        <v>10748</v>
      </c>
    </row>
    <row r="6941">
      <c r="A6941" s="9" t="s">
        <v>24187</v>
      </c>
      <c r="B6941" s="9" t="s">
        <v>24188</v>
      </c>
      <c r="G6941" s="9" t="s">
        <v>24189</v>
      </c>
      <c r="O6941" s="10">
        <f>IFERROR(__xludf.DUMMYFUNCTION("VALUE(REGEXEXTRACT(A6941, ""\d+""))"),10749.0)</f>
        <v>10749</v>
      </c>
    </row>
    <row r="6942">
      <c r="A6942" s="9" t="s">
        <v>24190</v>
      </c>
      <c r="B6942" s="9" t="s">
        <v>24191</v>
      </c>
      <c r="G6942" s="9" t="s">
        <v>24192</v>
      </c>
      <c r="O6942" s="10">
        <f>IFERROR(__xludf.DUMMYFUNCTION("VALUE(REGEXEXTRACT(A6942, ""\d+""))"),10755.0)</f>
        <v>10755</v>
      </c>
    </row>
    <row r="6943">
      <c r="A6943" s="9" t="s">
        <v>24193</v>
      </c>
      <c r="B6943" s="9" t="s">
        <v>24194</v>
      </c>
      <c r="G6943" s="9" t="s">
        <v>24195</v>
      </c>
      <c r="O6943" s="10">
        <f>IFERROR(__xludf.DUMMYFUNCTION("VALUE(REGEXEXTRACT(A6943, ""\d+""))"),10756.0)</f>
        <v>10756</v>
      </c>
    </row>
    <row r="6944">
      <c r="A6944" s="9" t="s">
        <v>24196</v>
      </c>
      <c r="B6944" s="9" t="s">
        <v>24197</v>
      </c>
      <c r="G6944" s="9" t="s">
        <v>24198</v>
      </c>
      <c r="O6944" s="10">
        <f>IFERROR(__xludf.DUMMYFUNCTION("VALUE(REGEXEXTRACT(A6944, ""\d+""))"),10757.0)</f>
        <v>10757</v>
      </c>
    </row>
    <row r="6945">
      <c r="A6945" s="9" t="s">
        <v>24199</v>
      </c>
      <c r="B6945" s="9" t="s">
        <v>24200</v>
      </c>
      <c r="G6945" s="9" t="s">
        <v>24201</v>
      </c>
      <c r="O6945" s="10">
        <f>IFERROR(__xludf.DUMMYFUNCTION("VALUE(REGEXEXTRACT(A6945, ""\d+""))"),10758.0)</f>
        <v>10758</v>
      </c>
    </row>
    <row r="6946">
      <c r="A6946" s="9" t="s">
        <v>24202</v>
      </c>
      <c r="B6946" s="9" t="s">
        <v>24203</v>
      </c>
      <c r="G6946" s="9" t="s">
        <v>24204</v>
      </c>
      <c r="O6946" s="10">
        <f>IFERROR(__xludf.DUMMYFUNCTION("VALUE(REGEXEXTRACT(A6946, ""\d+""))"),10759.0)</f>
        <v>10759</v>
      </c>
    </row>
    <row r="6947">
      <c r="A6947" s="9" t="s">
        <v>24205</v>
      </c>
      <c r="B6947" s="9" t="s">
        <v>24206</v>
      </c>
      <c r="G6947" s="9" t="s">
        <v>24207</v>
      </c>
      <c r="O6947" s="10">
        <f>IFERROR(__xludf.DUMMYFUNCTION("VALUE(REGEXEXTRACT(A6947, ""\d+""))"),10765.0)</f>
        <v>10765</v>
      </c>
    </row>
    <row r="6948">
      <c r="A6948" s="9" t="s">
        <v>24208</v>
      </c>
      <c r="B6948" s="9" t="s">
        <v>24209</v>
      </c>
      <c r="G6948" s="9" t="s">
        <v>24210</v>
      </c>
      <c r="O6948" s="10">
        <f>IFERROR(__xludf.DUMMYFUNCTION("VALUE(REGEXEXTRACT(A6948, ""\d+""))"),10766.0)</f>
        <v>10766</v>
      </c>
    </row>
    <row r="6949">
      <c r="A6949" s="9" t="s">
        <v>24211</v>
      </c>
      <c r="B6949" s="9" t="s">
        <v>24212</v>
      </c>
      <c r="G6949" s="9" t="s">
        <v>24213</v>
      </c>
      <c r="O6949" s="10">
        <f>IFERROR(__xludf.DUMMYFUNCTION("VALUE(REGEXEXTRACT(A6949, ""\d+""))"),10773.0)</f>
        <v>10773</v>
      </c>
    </row>
    <row r="6950">
      <c r="A6950" s="9" t="s">
        <v>24214</v>
      </c>
      <c r="B6950" s="9" t="s">
        <v>24215</v>
      </c>
      <c r="G6950" s="9" t="s">
        <v>24216</v>
      </c>
      <c r="O6950" s="10">
        <f>IFERROR(__xludf.DUMMYFUNCTION("VALUE(REGEXEXTRACT(A6950, ""\d+""))"),10774.0)</f>
        <v>10774</v>
      </c>
    </row>
    <row r="6951">
      <c r="A6951" s="9" t="s">
        <v>24217</v>
      </c>
      <c r="B6951" s="9" t="s">
        <v>24218</v>
      </c>
      <c r="G6951" s="9" t="s">
        <v>24219</v>
      </c>
      <c r="O6951" s="10">
        <f>IFERROR(__xludf.DUMMYFUNCTION("VALUE(REGEXEXTRACT(A6951, ""\d+""))"),10775.0)</f>
        <v>10775</v>
      </c>
    </row>
    <row r="6952">
      <c r="A6952" s="9" t="s">
        <v>24220</v>
      </c>
      <c r="B6952" s="9" t="s">
        <v>24221</v>
      </c>
      <c r="G6952" s="9" t="s">
        <v>24222</v>
      </c>
      <c r="O6952" s="10">
        <f>IFERROR(__xludf.DUMMYFUNCTION("VALUE(REGEXEXTRACT(A6952, ""\d+""))"),10776.0)</f>
        <v>10776</v>
      </c>
    </row>
    <row r="6953">
      <c r="A6953" s="9" t="s">
        <v>24223</v>
      </c>
      <c r="B6953" s="9" t="s">
        <v>24224</v>
      </c>
      <c r="G6953" s="9" t="s">
        <v>24225</v>
      </c>
      <c r="O6953" s="10">
        <f>IFERROR(__xludf.DUMMYFUNCTION("VALUE(REGEXEXTRACT(A6953, ""\d+""))"),10777.0)</f>
        <v>10777</v>
      </c>
    </row>
    <row r="6954">
      <c r="A6954" s="9" t="s">
        <v>24226</v>
      </c>
      <c r="B6954" s="9" t="s">
        <v>24227</v>
      </c>
      <c r="G6954" s="9" t="s">
        <v>24228</v>
      </c>
      <c r="O6954" s="10">
        <f>IFERROR(__xludf.DUMMYFUNCTION("VALUE(REGEXEXTRACT(A6954, ""\d+""))"),10778.0)</f>
        <v>10778</v>
      </c>
    </row>
    <row r="6955">
      <c r="A6955" s="9" t="s">
        <v>24229</v>
      </c>
      <c r="B6955" s="9" t="s">
        <v>24230</v>
      </c>
      <c r="G6955" s="9" t="s">
        <v>24231</v>
      </c>
      <c r="O6955" s="10">
        <f>IFERROR(__xludf.DUMMYFUNCTION("VALUE(REGEXEXTRACT(A6955, ""\d+""))"),10779.0)</f>
        <v>10779</v>
      </c>
    </row>
    <row r="6956">
      <c r="A6956" s="9" t="s">
        <v>24232</v>
      </c>
      <c r="B6956" s="9" t="s">
        <v>24233</v>
      </c>
      <c r="G6956" s="9" t="s">
        <v>24234</v>
      </c>
      <c r="O6956" s="10">
        <f>IFERROR(__xludf.DUMMYFUNCTION("VALUE(REGEXEXTRACT(A6956, ""\d+""))"),10780.0)</f>
        <v>10780</v>
      </c>
    </row>
    <row r="6957">
      <c r="A6957" s="9" t="s">
        <v>24235</v>
      </c>
      <c r="B6957" s="9" t="s">
        <v>24236</v>
      </c>
      <c r="G6957" s="9" t="s">
        <v>24237</v>
      </c>
      <c r="O6957" s="10">
        <f>IFERROR(__xludf.DUMMYFUNCTION("VALUE(REGEXEXTRACT(A6957, ""\d+""))"),10781.0)</f>
        <v>10781</v>
      </c>
    </row>
    <row r="6958">
      <c r="A6958" s="9" t="s">
        <v>24238</v>
      </c>
      <c r="B6958" s="9" t="s">
        <v>24239</v>
      </c>
      <c r="G6958" s="9" t="s">
        <v>24240</v>
      </c>
      <c r="O6958" s="10">
        <f>IFERROR(__xludf.DUMMYFUNCTION("VALUE(REGEXEXTRACT(A6958, ""\d+""))"),10782.0)</f>
        <v>10782</v>
      </c>
    </row>
    <row r="6959">
      <c r="A6959" s="9" t="s">
        <v>24241</v>
      </c>
      <c r="B6959" s="9" t="s">
        <v>24242</v>
      </c>
      <c r="G6959" s="9" t="s">
        <v>24243</v>
      </c>
      <c r="O6959" s="10">
        <f>IFERROR(__xludf.DUMMYFUNCTION("VALUE(REGEXEXTRACT(A6959, ""\d+""))"),10793.0)</f>
        <v>10793</v>
      </c>
    </row>
    <row r="6960">
      <c r="A6960" s="9" t="s">
        <v>24244</v>
      </c>
      <c r="B6960" s="9" t="s">
        <v>24245</v>
      </c>
      <c r="G6960" s="9" t="s">
        <v>24246</v>
      </c>
      <c r="O6960" s="10">
        <f>IFERROR(__xludf.DUMMYFUNCTION("VALUE(REGEXEXTRACT(A6960, ""\d+""))"),10794.0)</f>
        <v>10794</v>
      </c>
    </row>
    <row r="6961">
      <c r="A6961" s="9" t="s">
        <v>24247</v>
      </c>
      <c r="B6961" s="9" t="s">
        <v>24248</v>
      </c>
      <c r="G6961" s="9" t="s">
        <v>24249</v>
      </c>
      <c r="O6961" s="10">
        <f>IFERROR(__xludf.DUMMYFUNCTION("VALUE(REGEXEXTRACT(A6961, ""\d+""))"),10795.0)</f>
        <v>10795</v>
      </c>
    </row>
    <row r="6962">
      <c r="A6962" s="9" t="s">
        <v>24250</v>
      </c>
      <c r="B6962" s="9" t="s">
        <v>24251</v>
      </c>
      <c r="G6962" s="9" t="s">
        <v>24252</v>
      </c>
      <c r="O6962" s="10">
        <f>IFERROR(__xludf.DUMMYFUNCTION("VALUE(REGEXEXTRACT(A6962, ""\d+""))"),10796.0)</f>
        <v>10796</v>
      </c>
    </row>
    <row r="6963">
      <c r="A6963" s="9" t="s">
        <v>24253</v>
      </c>
      <c r="B6963" s="9" t="s">
        <v>24254</v>
      </c>
      <c r="G6963" s="9" t="s">
        <v>24255</v>
      </c>
      <c r="O6963" s="10">
        <f>IFERROR(__xludf.DUMMYFUNCTION("VALUE(REGEXEXTRACT(A6963, ""\d+""))"),10797.0)</f>
        <v>10797</v>
      </c>
    </row>
    <row r="6964">
      <c r="A6964" s="9" t="s">
        <v>24256</v>
      </c>
      <c r="B6964" s="9" t="s">
        <v>24257</v>
      </c>
      <c r="G6964" s="9" t="s">
        <v>24258</v>
      </c>
      <c r="O6964" s="10">
        <f>IFERROR(__xludf.DUMMYFUNCTION("VALUE(REGEXEXTRACT(A6964, ""\d+""))"),10806.0)</f>
        <v>10806</v>
      </c>
    </row>
    <row r="6965">
      <c r="A6965" s="9" t="s">
        <v>24259</v>
      </c>
      <c r="B6965" s="9" t="s">
        <v>24260</v>
      </c>
      <c r="G6965" s="9" t="s">
        <v>24261</v>
      </c>
      <c r="O6965" s="10">
        <f>IFERROR(__xludf.DUMMYFUNCTION("VALUE(REGEXEXTRACT(A6965, ""\d+""))"),10808.0)</f>
        <v>10808</v>
      </c>
    </row>
    <row r="6966">
      <c r="A6966" s="9" t="s">
        <v>24262</v>
      </c>
      <c r="B6966" s="9" t="s">
        <v>24263</v>
      </c>
      <c r="G6966" s="9" t="s">
        <v>24264</v>
      </c>
      <c r="O6966" s="10">
        <f>IFERROR(__xludf.DUMMYFUNCTION("VALUE(REGEXEXTRACT(A6966, ""\d+""))"),10809.0)</f>
        <v>10809</v>
      </c>
    </row>
    <row r="6967">
      <c r="A6967" s="9" t="s">
        <v>24265</v>
      </c>
      <c r="B6967" s="9" t="s">
        <v>24266</v>
      </c>
      <c r="G6967" s="9" t="s">
        <v>24267</v>
      </c>
      <c r="O6967" s="10">
        <f>IFERROR(__xludf.DUMMYFUNCTION("VALUE(REGEXEXTRACT(A6967, ""\d+""))"),10810.0)</f>
        <v>10810</v>
      </c>
    </row>
    <row r="6968">
      <c r="A6968" s="9" t="s">
        <v>24268</v>
      </c>
      <c r="B6968" s="9" t="s">
        <v>24269</v>
      </c>
      <c r="G6968" s="9" t="s">
        <v>24270</v>
      </c>
      <c r="O6968" s="10">
        <f>IFERROR(__xludf.DUMMYFUNCTION("VALUE(REGEXEXTRACT(A6968, ""\d+""))"),10811.0)</f>
        <v>10811</v>
      </c>
    </row>
    <row r="6969">
      <c r="A6969" s="9" t="s">
        <v>24271</v>
      </c>
      <c r="B6969" s="9" t="s">
        <v>24272</v>
      </c>
      <c r="G6969" s="9" t="s">
        <v>24273</v>
      </c>
      <c r="O6969" s="10">
        <f>IFERROR(__xludf.DUMMYFUNCTION("VALUE(REGEXEXTRACT(A6969, ""\d+""))"),10812.0)</f>
        <v>10812</v>
      </c>
    </row>
    <row r="6970">
      <c r="A6970" s="9" t="s">
        <v>24274</v>
      </c>
      <c r="B6970" s="9" t="s">
        <v>24275</v>
      </c>
      <c r="G6970" s="9" t="s">
        <v>24276</v>
      </c>
      <c r="O6970" s="10">
        <f>IFERROR(__xludf.DUMMYFUNCTION("VALUE(REGEXEXTRACT(A6970, ""\d+""))"),10813.0)</f>
        <v>10813</v>
      </c>
    </row>
    <row r="6971">
      <c r="A6971" s="9" t="s">
        <v>24277</v>
      </c>
      <c r="B6971" s="9" t="s">
        <v>24278</v>
      </c>
      <c r="G6971" s="9" t="s">
        <v>24279</v>
      </c>
      <c r="O6971" s="10">
        <f>IFERROR(__xludf.DUMMYFUNCTION("VALUE(REGEXEXTRACT(A6971, ""\d+""))"),10818.0)</f>
        <v>10818</v>
      </c>
    </row>
    <row r="6972">
      <c r="A6972" s="9" t="s">
        <v>24280</v>
      </c>
      <c r="B6972" s="9" t="s">
        <v>24281</v>
      </c>
      <c r="G6972" s="9" t="s">
        <v>24281</v>
      </c>
      <c r="O6972" s="10">
        <f>IFERROR(__xludf.DUMMYFUNCTION("VALUE(REGEXEXTRACT(A6972, ""\d+""))"),10821.0)</f>
        <v>10821</v>
      </c>
    </row>
    <row r="6973">
      <c r="A6973" s="9" t="s">
        <v>24282</v>
      </c>
      <c r="B6973" s="9" t="s">
        <v>24283</v>
      </c>
      <c r="G6973" s="9" t="s">
        <v>24283</v>
      </c>
      <c r="O6973" s="10">
        <f>IFERROR(__xludf.DUMMYFUNCTION("VALUE(REGEXEXTRACT(A6973, ""\d+""))"),10822.0)</f>
        <v>10822</v>
      </c>
    </row>
    <row r="6974">
      <c r="A6974" s="9" t="s">
        <v>24284</v>
      </c>
      <c r="B6974" s="9" t="s">
        <v>24285</v>
      </c>
      <c r="G6974" s="9" t="s">
        <v>24286</v>
      </c>
      <c r="O6974" s="10">
        <f>IFERROR(__xludf.DUMMYFUNCTION("VALUE(REGEXEXTRACT(A6974, ""\d+""))"),10847.0)</f>
        <v>10847</v>
      </c>
    </row>
    <row r="6975">
      <c r="A6975" s="9" t="s">
        <v>24287</v>
      </c>
      <c r="B6975" s="9" t="s">
        <v>24288</v>
      </c>
      <c r="G6975" s="9" t="s">
        <v>24289</v>
      </c>
      <c r="O6975" s="10">
        <f>IFERROR(__xludf.DUMMYFUNCTION("VALUE(REGEXEXTRACT(A6975, ""\d+""))"),10850.0)</f>
        <v>10850</v>
      </c>
    </row>
    <row r="6976">
      <c r="A6976" s="9" t="s">
        <v>24290</v>
      </c>
      <c r="B6976" s="9" t="s">
        <v>24291</v>
      </c>
      <c r="G6976" s="9" t="s">
        <v>24292</v>
      </c>
      <c r="O6976" s="10">
        <f>IFERROR(__xludf.DUMMYFUNCTION("VALUE(REGEXEXTRACT(A6976, ""\d+""))"),10851.0)</f>
        <v>10851</v>
      </c>
    </row>
    <row r="6977">
      <c r="A6977" s="9" t="s">
        <v>24293</v>
      </c>
      <c r="B6977" s="9" t="s">
        <v>24294</v>
      </c>
      <c r="G6977" s="9" t="s">
        <v>24295</v>
      </c>
      <c r="O6977" s="10">
        <f>IFERROR(__xludf.DUMMYFUNCTION("VALUE(REGEXEXTRACT(A6977, ""\d+""))"),10875.0)</f>
        <v>10875</v>
      </c>
    </row>
    <row r="6978">
      <c r="A6978" s="9" t="s">
        <v>24296</v>
      </c>
      <c r="B6978" s="9" t="s">
        <v>24297</v>
      </c>
      <c r="G6978" s="9" t="s">
        <v>24298</v>
      </c>
      <c r="O6978" s="10">
        <f>IFERROR(__xludf.DUMMYFUNCTION("VALUE(REGEXEXTRACT(A6978, ""\d+""))"),10876.0)</f>
        <v>10876</v>
      </c>
    </row>
    <row r="6979">
      <c r="A6979" s="9" t="s">
        <v>24299</v>
      </c>
      <c r="B6979" s="9" t="s">
        <v>24300</v>
      </c>
      <c r="G6979" s="9" t="s">
        <v>24301</v>
      </c>
      <c r="O6979" s="10">
        <f>IFERROR(__xludf.DUMMYFUNCTION("VALUE(REGEXEXTRACT(A6979, ""\d+""))"),10877.0)</f>
        <v>10877</v>
      </c>
    </row>
    <row r="6980">
      <c r="A6980" s="9" t="s">
        <v>24302</v>
      </c>
      <c r="B6980" s="9" t="s">
        <v>24303</v>
      </c>
      <c r="G6980" s="9" t="s">
        <v>24304</v>
      </c>
      <c r="O6980" s="10">
        <f>IFERROR(__xludf.DUMMYFUNCTION("VALUE(REGEXEXTRACT(A6980, ""\d+""))"),10878.0)</f>
        <v>10878</v>
      </c>
    </row>
    <row r="6981">
      <c r="A6981" s="9" t="s">
        <v>24305</v>
      </c>
      <c r="B6981" s="9" t="s">
        <v>24306</v>
      </c>
      <c r="G6981" s="9" t="s">
        <v>24307</v>
      </c>
      <c r="O6981" s="10">
        <f>IFERROR(__xludf.DUMMYFUNCTION("VALUE(REGEXEXTRACT(A6981, ""\d+""))"),10879.0)</f>
        <v>10879</v>
      </c>
    </row>
    <row r="6982">
      <c r="A6982" s="9" t="s">
        <v>24308</v>
      </c>
      <c r="B6982" s="9" t="s">
        <v>24309</v>
      </c>
      <c r="G6982" s="9" t="s">
        <v>24310</v>
      </c>
      <c r="O6982" s="10">
        <f>IFERROR(__xludf.DUMMYFUNCTION("VALUE(REGEXEXTRACT(A6982, ""\d+""))"),10880.0)</f>
        <v>10880</v>
      </c>
    </row>
    <row r="6983">
      <c r="A6983" s="9" t="s">
        <v>24311</v>
      </c>
      <c r="B6983" s="9" t="s">
        <v>24312</v>
      </c>
      <c r="G6983" s="9" t="s">
        <v>24313</v>
      </c>
      <c r="O6983" s="10">
        <f>IFERROR(__xludf.DUMMYFUNCTION("VALUE(REGEXEXTRACT(A6983, ""\d+""))"),10881.0)</f>
        <v>10881</v>
      </c>
    </row>
    <row r="6984">
      <c r="A6984" s="9" t="s">
        <v>24314</v>
      </c>
      <c r="B6984" s="9" t="s">
        <v>24315</v>
      </c>
      <c r="G6984" s="9" t="s">
        <v>24316</v>
      </c>
      <c r="O6984" s="10">
        <f>IFERROR(__xludf.DUMMYFUNCTION("VALUE(REGEXEXTRACT(A6984, ""\d+""))"),10882.0)</f>
        <v>10882</v>
      </c>
    </row>
    <row r="6985">
      <c r="A6985" s="9" t="s">
        <v>24317</v>
      </c>
      <c r="B6985" s="9" t="s">
        <v>24318</v>
      </c>
      <c r="G6985" s="9" t="s">
        <v>24319</v>
      </c>
      <c r="O6985" s="10">
        <f>IFERROR(__xludf.DUMMYFUNCTION("VALUE(REGEXEXTRACT(A6985, ""\d+""))"),10884.0)</f>
        <v>10884</v>
      </c>
    </row>
    <row r="6986">
      <c r="A6986" s="9" t="s">
        <v>24320</v>
      </c>
      <c r="B6986" s="9" t="s">
        <v>24321</v>
      </c>
      <c r="G6986" s="9" t="s">
        <v>24322</v>
      </c>
      <c r="O6986" s="10">
        <f>IFERROR(__xludf.DUMMYFUNCTION("VALUE(REGEXEXTRACT(A6986, ""\d+""))"),10886.0)</f>
        <v>10886</v>
      </c>
    </row>
    <row r="6987">
      <c r="A6987" s="9" t="s">
        <v>24323</v>
      </c>
      <c r="B6987" s="9" t="s">
        <v>24324</v>
      </c>
      <c r="G6987" s="9" t="s">
        <v>24325</v>
      </c>
      <c r="O6987" s="10">
        <f>IFERROR(__xludf.DUMMYFUNCTION("VALUE(REGEXEXTRACT(A6987, ""\d+""))"),10887.0)</f>
        <v>10887</v>
      </c>
    </row>
    <row r="6988">
      <c r="A6988" s="9" t="s">
        <v>24326</v>
      </c>
      <c r="B6988" s="9" t="s">
        <v>24327</v>
      </c>
      <c r="G6988" s="9" t="s">
        <v>24328</v>
      </c>
      <c r="O6988" s="10">
        <f>IFERROR(__xludf.DUMMYFUNCTION("VALUE(REGEXEXTRACT(A6988, ""\d+""))"),10889.0)</f>
        <v>10889</v>
      </c>
    </row>
    <row r="6989">
      <c r="A6989" s="9" t="s">
        <v>24329</v>
      </c>
      <c r="B6989" s="9" t="s">
        <v>24330</v>
      </c>
      <c r="G6989" s="9" t="s">
        <v>24331</v>
      </c>
      <c r="O6989" s="10">
        <f>IFERROR(__xludf.DUMMYFUNCTION("VALUE(REGEXEXTRACT(A6989, ""\d+""))"),10890.0)</f>
        <v>10890</v>
      </c>
    </row>
    <row r="6990">
      <c r="A6990" s="9" t="s">
        <v>24332</v>
      </c>
      <c r="B6990" s="9" t="s">
        <v>24333</v>
      </c>
      <c r="G6990" s="9" t="s">
        <v>24334</v>
      </c>
      <c r="O6990" s="10">
        <f>IFERROR(__xludf.DUMMYFUNCTION("VALUE(REGEXEXTRACT(A6990, ""\d+""))"),10892.0)</f>
        <v>10892</v>
      </c>
    </row>
    <row r="6991">
      <c r="A6991" s="9" t="s">
        <v>24335</v>
      </c>
      <c r="B6991" s="9" t="s">
        <v>24336</v>
      </c>
      <c r="G6991" s="9" t="s">
        <v>24337</v>
      </c>
      <c r="O6991" s="10">
        <f>IFERROR(__xludf.DUMMYFUNCTION("VALUE(REGEXEXTRACT(A6991, ""\d+""))"),10893.0)</f>
        <v>10893</v>
      </c>
    </row>
    <row r="6992">
      <c r="A6992" s="9" t="s">
        <v>24338</v>
      </c>
      <c r="B6992" s="9" t="s">
        <v>24339</v>
      </c>
      <c r="G6992" s="9" t="s">
        <v>24340</v>
      </c>
      <c r="O6992" s="10">
        <f>IFERROR(__xludf.DUMMYFUNCTION("VALUE(REGEXEXTRACT(A6992, ""\d+""))"),10894.0)</f>
        <v>10894</v>
      </c>
    </row>
    <row r="6993">
      <c r="A6993" s="9" t="s">
        <v>24341</v>
      </c>
      <c r="B6993" s="9" t="s">
        <v>24342</v>
      </c>
      <c r="G6993" s="9" t="s">
        <v>24343</v>
      </c>
      <c r="O6993" s="10">
        <f>IFERROR(__xludf.DUMMYFUNCTION("VALUE(REGEXEXTRACT(A6993, ""\d+""))"),10895.0)</f>
        <v>10895</v>
      </c>
    </row>
    <row r="6994">
      <c r="A6994" s="9" t="s">
        <v>24344</v>
      </c>
      <c r="B6994" s="9" t="s">
        <v>24345</v>
      </c>
      <c r="G6994" s="9" t="s">
        <v>24346</v>
      </c>
      <c r="O6994" s="10">
        <f>IFERROR(__xludf.DUMMYFUNCTION("VALUE(REGEXEXTRACT(A6994, ""\d+""))"),10911.0)</f>
        <v>10911</v>
      </c>
    </row>
    <row r="6995">
      <c r="A6995" s="9" t="s">
        <v>24347</v>
      </c>
      <c r="B6995" s="9" t="s">
        <v>24348</v>
      </c>
      <c r="G6995" s="9" t="s">
        <v>24349</v>
      </c>
      <c r="O6995" s="10">
        <f>IFERROR(__xludf.DUMMYFUNCTION("VALUE(REGEXEXTRACT(A6995, ""\d+""))"),10926.0)</f>
        <v>10926</v>
      </c>
    </row>
    <row r="6996">
      <c r="A6996" s="9" t="s">
        <v>24350</v>
      </c>
      <c r="B6996" s="9" t="s">
        <v>24351</v>
      </c>
      <c r="G6996" s="9" t="s">
        <v>24352</v>
      </c>
      <c r="O6996" s="10">
        <f>IFERROR(__xludf.DUMMYFUNCTION("VALUE(REGEXEXTRACT(A6996, ""\d+""))"),10928.0)</f>
        <v>10928</v>
      </c>
    </row>
    <row r="6997">
      <c r="A6997" s="9" t="s">
        <v>24353</v>
      </c>
      <c r="B6997" s="9" t="s">
        <v>24354</v>
      </c>
      <c r="G6997" s="9" t="s">
        <v>24355</v>
      </c>
      <c r="O6997" s="10">
        <f>IFERROR(__xludf.DUMMYFUNCTION("VALUE(REGEXEXTRACT(A6997, ""\d+""))"),10929.0)</f>
        <v>10929</v>
      </c>
    </row>
    <row r="6998">
      <c r="A6998" s="9" t="s">
        <v>24356</v>
      </c>
      <c r="B6998" s="9" t="s">
        <v>24357</v>
      </c>
      <c r="G6998" s="9" t="s">
        <v>24358</v>
      </c>
      <c r="O6998" s="10">
        <f>IFERROR(__xludf.DUMMYFUNCTION("VALUE(REGEXEXTRACT(A6998, ""\d+""))"),10930.0)</f>
        <v>10930</v>
      </c>
    </row>
    <row r="6999">
      <c r="A6999" s="9" t="s">
        <v>24359</v>
      </c>
      <c r="B6999" s="9" t="s">
        <v>24360</v>
      </c>
      <c r="G6999" s="9" t="s">
        <v>24361</v>
      </c>
      <c r="O6999" s="10">
        <f>IFERROR(__xludf.DUMMYFUNCTION("VALUE(REGEXEXTRACT(A6999, ""\d+""))"),10931.0)</f>
        <v>10931</v>
      </c>
    </row>
    <row r="7000">
      <c r="A7000" s="9" t="s">
        <v>24362</v>
      </c>
      <c r="B7000" s="9" t="s">
        <v>24363</v>
      </c>
      <c r="G7000" s="9" t="s">
        <v>24364</v>
      </c>
      <c r="O7000" s="10">
        <f>IFERROR(__xludf.DUMMYFUNCTION("VALUE(REGEXEXTRACT(A7000, ""\d+""))"),10932.0)</f>
        <v>10932</v>
      </c>
    </row>
    <row r="7001">
      <c r="A7001" s="9" t="s">
        <v>24365</v>
      </c>
      <c r="B7001" s="9" t="s">
        <v>24366</v>
      </c>
      <c r="G7001" s="9" t="s">
        <v>24367</v>
      </c>
      <c r="O7001" s="10">
        <f>IFERROR(__xludf.DUMMYFUNCTION("VALUE(REGEXEXTRACT(A7001, ""\d+""))"),10933.0)</f>
        <v>10933</v>
      </c>
    </row>
    <row r="7002">
      <c r="A7002" s="9" t="s">
        <v>24368</v>
      </c>
      <c r="B7002" s="9" t="s">
        <v>24369</v>
      </c>
      <c r="G7002" s="9" t="s">
        <v>24370</v>
      </c>
      <c r="O7002" s="10">
        <f>IFERROR(__xludf.DUMMYFUNCTION("VALUE(REGEXEXTRACT(A7002, ""\d+""))"),10934.0)</f>
        <v>10934</v>
      </c>
    </row>
    <row r="7003">
      <c r="A7003" s="9" t="s">
        <v>24371</v>
      </c>
      <c r="B7003" s="9" t="s">
        <v>24372</v>
      </c>
      <c r="G7003" s="9" t="s">
        <v>24372</v>
      </c>
      <c r="O7003" s="10">
        <f>IFERROR(__xludf.DUMMYFUNCTION("VALUE(REGEXEXTRACT(A7003, ""\d+""))"),10935.0)</f>
        <v>10935</v>
      </c>
    </row>
    <row r="7004">
      <c r="A7004" s="9" t="s">
        <v>24373</v>
      </c>
      <c r="B7004" s="9" t="s">
        <v>24374</v>
      </c>
      <c r="G7004" s="9" t="s">
        <v>24374</v>
      </c>
      <c r="O7004" s="10">
        <f>IFERROR(__xludf.DUMMYFUNCTION("VALUE(REGEXEXTRACT(A7004, ""\d+""))"),10936.0)</f>
        <v>10936</v>
      </c>
    </row>
    <row r="7005">
      <c r="A7005" s="9" t="s">
        <v>24375</v>
      </c>
      <c r="B7005" s="9" t="s">
        <v>24376</v>
      </c>
      <c r="G7005" s="9" t="s">
        <v>24376</v>
      </c>
      <c r="O7005" s="10">
        <f>IFERROR(__xludf.DUMMYFUNCTION("VALUE(REGEXEXTRACT(A7005, ""\d+""))"),10938.0)</f>
        <v>10938</v>
      </c>
    </row>
    <row r="7006">
      <c r="A7006" s="9" t="s">
        <v>24377</v>
      </c>
      <c r="B7006" s="9" t="s">
        <v>24378</v>
      </c>
      <c r="G7006" s="9" t="s">
        <v>24378</v>
      </c>
      <c r="O7006" s="10">
        <f>IFERROR(__xludf.DUMMYFUNCTION("VALUE(REGEXEXTRACT(A7006, ""\d+""))"),10939.0)</f>
        <v>10939</v>
      </c>
    </row>
    <row r="7007">
      <c r="A7007" s="9" t="s">
        <v>24379</v>
      </c>
      <c r="B7007" s="9" t="s">
        <v>24380</v>
      </c>
      <c r="G7007" s="9" t="s">
        <v>24380</v>
      </c>
      <c r="O7007" s="10">
        <f>IFERROR(__xludf.DUMMYFUNCTION("VALUE(REGEXEXTRACT(A7007, ""\d+""))"),10940.0)</f>
        <v>10940</v>
      </c>
    </row>
    <row r="7008">
      <c r="A7008" s="9" t="s">
        <v>24381</v>
      </c>
      <c r="B7008" s="9" t="s">
        <v>24382</v>
      </c>
      <c r="G7008" s="9" t="s">
        <v>24382</v>
      </c>
      <c r="O7008" s="10">
        <f>IFERROR(__xludf.DUMMYFUNCTION("VALUE(REGEXEXTRACT(A7008, ""\d+""))"),10941.0)</f>
        <v>10941</v>
      </c>
    </row>
    <row r="7009">
      <c r="A7009" s="9" t="s">
        <v>24383</v>
      </c>
      <c r="B7009" s="9" t="s">
        <v>24384</v>
      </c>
      <c r="G7009" s="9" t="s">
        <v>24384</v>
      </c>
      <c r="O7009" s="10">
        <f>IFERROR(__xludf.DUMMYFUNCTION("VALUE(REGEXEXTRACT(A7009, ""\d+""))"),10942.0)</f>
        <v>10942</v>
      </c>
    </row>
    <row r="7010">
      <c r="A7010" s="9" t="s">
        <v>24385</v>
      </c>
      <c r="B7010" s="9" t="s">
        <v>24386</v>
      </c>
      <c r="G7010" s="9" t="s">
        <v>24386</v>
      </c>
      <c r="O7010" s="10">
        <f>IFERROR(__xludf.DUMMYFUNCTION("VALUE(REGEXEXTRACT(A7010, ""\d+""))"),10943.0)</f>
        <v>10943</v>
      </c>
    </row>
    <row r="7011">
      <c r="A7011" s="9" t="s">
        <v>24387</v>
      </c>
      <c r="B7011" s="9" t="s">
        <v>24388</v>
      </c>
      <c r="G7011" s="9" t="s">
        <v>24388</v>
      </c>
      <c r="O7011" s="10">
        <f>IFERROR(__xludf.DUMMYFUNCTION("VALUE(REGEXEXTRACT(A7011, ""\d+""))"),10944.0)</f>
        <v>10944</v>
      </c>
    </row>
    <row r="7012">
      <c r="A7012" s="9" t="s">
        <v>24389</v>
      </c>
      <c r="B7012" s="9" t="s">
        <v>24390</v>
      </c>
      <c r="G7012" s="9" t="s">
        <v>24390</v>
      </c>
      <c r="O7012" s="10">
        <f>IFERROR(__xludf.DUMMYFUNCTION("VALUE(REGEXEXTRACT(A7012, ""\d+""))"),10945.0)</f>
        <v>10945</v>
      </c>
    </row>
    <row r="7013">
      <c r="A7013" s="9" t="s">
        <v>24391</v>
      </c>
      <c r="B7013" s="9" t="s">
        <v>24392</v>
      </c>
      <c r="G7013" s="9" t="s">
        <v>24392</v>
      </c>
      <c r="O7013" s="10">
        <f>IFERROR(__xludf.DUMMYFUNCTION("VALUE(REGEXEXTRACT(A7013, ""\d+""))"),10946.0)</f>
        <v>10946</v>
      </c>
    </row>
    <row r="7014">
      <c r="A7014" s="9" t="s">
        <v>24393</v>
      </c>
      <c r="B7014" s="9" t="s">
        <v>24394</v>
      </c>
      <c r="G7014" s="9" t="s">
        <v>24394</v>
      </c>
      <c r="O7014" s="10">
        <f>IFERROR(__xludf.DUMMYFUNCTION("VALUE(REGEXEXTRACT(A7014, ""\d+""))"),10947.0)</f>
        <v>10947</v>
      </c>
    </row>
    <row r="7015">
      <c r="A7015" s="9" t="s">
        <v>24395</v>
      </c>
      <c r="B7015" s="9" t="s">
        <v>24396</v>
      </c>
      <c r="G7015" s="9" t="s">
        <v>24397</v>
      </c>
      <c r="O7015" s="10">
        <f>IFERROR(__xludf.DUMMYFUNCTION("VALUE(REGEXEXTRACT(A7015, ""\d+""))"),10948.0)</f>
        <v>10948</v>
      </c>
    </row>
    <row r="7016">
      <c r="A7016" s="9" t="s">
        <v>24398</v>
      </c>
      <c r="B7016" s="9" t="s">
        <v>24399</v>
      </c>
      <c r="G7016" s="9" t="s">
        <v>24400</v>
      </c>
      <c r="O7016" s="10">
        <f>IFERROR(__xludf.DUMMYFUNCTION("VALUE(REGEXEXTRACT(A7016, ""\d+""))"),10949.0)</f>
        <v>10949</v>
      </c>
    </row>
    <row r="7017">
      <c r="A7017" s="9" t="s">
        <v>24401</v>
      </c>
      <c r="B7017" s="9" t="s">
        <v>24402</v>
      </c>
      <c r="G7017" s="9" t="s">
        <v>24402</v>
      </c>
      <c r="O7017" s="10">
        <f>IFERROR(__xludf.DUMMYFUNCTION("VALUE(REGEXEXTRACT(A7017, ""\d+""))"),10950.0)</f>
        <v>10950</v>
      </c>
    </row>
    <row r="7018">
      <c r="A7018" s="9" t="s">
        <v>24403</v>
      </c>
      <c r="B7018" s="9" t="s">
        <v>24404</v>
      </c>
      <c r="G7018" s="9" t="s">
        <v>24404</v>
      </c>
      <c r="O7018" s="10">
        <f>IFERROR(__xludf.DUMMYFUNCTION("VALUE(REGEXEXTRACT(A7018, ""\d+""))"),10951.0)</f>
        <v>10951</v>
      </c>
    </row>
    <row r="7019">
      <c r="A7019" s="9" t="s">
        <v>24405</v>
      </c>
      <c r="B7019" s="9" t="s">
        <v>24406</v>
      </c>
      <c r="G7019" s="9" t="s">
        <v>24407</v>
      </c>
      <c r="O7019" s="10">
        <f>IFERROR(__xludf.DUMMYFUNCTION("VALUE(REGEXEXTRACT(A7019, ""\d+""))"),10952.0)</f>
        <v>10952</v>
      </c>
    </row>
    <row r="7020">
      <c r="A7020" s="9" t="s">
        <v>24408</v>
      </c>
      <c r="B7020" s="9" t="s">
        <v>24409</v>
      </c>
      <c r="G7020" s="9" t="s">
        <v>24409</v>
      </c>
      <c r="O7020" s="10">
        <f>IFERROR(__xludf.DUMMYFUNCTION("VALUE(REGEXEXTRACT(A7020, ""\d+""))"),10953.0)</f>
        <v>10953</v>
      </c>
    </row>
    <row r="7021">
      <c r="A7021" s="9" t="s">
        <v>24410</v>
      </c>
      <c r="B7021" s="9" t="s">
        <v>24411</v>
      </c>
      <c r="G7021" s="9" t="s">
        <v>24411</v>
      </c>
      <c r="O7021" s="10">
        <f>IFERROR(__xludf.DUMMYFUNCTION("VALUE(REGEXEXTRACT(A7021, ""\d+""))"),10954.0)</f>
        <v>10954</v>
      </c>
    </row>
    <row r="7022">
      <c r="A7022" s="9" t="s">
        <v>24412</v>
      </c>
      <c r="B7022" s="9" t="s">
        <v>24413</v>
      </c>
      <c r="G7022" s="9" t="s">
        <v>24413</v>
      </c>
      <c r="O7022" s="10">
        <f>IFERROR(__xludf.DUMMYFUNCTION("VALUE(REGEXEXTRACT(A7022, ""\d+""))"),10955.0)</f>
        <v>10955</v>
      </c>
    </row>
    <row r="7023">
      <c r="A7023" s="9" t="s">
        <v>24414</v>
      </c>
      <c r="B7023" s="9" t="s">
        <v>24415</v>
      </c>
      <c r="G7023" s="9" t="s">
        <v>24416</v>
      </c>
      <c r="O7023" s="10">
        <f>IFERROR(__xludf.DUMMYFUNCTION("VALUE(REGEXEXTRACT(A7023, ""\d+""))"),10956.0)</f>
        <v>10956</v>
      </c>
    </row>
    <row r="7024">
      <c r="A7024" s="9" t="s">
        <v>24417</v>
      </c>
      <c r="B7024" s="9" t="s">
        <v>24418</v>
      </c>
      <c r="G7024" s="9" t="s">
        <v>24419</v>
      </c>
      <c r="O7024" s="10">
        <f>IFERROR(__xludf.DUMMYFUNCTION("VALUE(REGEXEXTRACT(A7024, ""\d+""))"),10958.0)</f>
        <v>10958</v>
      </c>
    </row>
    <row r="7025">
      <c r="A7025" s="9" t="s">
        <v>24420</v>
      </c>
      <c r="B7025" s="9" t="s">
        <v>24421</v>
      </c>
      <c r="G7025" s="9" t="s">
        <v>24422</v>
      </c>
      <c r="O7025" s="10">
        <f>IFERROR(__xludf.DUMMYFUNCTION("VALUE(REGEXEXTRACT(A7025, ""\d+""))"),10959.0)</f>
        <v>10959</v>
      </c>
    </row>
    <row r="7026">
      <c r="A7026" s="9" t="s">
        <v>24423</v>
      </c>
      <c r="B7026" s="9" t="s">
        <v>24424</v>
      </c>
      <c r="G7026" s="9" t="s">
        <v>24425</v>
      </c>
      <c r="O7026" s="10">
        <f>IFERROR(__xludf.DUMMYFUNCTION("VALUE(REGEXEXTRACT(A7026, ""\d+""))"),10960.0)</f>
        <v>10960</v>
      </c>
    </row>
    <row r="7027">
      <c r="A7027" s="9" t="s">
        <v>24426</v>
      </c>
      <c r="B7027" s="9" t="s">
        <v>24427</v>
      </c>
      <c r="G7027" s="9" t="s">
        <v>24428</v>
      </c>
      <c r="O7027" s="10">
        <f>IFERROR(__xludf.DUMMYFUNCTION("VALUE(REGEXEXTRACT(A7027, ""\d+""))"),10961.0)</f>
        <v>10961</v>
      </c>
    </row>
    <row r="7028">
      <c r="A7028" s="9" t="s">
        <v>24429</v>
      </c>
      <c r="B7028" s="9" t="s">
        <v>24430</v>
      </c>
      <c r="G7028" s="9" t="s">
        <v>24431</v>
      </c>
      <c r="O7028" s="10">
        <f>IFERROR(__xludf.DUMMYFUNCTION("VALUE(REGEXEXTRACT(A7028, ""\d+""))"),10964.0)</f>
        <v>10964</v>
      </c>
    </row>
    <row r="7029">
      <c r="A7029" s="9" t="s">
        <v>24432</v>
      </c>
      <c r="B7029" s="9" t="s">
        <v>24433</v>
      </c>
      <c r="G7029" s="9" t="s">
        <v>24434</v>
      </c>
      <c r="O7029" s="10">
        <f>IFERROR(__xludf.DUMMYFUNCTION("VALUE(REGEXEXTRACT(A7029, ""\d+""))"),10965.0)</f>
        <v>10965</v>
      </c>
    </row>
    <row r="7030">
      <c r="A7030" s="9" t="s">
        <v>24435</v>
      </c>
      <c r="B7030" s="9" t="s">
        <v>24436</v>
      </c>
      <c r="G7030" s="9" t="s">
        <v>24437</v>
      </c>
      <c r="O7030" s="10">
        <f>IFERROR(__xludf.DUMMYFUNCTION("VALUE(REGEXEXTRACT(A7030, ""\d+""))"),10966.0)</f>
        <v>10966</v>
      </c>
    </row>
    <row r="7031">
      <c r="A7031" s="9" t="s">
        <v>24438</v>
      </c>
      <c r="B7031" s="9" t="s">
        <v>24439</v>
      </c>
      <c r="G7031" s="9" t="s">
        <v>24440</v>
      </c>
      <c r="O7031" s="10">
        <f>IFERROR(__xludf.DUMMYFUNCTION("VALUE(REGEXEXTRACT(A7031, ""\d+""))"),10967.0)</f>
        <v>10967</v>
      </c>
    </row>
    <row r="7032">
      <c r="A7032" s="9" t="s">
        <v>24441</v>
      </c>
      <c r="B7032" s="9" t="s">
        <v>24442</v>
      </c>
      <c r="G7032" s="9" t="s">
        <v>24443</v>
      </c>
      <c r="O7032" s="10">
        <f>IFERROR(__xludf.DUMMYFUNCTION("VALUE(REGEXEXTRACT(A7032, ""\d+""))"),10968.0)</f>
        <v>10968</v>
      </c>
    </row>
    <row r="7033">
      <c r="A7033" s="9" t="s">
        <v>24444</v>
      </c>
      <c r="B7033" s="9" t="s">
        <v>24445</v>
      </c>
      <c r="G7033" s="9" t="s">
        <v>24446</v>
      </c>
      <c r="O7033" s="10">
        <f>IFERROR(__xludf.DUMMYFUNCTION("VALUE(REGEXEXTRACT(A7033, ""\d+""))"),10969.0)</f>
        <v>10969</v>
      </c>
    </row>
    <row r="7034">
      <c r="A7034" s="9" t="s">
        <v>24447</v>
      </c>
      <c r="B7034" s="9" t="s">
        <v>24448</v>
      </c>
      <c r="G7034" s="9" t="s">
        <v>24449</v>
      </c>
      <c r="O7034" s="10">
        <f>IFERROR(__xludf.DUMMYFUNCTION("VALUE(REGEXEXTRACT(A7034, ""\d+""))"),10970.0)</f>
        <v>10970</v>
      </c>
    </row>
    <row r="7035">
      <c r="A7035" s="9" t="s">
        <v>24450</v>
      </c>
      <c r="B7035" s="9" t="s">
        <v>24451</v>
      </c>
      <c r="G7035" s="9" t="s">
        <v>24452</v>
      </c>
      <c r="O7035" s="10">
        <f>IFERROR(__xludf.DUMMYFUNCTION("VALUE(REGEXEXTRACT(A7035, ""\d+""))"),10971.0)</f>
        <v>10971</v>
      </c>
    </row>
    <row r="7036">
      <c r="A7036" s="9" t="s">
        <v>24453</v>
      </c>
      <c r="B7036" s="9" t="s">
        <v>24454</v>
      </c>
      <c r="G7036" s="9" t="s">
        <v>24455</v>
      </c>
      <c r="O7036" s="10">
        <f>IFERROR(__xludf.DUMMYFUNCTION("VALUE(REGEXEXTRACT(A7036, ""\d+""))"),10972.0)</f>
        <v>10972</v>
      </c>
    </row>
    <row r="7037">
      <c r="A7037" s="9" t="s">
        <v>24456</v>
      </c>
      <c r="B7037" s="9" t="s">
        <v>24457</v>
      </c>
      <c r="G7037" s="9" t="s">
        <v>24458</v>
      </c>
      <c r="O7037" s="10">
        <f>IFERROR(__xludf.DUMMYFUNCTION("VALUE(REGEXEXTRACT(A7037, ""\d+""))"),10973.0)</f>
        <v>10973</v>
      </c>
    </row>
    <row r="7038">
      <c r="A7038" s="9" t="s">
        <v>24459</v>
      </c>
      <c r="B7038" s="9" t="s">
        <v>24460</v>
      </c>
      <c r="G7038" s="9" t="s">
        <v>24461</v>
      </c>
      <c r="O7038" s="10">
        <f>IFERROR(__xludf.DUMMYFUNCTION("VALUE(REGEXEXTRACT(A7038, ""\d+""))"),10974.0)</f>
        <v>10974</v>
      </c>
    </row>
    <row r="7039">
      <c r="A7039" s="9" t="s">
        <v>24462</v>
      </c>
      <c r="B7039" s="9" t="s">
        <v>24463</v>
      </c>
      <c r="G7039" s="9" t="s">
        <v>24464</v>
      </c>
      <c r="O7039" s="10">
        <f>IFERROR(__xludf.DUMMYFUNCTION("VALUE(REGEXEXTRACT(A7039, ""\d+""))"),10975.0)</f>
        <v>10975</v>
      </c>
    </row>
    <row r="7040">
      <c r="A7040" s="9" t="s">
        <v>24465</v>
      </c>
      <c r="B7040" s="9" t="s">
        <v>24466</v>
      </c>
      <c r="G7040" s="9" t="s">
        <v>24467</v>
      </c>
      <c r="O7040" s="10">
        <f>IFERROR(__xludf.DUMMYFUNCTION("VALUE(REGEXEXTRACT(A7040, ""\d+""))"),10976.0)</f>
        <v>10976</v>
      </c>
    </row>
    <row r="7041">
      <c r="A7041" s="9" t="s">
        <v>24468</v>
      </c>
      <c r="B7041" s="9" t="s">
        <v>24469</v>
      </c>
      <c r="G7041" s="9" t="s">
        <v>24470</v>
      </c>
      <c r="O7041" s="10">
        <f>IFERROR(__xludf.DUMMYFUNCTION("VALUE(REGEXEXTRACT(A7041, ""\d+""))"),10977.0)</f>
        <v>10977</v>
      </c>
    </row>
    <row r="7042">
      <c r="A7042" s="9" t="s">
        <v>24471</v>
      </c>
      <c r="B7042" s="9" t="s">
        <v>24472</v>
      </c>
      <c r="G7042" s="9" t="s">
        <v>24473</v>
      </c>
      <c r="O7042" s="10">
        <f>IFERROR(__xludf.DUMMYFUNCTION("VALUE(REGEXEXTRACT(A7042, ""\d+""))"),10978.0)</f>
        <v>10978</v>
      </c>
    </row>
    <row r="7043">
      <c r="A7043" s="9" t="s">
        <v>24474</v>
      </c>
      <c r="B7043" s="9" t="s">
        <v>24475</v>
      </c>
      <c r="G7043" s="9" t="s">
        <v>24476</v>
      </c>
      <c r="O7043" s="10">
        <f>IFERROR(__xludf.DUMMYFUNCTION("VALUE(REGEXEXTRACT(A7043, ""\d+""))"),10979.0)</f>
        <v>10979</v>
      </c>
    </row>
    <row r="7044">
      <c r="A7044" s="9" t="s">
        <v>24477</v>
      </c>
      <c r="B7044" s="9" t="s">
        <v>24478</v>
      </c>
      <c r="G7044" s="9" t="s">
        <v>24479</v>
      </c>
      <c r="O7044" s="10">
        <f>IFERROR(__xludf.DUMMYFUNCTION("VALUE(REGEXEXTRACT(A7044, ""\d+""))"),10980.0)</f>
        <v>10980</v>
      </c>
    </row>
    <row r="7045">
      <c r="A7045" s="9" t="s">
        <v>24480</v>
      </c>
      <c r="B7045" s="9" t="s">
        <v>24481</v>
      </c>
      <c r="G7045" s="9" t="s">
        <v>24482</v>
      </c>
      <c r="O7045" s="10">
        <f>IFERROR(__xludf.DUMMYFUNCTION("VALUE(REGEXEXTRACT(A7045, ""\d+""))"),10981.0)</f>
        <v>10981</v>
      </c>
    </row>
    <row r="7046">
      <c r="A7046" s="9" t="s">
        <v>24483</v>
      </c>
      <c r="B7046" s="9" t="s">
        <v>24484</v>
      </c>
      <c r="G7046" s="9" t="s">
        <v>24485</v>
      </c>
      <c r="O7046" s="10">
        <f>IFERROR(__xludf.DUMMYFUNCTION("VALUE(REGEXEXTRACT(A7046, ""\d+""))"),10982.0)</f>
        <v>10982</v>
      </c>
    </row>
    <row r="7047">
      <c r="A7047" s="9" t="s">
        <v>24486</v>
      </c>
      <c r="B7047" s="9" t="s">
        <v>24487</v>
      </c>
      <c r="G7047" s="9" t="s">
        <v>24488</v>
      </c>
      <c r="O7047" s="10">
        <f>IFERROR(__xludf.DUMMYFUNCTION("VALUE(REGEXEXTRACT(A7047, ""\d+""))"),10983.0)</f>
        <v>10983</v>
      </c>
    </row>
    <row r="7048">
      <c r="A7048" s="9" t="s">
        <v>24489</v>
      </c>
      <c r="B7048" s="9" t="s">
        <v>24490</v>
      </c>
      <c r="G7048" s="9" t="s">
        <v>24491</v>
      </c>
      <c r="O7048" s="10">
        <f>IFERROR(__xludf.DUMMYFUNCTION("VALUE(REGEXEXTRACT(A7048, ""\d+""))"),10984.0)</f>
        <v>10984</v>
      </c>
    </row>
    <row r="7049">
      <c r="A7049" s="9" t="s">
        <v>24492</v>
      </c>
      <c r="B7049" s="9" t="s">
        <v>24493</v>
      </c>
      <c r="G7049" s="9" t="s">
        <v>24494</v>
      </c>
      <c r="O7049" s="10">
        <f>IFERROR(__xludf.DUMMYFUNCTION("VALUE(REGEXEXTRACT(A7049, ""\d+""))"),10985.0)</f>
        <v>10985</v>
      </c>
    </row>
    <row r="7050">
      <c r="A7050" s="9" t="s">
        <v>24495</v>
      </c>
      <c r="B7050" s="9" t="s">
        <v>24496</v>
      </c>
      <c r="G7050" s="9" t="s">
        <v>24497</v>
      </c>
      <c r="O7050" s="10">
        <f>IFERROR(__xludf.DUMMYFUNCTION("VALUE(REGEXEXTRACT(A7050, ""\d+""))"),10986.0)</f>
        <v>10986</v>
      </c>
    </row>
    <row r="7051">
      <c r="A7051" s="9" t="s">
        <v>24498</v>
      </c>
      <c r="B7051" s="9" t="s">
        <v>24499</v>
      </c>
      <c r="G7051" s="9" t="s">
        <v>24500</v>
      </c>
      <c r="O7051" s="10">
        <f>IFERROR(__xludf.DUMMYFUNCTION("VALUE(REGEXEXTRACT(A7051, ""\d+""))"),10987.0)</f>
        <v>10987</v>
      </c>
    </row>
    <row r="7052">
      <c r="A7052" s="9" t="s">
        <v>24501</v>
      </c>
      <c r="B7052" s="9" t="s">
        <v>24502</v>
      </c>
      <c r="G7052" s="9" t="s">
        <v>24503</v>
      </c>
      <c r="O7052" s="10">
        <f>IFERROR(__xludf.DUMMYFUNCTION("VALUE(REGEXEXTRACT(A7052, ""\d+""))"),10988.0)</f>
        <v>10988</v>
      </c>
    </row>
    <row r="7053">
      <c r="A7053" s="9" t="s">
        <v>24504</v>
      </c>
      <c r="B7053" s="9" t="s">
        <v>24505</v>
      </c>
      <c r="G7053" s="9" t="s">
        <v>24506</v>
      </c>
      <c r="O7053" s="10">
        <f>IFERROR(__xludf.DUMMYFUNCTION("VALUE(REGEXEXTRACT(A7053, ""\d+""))"),10989.0)</f>
        <v>10989</v>
      </c>
    </row>
    <row r="7054">
      <c r="A7054" s="9" t="s">
        <v>24507</v>
      </c>
      <c r="B7054" s="9" t="s">
        <v>24508</v>
      </c>
      <c r="G7054" s="9" t="s">
        <v>24508</v>
      </c>
      <c r="O7054" s="10">
        <f>IFERROR(__xludf.DUMMYFUNCTION("VALUE(REGEXEXTRACT(A7054, ""\d+""))"),10990.0)</f>
        <v>10990</v>
      </c>
    </row>
    <row r="7055">
      <c r="A7055" s="9" t="s">
        <v>24509</v>
      </c>
      <c r="B7055" s="9" t="s">
        <v>24510</v>
      </c>
      <c r="G7055" s="9" t="s">
        <v>24510</v>
      </c>
      <c r="O7055" s="10">
        <f>IFERROR(__xludf.DUMMYFUNCTION("VALUE(REGEXEXTRACT(A7055, ""\d+""))"),10991.0)</f>
        <v>10991</v>
      </c>
    </row>
    <row r="7056">
      <c r="A7056" s="9" t="s">
        <v>24511</v>
      </c>
      <c r="B7056" s="9" t="s">
        <v>24512</v>
      </c>
      <c r="G7056" s="9" t="s">
        <v>24512</v>
      </c>
      <c r="O7056" s="10">
        <f>IFERROR(__xludf.DUMMYFUNCTION("VALUE(REGEXEXTRACT(A7056, ""\d+""))"),10992.0)</f>
        <v>10992</v>
      </c>
    </row>
    <row r="7057">
      <c r="A7057" s="9" t="s">
        <v>24513</v>
      </c>
      <c r="B7057" s="9" t="s">
        <v>24514</v>
      </c>
      <c r="G7057" s="9" t="s">
        <v>24514</v>
      </c>
      <c r="O7057" s="10">
        <f>IFERROR(__xludf.DUMMYFUNCTION("VALUE(REGEXEXTRACT(A7057, ""\d+""))"),10993.0)</f>
        <v>10993</v>
      </c>
    </row>
    <row r="7058">
      <c r="A7058" s="9" t="s">
        <v>24515</v>
      </c>
      <c r="B7058" s="9" t="s">
        <v>24516</v>
      </c>
      <c r="G7058" s="9" t="s">
        <v>24516</v>
      </c>
      <c r="O7058" s="10">
        <f>IFERROR(__xludf.DUMMYFUNCTION("VALUE(REGEXEXTRACT(A7058, ""\d+""))"),10994.0)</f>
        <v>10994</v>
      </c>
    </row>
    <row r="7059">
      <c r="A7059" s="9" t="s">
        <v>24517</v>
      </c>
      <c r="B7059" s="9" t="s">
        <v>24518</v>
      </c>
      <c r="G7059" s="9" t="s">
        <v>24518</v>
      </c>
      <c r="O7059" s="10">
        <f>IFERROR(__xludf.DUMMYFUNCTION("VALUE(REGEXEXTRACT(A7059, ""\d+""))"),10995.0)</f>
        <v>10995</v>
      </c>
    </row>
    <row r="7060">
      <c r="A7060" s="9" t="s">
        <v>24519</v>
      </c>
      <c r="B7060" s="9" t="s">
        <v>24520</v>
      </c>
      <c r="G7060" s="9" t="s">
        <v>24521</v>
      </c>
      <c r="O7060" s="10">
        <f>IFERROR(__xludf.DUMMYFUNCTION("VALUE(REGEXEXTRACT(A7060, ""\d+""))"),10996.0)</f>
        <v>10996</v>
      </c>
    </row>
    <row r="7061">
      <c r="A7061" s="9" t="s">
        <v>24522</v>
      </c>
      <c r="B7061" s="9" t="s">
        <v>24523</v>
      </c>
      <c r="G7061" s="9" t="s">
        <v>24524</v>
      </c>
      <c r="O7061" s="10">
        <f>IFERROR(__xludf.DUMMYFUNCTION("VALUE(REGEXEXTRACT(A7061, ""\d+""))"),10997.0)</f>
        <v>10997</v>
      </c>
    </row>
    <row r="7062">
      <c r="A7062" s="9" t="s">
        <v>24525</v>
      </c>
      <c r="B7062" s="9" t="s">
        <v>24526</v>
      </c>
      <c r="G7062" s="9" t="s">
        <v>24527</v>
      </c>
      <c r="O7062" s="10">
        <f>IFERROR(__xludf.DUMMYFUNCTION("VALUE(REGEXEXTRACT(A7062, ""\d+""))"),10999.0)</f>
        <v>10999</v>
      </c>
    </row>
    <row r="7063">
      <c r="A7063" s="9" t="s">
        <v>24528</v>
      </c>
      <c r="B7063" s="9" t="s">
        <v>24529</v>
      </c>
      <c r="G7063" s="9" t="s">
        <v>24530</v>
      </c>
      <c r="O7063" s="10">
        <f>IFERROR(__xludf.DUMMYFUNCTION("VALUE(REGEXEXTRACT(A7063, ""\d+""))"),11000.0)</f>
        <v>11000</v>
      </c>
    </row>
    <row r="7064">
      <c r="A7064" s="9" t="s">
        <v>24531</v>
      </c>
      <c r="B7064" s="9" t="s">
        <v>24532</v>
      </c>
      <c r="G7064" s="9" t="s">
        <v>24533</v>
      </c>
      <c r="O7064" s="10">
        <f>IFERROR(__xludf.DUMMYFUNCTION("VALUE(REGEXEXTRACT(A7064, ""\d+""))"),11001.0)</f>
        <v>11001</v>
      </c>
    </row>
    <row r="7065">
      <c r="A7065" s="9" t="s">
        <v>24534</v>
      </c>
      <c r="B7065" s="9" t="s">
        <v>24535</v>
      </c>
      <c r="G7065" s="9" t="s">
        <v>24536</v>
      </c>
      <c r="O7065" s="10">
        <f>IFERROR(__xludf.DUMMYFUNCTION("VALUE(REGEXEXTRACT(A7065, ""\d+""))"),11002.0)</f>
        <v>11002</v>
      </c>
    </row>
    <row r="7066">
      <c r="A7066" s="9" t="s">
        <v>24537</v>
      </c>
      <c r="B7066" s="9" t="s">
        <v>24538</v>
      </c>
      <c r="G7066" s="9" t="s">
        <v>24539</v>
      </c>
      <c r="O7066" s="10">
        <f>IFERROR(__xludf.DUMMYFUNCTION("VALUE(REGEXEXTRACT(A7066, ""\d+""))"),11003.0)</f>
        <v>11003</v>
      </c>
    </row>
    <row r="7067">
      <c r="A7067" s="9" t="s">
        <v>24540</v>
      </c>
      <c r="B7067" s="9" t="s">
        <v>24541</v>
      </c>
      <c r="G7067" s="9" t="s">
        <v>24542</v>
      </c>
      <c r="O7067" s="10">
        <f>IFERROR(__xludf.DUMMYFUNCTION("VALUE(REGEXEXTRACT(A7067, ""\d+""))"),11004.0)</f>
        <v>11004</v>
      </c>
    </row>
    <row r="7068">
      <c r="A7068" s="9" t="s">
        <v>24543</v>
      </c>
      <c r="B7068" s="9" t="s">
        <v>24544</v>
      </c>
      <c r="G7068" s="9" t="s">
        <v>24544</v>
      </c>
      <c r="O7068" s="10">
        <f>IFERROR(__xludf.DUMMYFUNCTION("VALUE(REGEXEXTRACT(A7068, ""\d+""))"),11006.0)</f>
        <v>11006</v>
      </c>
    </row>
    <row r="7069">
      <c r="A7069" s="9" t="s">
        <v>24545</v>
      </c>
      <c r="B7069" s="9" t="s">
        <v>24546</v>
      </c>
      <c r="G7069" s="9" t="s">
        <v>24547</v>
      </c>
      <c r="O7069" s="10">
        <f>IFERROR(__xludf.DUMMYFUNCTION("VALUE(REGEXEXTRACT(A7069, ""\d+""))"),11007.0)</f>
        <v>11007</v>
      </c>
    </row>
    <row r="7070">
      <c r="A7070" s="9" t="s">
        <v>24548</v>
      </c>
      <c r="B7070" s="9" t="s">
        <v>24549</v>
      </c>
      <c r="G7070" s="9" t="s">
        <v>24550</v>
      </c>
      <c r="O7070" s="10">
        <f>IFERROR(__xludf.DUMMYFUNCTION("VALUE(REGEXEXTRACT(A7070, ""\d+""))"),11008.0)</f>
        <v>11008</v>
      </c>
    </row>
    <row r="7071">
      <c r="A7071" s="9" t="s">
        <v>24551</v>
      </c>
      <c r="B7071" s="9" t="s">
        <v>24552</v>
      </c>
      <c r="G7071" s="9" t="s">
        <v>24553</v>
      </c>
      <c r="O7071" s="10">
        <f>IFERROR(__xludf.DUMMYFUNCTION("VALUE(REGEXEXTRACT(A7071, ""\d+""))"),11009.0)</f>
        <v>11009</v>
      </c>
    </row>
    <row r="7072">
      <c r="A7072" s="9" t="s">
        <v>24554</v>
      </c>
      <c r="B7072" s="9" t="s">
        <v>24555</v>
      </c>
      <c r="G7072" s="9" t="s">
        <v>24556</v>
      </c>
      <c r="O7072" s="10">
        <f>IFERROR(__xludf.DUMMYFUNCTION("VALUE(REGEXEXTRACT(A7072, ""\d+""))"),11010.0)</f>
        <v>11010</v>
      </c>
    </row>
    <row r="7073">
      <c r="A7073" s="9" t="s">
        <v>24557</v>
      </c>
      <c r="B7073" s="9" t="s">
        <v>24558</v>
      </c>
      <c r="G7073" s="9" t="s">
        <v>24559</v>
      </c>
      <c r="O7073" s="10">
        <f>IFERROR(__xludf.DUMMYFUNCTION("VALUE(REGEXEXTRACT(A7073, ""\d+""))"),11011.0)</f>
        <v>11011</v>
      </c>
    </row>
    <row r="7074">
      <c r="A7074" s="9" t="s">
        <v>24560</v>
      </c>
      <c r="B7074" s="9" t="s">
        <v>24561</v>
      </c>
      <c r="G7074" s="9" t="s">
        <v>24562</v>
      </c>
      <c r="O7074" s="10">
        <f>IFERROR(__xludf.DUMMYFUNCTION("VALUE(REGEXEXTRACT(A7074, ""\d+""))"),11012.0)</f>
        <v>11012</v>
      </c>
    </row>
    <row r="7075">
      <c r="A7075" s="9" t="s">
        <v>24563</v>
      </c>
      <c r="B7075" s="9" t="s">
        <v>24564</v>
      </c>
      <c r="G7075" s="9" t="s">
        <v>24565</v>
      </c>
      <c r="O7075" s="10">
        <f>IFERROR(__xludf.DUMMYFUNCTION("VALUE(REGEXEXTRACT(A7075, ""\d+""))"),11013.0)</f>
        <v>11013</v>
      </c>
    </row>
    <row r="7076">
      <c r="A7076" s="9" t="s">
        <v>24566</v>
      </c>
      <c r="B7076" s="9" t="s">
        <v>24567</v>
      </c>
      <c r="G7076" s="9" t="s">
        <v>24568</v>
      </c>
      <c r="O7076" s="10">
        <f>IFERROR(__xludf.DUMMYFUNCTION("VALUE(REGEXEXTRACT(A7076, ""\d+""))"),11014.0)</f>
        <v>11014</v>
      </c>
    </row>
    <row r="7077">
      <c r="A7077" s="9" t="s">
        <v>24569</v>
      </c>
      <c r="B7077" s="9" t="s">
        <v>24570</v>
      </c>
      <c r="G7077" s="9" t="s">
        <v>24571</v>
      </c>
      <c r="O7077" s="10">
        <f>IFERROR(__xludf.DUMMYFUNCTION("VALUE(REGEXEXTRACT(A7077, ""\d+""))"),11015.0)</f>
        <v>11015</v>
      </c>
    </row>
    <row r="7078">
      <c r="A7078" s="9" t="s">
        <v>24572</v>
      </c>
      <c r="B7078" s="9" t="s">
        <v>24573</v>
      </c>
      <c r="G7078" s="9" t="s">
        <v>24574</v>
      </c>
      <c r="O7078" s="10">
        <f>IFERROR(__xludf.DUMMYFUNCTION("VALUE(REGEXEXTRACT(A7078, ""\d+""))"),11016.0)</f>
        <v>11016</v>
      </c>
    </row>
    <row r="7079">
      <c r="A7079" s="9" t="s">
        <v>24575</v>
      </c>
      <c r="B7079" s="9" t="s">
        <v>24576</v>
      </c>
      <c r="G7079" s="9" t="s">
        <v>24577</v>
      </c>
      <c r="O7079" s="10">
        <f>IFERROR(__xludf.DUMMYFUNCTION("VALUE(REGEXEXTRACT(A7079, ""\d+""))"),11017.0)</f>
        <v>11017</v>
      </c>
    </row>
    <row r="7080">
      <c r="A7080" s="9" t="s">
        <v>24578</v>
      </c>
      <c r="B7080" s="9" t="s">
        <v>24579</v>
      </c>
      <c r="G7080" s="9" t="s">
        <v>24580</v>
      </c>
      <c r="O7080" s="10">
        <f>IFERROR(__xludf.DUMMYFUNCTION("VALUE(REGEXEXTRACT(A7080, ""\d+""))"),11018.0)</f>
        <v>11018</v>
      </c>
    </row>
    <row r="7081">
      <c r="A7081" s="9" t="s">
        <v>24581</v>
      </c>
      <c r="B7081" s="9" t="s">
        <v>24582</v>
      </c>
      <c r="G7081" s="9" t="s">
        <v>24583</v>
      </c>
      <c r="O7081" s="10">
        <f>IFERROR(__xludf.DUMMYFUNCTION("VALUE(REGEXEXTRACT(A7081, ""\d+""))"),11019.0)</f>
        <v>11019</v>
      </c>
    </row>
    <row r="7082">
      <c r="A7082" s="9" t="s">
        <v>24584</v>
      </c>
      <c r="B7082" s="9" t="s">
        <v>24585</v>
      </c>
      <c r="G7082" s="9" t="s">
        <v>24586</v>
      </c>
      <c r="O7082" s="10">
        <f>IFERROR(__xludf.DUMMYFUNCTION("VALUE(REGEXEXTRACT(A7082, ""\d+""))"),11020.0)</f>
        <v>11020</v>
      </c>
    </row>
    <row r="7083">
      <c r="A7083" s="9" t="s">
        <v>24587</v>
      </c>
      <c r="B7083" s="9" t="s">
        <v>24588</v>
      </c>
      <c r="G7083" s="9" t="s">
        <v>24589</v>
      </c>
      <c r="O7083" s="10">
        <f>IFERROR(__xludf.DUMMYFUNCTION("VALUE(REGEXEXTRACT(A7083, ""\d+""))"),11021.0)</f>
        <v>11021</v>
      </c>
    </row>
    <row r="7084">
      <c r="A7084" s="9" t="s">
        <v>24590</v>
      </c>
      <c r="B7084" s="9" t="s">
        <v>24591</v>
      </c>
      <c r="G7084" s="9" t="s">
        <v>24592</v>
      </c>
      <c r="O7084" s="10">
        <f>IFERROR(__xludf.DUMMYFUNCTION("VALUE(REGEXEXTRACT(A7084, ""\d+""))"),11022.0)</f>
        <v>11022</v>
      </c>
    </row>
    <row r="7085">
      <c r="A7085" s="9" t="s">
        <v>24593</v>
      </c>
      <c r="B7085" s="9" t="s">
        <v>24594</v>
      </c>
      <c r="G7085" s="9" t="s">
        <v>24595</v>
      </c>
      <c r="O7085" s="10">
        <f>IFERROR(__xludf.DUMMYFUNCTION("VALUE(REGEXEXTRACT(A7085, ""\d+""))"),11023.0)</f>
        <v>11023</v>
      </c>
    </row>
    <row r="7086">
      <c r="A7086" s="9" t="s">
        <v>24596</v>
      </c>
      <c r="B7086" s="9" t="s">
        <v>24597</v>
      </c>
      <c r="G7086" s="9" t="s">
        <v>24598</v>
      </c>
      <c r="O7086" s="10">
        <f>IFERROR(__xludf.DUMMYFUNCTION("VALUE(REGEXEXTRACT(A7086, ""\d+""))"),11024.0)</f>
        <v>11024</v>
      </c>
    </row>
    <row r="7087">
      <c r="A7087" s="9" t="s">
        <v>24599</v>
      </c>
      <c r="B7087" s="9" t="s">
        <v>24600</v>
      </c>
      <c r="G7087" s="9" t="s">
        <v>24601</v>
      </c>
      <c r="O7087" s="10">
        <f>IFERROR(__xludf.DUMMYFUNCTION("VALUE(REGEXEXTRACT(A7087, ""\d+""))"),11025.0)</f>
        <v>11025</v>
      </c>
    </row>
    <row r="7088">
      <c r="A7088" s="9" t="s">
        <v>24602</v>
      </c>
      <c r="B7088" s="9" t="s">
        <v>24603</v>
      </c>
      <c r="G7088" s="9" t="s">
        <v>24604</v>
      </c>
      <c r="O7088" s="10">
        <f>IFERROR(__xludf.DUMMYFUNCTION("VALUE(REGEXEXTRACT(A7088, ""\d+""))"),11026.0)</f>
        <v>11026</v>
      </c>
    </row>
    <row r="7089">
      <c r="A7089" s="9" t="s">
        <v>24605</v>
      </c>
      <c r="B7089" s="9" t="s">
        <v>24606</v>
      </c>
      <c r="G7089" s="9" t="s">
        <v>24607</v>
      </c>
      <c r="O7089" s="10">
        <f>IFERROR(__xludf.DUMMYFUNCTION("VALUE(REGEXEXTRACT(A7089, ""\d+""))"),11027.0)</f>
        <v>11027</v>
      </c>
    </row>
    <row r="7090">
      <c r="A7090" s="9" t="s">
        <v>24608</v>
      </c>
      <c r="B7090" s="9" t="s">
        <v>24609</v>
      </c>
      <c r="G7090" s="9" t="s">
        <v>24610</v>
      </c>
      <c r="O7090" s="10">
        <f>IFERROR(__xludf.DUMMYFUNCTION("VALUE(REGEXEXTRACT(A7090, ""\d+""))"),11028.0)</f>
        <v>11028</v>
      </c>
    </row>
    <row r="7091">
      <c r="A7091" s="9" t="s">
        <v>24611</v>
      </c>
      <c r="B7091" s="9" t="s">
        <v>24612</v>
      </c>
      <c r="G7091" s="9" t="s">
        <v>24613</v>
      </c>
      <c r="O7091" s="10">
        <f>IFERROR(__xludf.DUMMYFUNCTION("VALUE(REGEXEXTRACT(A7091, ""\d+""))"),11029.0)</f>
        <v>11029</v>
      </c>
    </row>
    <row r="7092">
      <c r="A7092" s="9" t="s">
        <v>24614</v>
      </c>
      <c r="B7092" s="9" t="s">
        <v>24615</v>
      </c>
      <c r="G7092" s="9" t="s">
        <v>24616</v>
      </c>
      <c r="O7092" s="10">
        <f>IFERROR(__xludf.DUMMYFUNCTION("VALUE(REGEXEXTRACT(A7092, ""\d+""))"),11030.0)</f>
        <v>11030</v>
      </c>
    </row>
    <row r="7093">
      <c r="A7093" s="9" t="s">
        <v>24617</v>
      </c>
      <c r="B7093" s="9" t="s">
        <v>24618</v>
      </c>
      <c r="G7093" s="9" t="s">
        <v>24619</v>
      </c>
      <c r="O7093" s="10">
        <f>IFERROR(__xludf.DUMMYFUNCTION("VALUE(REGEXEXTRACT(A7093, ""\d+""))"),11031.0)</f>
        <v>11031</v>
      </c>
    </row>
    <row r="7094">
      <c r="A7094" s="9" t="s">
        <v>24620</v>
      </c>
      <c r="B7094" s="9" t="s">
        <v>24621</v>
      </c>
      <c r="G7094" s="9" t="s">
        <v>24622</v>
      </c>
      <c r="O7094" s="10">
        <f>IFERROR(__xludf.DUMMYFUNCTION("VALUE(REGEXEXTRACT(A7094, ""\d+""))"),11032.0)</f>
        <v>11032</v>
      </c>
    </row>
    <row r="7095">
      <c r="A7095" s="9" t="s">
        <v>24623</v>
      </c>
      <c r="B7095" s="9" t="s">
        <v>24624</v>
      </c>
      <c r="G7095" s="9" t="s">
        <v>24625</v>
      </c>
      <c r="O7095" s="10">
        <f>IFERROR(__xludf.DUMMYFUNCTION("VALUE(REGEXEXTRACT(A7095, ""\d+""))"),11033.0)</f>
        <v>11033</v>
      </c>
    </row>
    <row r="7096">
      <c r="A7096" s="9" t="s">
        <v>24626</v>
      </c>
      <c r="B7096" s="9" t="s">
        <v>24627</v>
      </c>
      <c r="G7096" s="9" t="s">
        <v>24628</v>
      </c>
      <c r="O7096" s="10">
        <f>IFERROR(__xludf.DUMMYFUNCTION("VALUE(REGEXEXTRACT(A7096, ""\d+""))"),11034.0)</f>
        <v>11034</v>
      </c>
    </row>
    <row r="7097">
      <c r="A7097" s="9" t="s">
        <v>24629</v>
      </c>
      <c r="B7097" s="9" t="s">
        <v>24630</v>
      </c>
      <c r="G7097" s="9" t="s">
        <v>24631</v>
      </c>
      <c r="O7097" s="10">
        <f>IFERROR(__xludf.DUMMYFUNCTION("VALUE(REGEXEXTRACT(A7097, ""\d+""))"),11035.0)</f>
        <v>11035</v>
      </c>
    </row>
    <row r="7098">
      <c r="A7098" s="9" t="s">
        <v>24632</v>
      </c>
      <c r="B7098" s="9" t="s">
        <v>24633</v>
      </c>
      <c r="G7098" s="9" t="s">
        <v>24634</v>
      </c>
      <c r="O7098" s="10">
        <f>IFERROR(__xludf.DUMMYFUNCTION("VALUE(REGEXEXTRACT(A7098, ""\d+""))"),11036.0)</f>
        <v>11036</v>
      </c>
    </row>
    <row r="7099">
      <c r="A7099" s="9" t="s">
        <v>24635</v>
      </c>
      <c r="B7099" s="9" t="s">
        <v>24636</v>
      </c>
      <c r="G7099" s="9" t="s">
        <v>24637</v>
      </c>
      <c r="O7099" s="10">
        <f>IFERROR(__xludf.DUMMYFUNCTION("VALUE(REGEXEXTRACT(A7099, ""\d+""))"),11037.0)</f>
        <v>11037</v>
      </c>
    </row>
    <row r="7100">
      <c r="A7100" s="9" t="s">
        <v>24638</v>
      </c>
      <c r="B7100" s="9" t="s">
        <v>24639</v>
      </c>
      <c r="G7100" s="9" t="s">
        <v>24640</v>
      </c>
      <c r="O7100" s="10">
        <f>IFERROR(__xludf.DUMMYFUNCTION("VALUE(REGEXEXTRACT(A7100, ""\d+""))"),11038.0)</f>
        <v>11038</v>
      </c>
    </row>
    <row r="7101">
      <c r="A7101" s="9" t="s">
        <v>24641</v>
      </c>
      <c r="B7101" s="9" t="s">
        <v>24642</v>
      </c>
      <c r="G7101" s="9" t="s">
        <v>24643</v>
      </c>
      <c r="O7101" s="10">
        <f>IFERROR(__xludf.DUMMYFUNCTION("VALUE(REGEXEXTRACT(A7101, ""\d+""))"),11039.0)</f>
        <v>11039</v>
      </c>
    </row>
    <row r="7102">
      <c r="A7102" s="9" t="s">
        <v>24644</v>
      </c>
      <c r="B7102" s="9" t="s">
        <v>24645</v>
      </c>
      <c r="G7102" s="9" t="s">
        <v>24646</v>
      </c>
      <c r="O7102" s="10">
        <f>IFERROR(__xludf.DUMMYFUNCTION("VALUE(REGEXEXTRACT(A7102, ""\d+""))"),11040.0)</f>
        <v>11040</v>
      </c>
    </row>
    <row r="7103">
      <c r="A7103" s="9" t="s">
        <v>24647</v>
      </c>
      <c r="B7103" s="9" t="s">
        <v>24648</v>
      </c>
      <c r="G7103" s="9" t="s">
        <v>24649</v>
      </c>
      <c r="O7103" s="10">
        <f>IFERROR(__xludf.DUMMYFUNCTION("VALUE(REGEXEXTRACT(A7103, ""\d+""))"),11041.0)</f>
        <v>11041</v>
      </c>
    </row>
    <row r="7104">
      <c r="A7104" s="9" t="s">
        <v>24650</v>
      </c>
      <c r="B7104" s="9" t="s">
        <v>24651</v>
      </c>
      <c r="G7104" s="9" t="s">
        <v>24652</v>
      </c>
      <c r="O7104" s="10">
        <f>IFERROR(__xludf.DUMMYFUNCTION("VALUE(REGEXEXTRACT(A7104, ""\d+""))"),11042.0)</f>
        <v>11042</v>
      </c>
    </row>
    <row r="7105">
      <c r="A7105" s="9" t="s">
        <v>24653</v>
      </c>
      <c r="B7105" s="9" t="s">
        <v>24654</v>
      </c>
      <c r="G7105" s="9" t="s">
        <v>24655</v>
      </c>
      <c r="O7105" s="10">
        <f>IFERROR(__xludf.DUMMYFUNCTION("VALUE(REGEXEXTRACT(A7105, ""\d+""))"),11043.0)</f>
        <v>11043</v>
      </c>
    </row>
    <row r="7106">
      <c r="A7106" s="9" t="s">
        <v>24656</v>
      </c>
      <c r="B7106" s="9" t="s">
        <v>24657</v>
      </c>
      <c r="G7106" s="9" t="s">
        <v>24658</v>
      </c>
      <c r="O7106" s="10">
        <f>IFERROR(__xludf.DUMMYFUNCTION("VALUE(REGEXEXTRACT(A7106, ""\d+""))"),11044.0)</f>
        <v>11044</v>
      </c>
    </row>
    <row r="7107">
      <c r="A7107" s="9" t="s">
        <v>24659</v>
      </c>
      <c r="B7107" s="9" t="s">
        <v>24660</v>
      </c>
      <c r="G7107" s="9" t="s">
        <v>24661</v>
      </c>
      <c r="O7107" s="10">
        <f>IFERROR(__xludf.DUMMYFUNCTION("VALUE(REGEXEXTRACT(A7107, ""\d+""))"),11045.0)</f>
        <v>11045</v>
      </c>
    </row>
    <row r="7108">
      <c r="A7108" s="9" t="s">
        <v>24662</v>
      </c>
      <c r="B7108" s="9" t="s">
        <v>24663</v>
      </c>
      <c r="G7108" s="9" t="s">
        <v>24664</v>
      </c>
      <c r="O7108" s="10">
        <f>IFERROR(__xludf.DUMMYFUNCTION("VALUE(REGEXEXTRACT(A7108, ""\d+""))"),11046.0)</f>
        <v>11046</v>
      </c>
    </row>
    <row r="7109">
      <c r="A7109" s="9" t="s">
        <v>24665</v>
      </c>
      <c r="B7109" s="9" t="s">
        <v>24666</v>
      </c>
      <c r="G7109" s="9" t="s">
        <v>24667</v>
      </c>
      <c r="O7109" s="10">
        <f>IFERROR(__xludf.DUMMYFUNCTION("VALUE(REGEXEXTRACT(A7109, ""\d+""))"),11047.0)</f>
        <v>11047</v>
      </c>
    </row>
    <row r="7110">
      <c r="A7110" s="9" t="s">
        <v>24668</v>
      </c>
      <c r="B7110" s="9" t="s">
        <v>24669</v>
      </c>
      <c r="G7110" s="9" t="s">
        <v>24670</v>
      </c>
      <c r="O7110" s="10">
        <f>IFERROR(__xludf.DUMMYFUNCTION("VALUE(REGEXEXTRACT(A7110, ""\d+""))"),11048.0)</f>
        <v>11048</v>
      </c>
    </row>
    <row r="7111">
      <c r="A7111" s="9" t="s">
        <v>24671</v>
      </c>
      <c r="B7111" s="9" t="s">
        <v>24672</v>
      </c>
      <c r="G7111" s="9" t="s">
        <v>24673</v>
      </c>
      <c r="O7111" s="10">
        <f>IFERROR(__xludf.DUMMYFUNCTION("VALUE(REGEXEXTRACT(A7111, ""\d+""))"),11049.0)</f>
        <v>11049</v>
      </c>
    </row>
    <row r="7112">
      <c r="A7112" s="9" t="s">
        <v>24674</v>
      </c>
      <c r="B7112" s="9" t="s">
        <v>24675</v>
      </c>
      <c r="G7112" s="9" t="s">
        <v>24676</v>
      </c>
      <c r="O7112" s="10">
        <f>IFERROR(__xludf.DUMMYFUNCTION("VALUE(REGEXEXTRACT(A7112, ""\d+""))"),11050.0)</f>
        <v>11050</v>
      </c>
    </row>
    <row r="7113">
      <c r="A7113" s="9" t="s">
        <v>24677</v>
      </c>
      <c r="B7113" s="9" t="s">
        <v>24678</v>
      </c>
      <c r="G7113" s="9" t="s">
        <v>24679</v>
      </c>
      <c r="O7113" s="10">
        <f>IFERROR(__xludf.DUMMYFUNCTION("VALUE(REGEXEXTRACT(A7113, ""\d+""))"),11051.0)</f>
        <v>11051</v>
      </c>
    </row>
    <row r="7114">
      <c r="A7114" s="9" t="s">
        <v>24680</v>
      </c>
      <c r="B7114" s="9" t="s">
        <v>24681</v>
      </c>
      <c r="G7114" s="9" t="s">
        <v>24682</v>
      </c>
      <c r="O7114" s="10">
        <f>IFERROR(__xludf.DUMMYFUNCTION("VALUE(REGEXEXTRACT(A7114, ""\d+""))"),11052.0)</f>
        <v>11052</v>
      </c>
    </row>
    <row r="7115">
      <c r="A7115" s="9" t="s">
        <v>24683</v>
      </c>
      <c r="B7115" s="9" t="s">
        <v>24684</v>
      </c>
      <c r="G7115" s="9" t="s">
        <v>24685</v>
      </c>
      <c r="O7115" s="10">
        <f>IFERROR(__xludf.DUMMYFUNCTION("VALUE(REGEXEXTRACT(A7115, ""\d+""))"),11053.0)</f>
        <v>11053</v>
      </c>
    </row>
    <row r="7116">
      <c r="A7116" s="9" t="s">
        <v>24686</v>
      </c>
      <c r="B7116" s="9" t="s">
        <v>24687</v>
      </c>
      <c r="G7116" s="9" t="s">
        <v>24688</v>
      </c>
      <c r="O7116" s="10">
        <f>IFERROR(__xludf.DUMMYFUNCTION("VALUE(REGEXEXTRACT(A7116, ""\d+""))"),11054.0)</f>
        <v>11054</v>
      </c>
    </row>
    <row r="7117">
      <c r="A7117" s="9" t="s">
        <v>24689</v>
      </c>
      <c r="B7117" s="9" t="s">
        <v>24690</v>
      </c>
      <c r="G7117" s="9" t="s">
        <v>24691</v>
      </c>
      <c r="O7117" s="10">
        <f>IFERROR(__xludf.DUMMYFUNCTION("VALUE(REGEXEXTRACT(A7117, ""\d+""))"),11055.0)</f>
        <v>11055</v>
      </c>
    </row>
    <row r="7118">
      <c r="A7118" s="9" t="s">
        <v>24692</v>
      </c>
      <c r="B7118" s="9" t="s">
        <v>24693</v>
      </c>
      <c r="G7118" s="9" t="s">
        <v>24694</v>
      </c>
      <c r="O7118" s="10">
        <f>IFERROR(__xludf.DUMMYFUNCTION("VALUE(REGEXEXTRACT(A7118, ""\d+""))"),11056.0)</f>
        <v>11056</v>
      </c>
    </row>
    <row r="7119">
      <c r="A7119" s="9" t="s">
        <v>24695</v>
      </c>
      <c r="B7119" s="9" t="s">
        <v>24696</v>
      </c>
      <c r="G7119" s="9" t="s">
        <v>24697</v>
      </c>
      <c r="O7119" s="10">
        <f>IFERROR(__xludf.DUMMYFUNCTION("VALUE(REGEXEXTRACT(A7119, ""\d+""))"),11057.0)</f>
        <v>11057</v>
      </c>
    </row>
    <row r="7120">
      <c r="A7120" s="9" t="s">
        <v>24698</v>
      </c>
      <c r="B7120" s="9" t="s">
        <v>24699</v>
      </c>
      <c r="G7120" s="9" t="s">
        <v>24700</v>
      </c>
      <c r="O7120" s="10">
        <f>IFERROR(__xludf.DUMMYFUNCTION("VALUE(REGEXEXTRACT(A7120, ""\d+""))"),11058.0)</f>
        <v>11058</v>
      </c>
    </row>
    <row r="7121">
      <c r="A7121" s="9" t="s">
        <v>24701</v>
      </c>
      <c r="B7121" s="9" t="s">
        <v>24702</v>
      </c>
      <c r="G7121" s="9" t="s">
        <v>24703</v>
      </c>
      <c r="O7121" s="10">
        <f>IFERROR(__xludf.DUMMYFUNCTION("VALUE(REGEXEXTRACT(A7121, ""\d+""))"),11059.0)</f>
        <v>11059</v>
      </c>
    </row>
    <row r="7122">
      <c r="A7122" s="9" t="s">
        <v>24704</v>
      </c>
      <c r="B7122" s="9" t="s">
        <v>24705</v>
      </c>
      <c r="G7122" s="9" t="s">
        <v>24706</v>
      </c>
      <c r="O7122" s="10">
        <f>IFERROR(__xludf.DUMMYFUNCTION("VALUE(REGEXEXTRACT(A7122, ""\d+""))"),11060.0)</f>
        <v>11060</v>
      </c>
    </row>
    <row r="7123">
      <c r="A7123" s="9" t="s">
        <v>24707</v>
      </c>
      <c r="B7123" s="9" t="s">
        <v>24708</v>
      </c>
      <c r="G7123" s="9" t="s">
        <v>24709</v>
      </c>
      <c r="O7123" s="10">
        <f>IFERROR(__xludf.DUMMYFUNCTION("VALUE(REGEXEXTRACT(A7123, ""\d+""))"),11061.0)</f>
        <v>11061</v>
      </c>
    </row>
    <row r="7124">
      <c r="A7124" s="9" t="s">
        <v>24710</v>
      </c>
      <c r="B7124" s="9" t="s">
        <v>24711</v>
      </c>
      <c r="G7124" s="9" t="s">
        <v>24712</v>
      </c>
      <c r="O7124" s="10">
        <f>IFERROR(__xludf.DUMMYFUNCTION("VALUE(REGEXEXTRACT(A7124, ""\d+""))"),11062.0)</f>
        <v>11062</v>
      </c>
    </row>
    <row r="7125">
      <c r="A7125" s="9" t="s">
        <v>24713</v>
      </c>
      <c r="B7125" s="9" t="s">
        <v>24714</v>
      </c>
      <c r="G7125" s="9" t="s">
        <v>24715</v>
      </c>
      <c r="O7125" s="10">
        <f>IFERROR(__xludf.DUMMYFUNCTION("VALUE(REGEXEXTRACT(A7125, ""\d+""))"),11063.0)</f>
        <v>11063</v>
      </c>
    </row>
    <row r="7126">
      <c r="A7126" s="9" t="s">
        <v>24716</v>
      </c>
      <c r="B7126" s="9" t="s">
        <v>24717</v>
      </c>
      <c r="G7126" s="9" t="s">
        <v>24718</v>
      </c>
      <c r="O7126" s="10">
        <f>IFERROR(__xludf.DUMMYFUNCTION("VALUE(REGEXEXTRACT(A7126, ""\d+""))"),11064.0)</f>
        <v>11064</v>
      </c>
    </row>
    <row r="7127">
      <c r="A7127" s="9" t="s">
        <v>24719</v>
      </c>
      <c r="B7127" s="9" t="s">
        <v>24720</v>
      </c>
      <c r="G7127" s="9" t="s">
        <v>24721</v>
      </c>
      <c r="O7127" s="10">
        <f>IFERROR(__xludf.DUMMYFUNCTION("VALUE(REGEXEXTRACT(A7127, ""\d+""))"),11065.0)</f>
        <v>11065</v>
      </c>
    </row>
    <row r="7128">
      <c r="A7128" s="9" t="s">
        <v>24722</v>
      </c>
      <c r="B7128" s="9" t="s">
        <v>24723</v>
      </c>
      <c r="G7128" s="9" t="s">
        <v>24724</v>
      </c>
      <c r="O7128" s="10">
        <f>IFERROR(__xludf.DUMMYFUNCTION("VALUE(REGEXEXTRACT(A7128, ""\d+""))"),11066.0)</f>
        <v>11066</v>
      </c>
    </row>
    <row r="7129">
      <c r="A7129" s="9" t="s">
        <v>24725</v>
      </c>
      <c r="B7129" s="9" t="s">
        <v>24726</v>
      </c>
      <c r="G7129" s="9" t="s">
        <v>24727</v>
      </c>
      <c r="O7129" s="10">
        <f>IFERROR(__xludf.DUMMYFUNCTION("VALUE(REGEXEXTRACT(A7129, ""\d+""))"),11067.0)</f>
        <v>11067</v>
      </c>
    </row>
    <row r="7130">
      <c r="A7130" s="9" t="s">
        <v>24728</v>
      </c>
      <c r="B7130" s="9" t="s">
        <v>24729</v>
      </c>
      <c r="G7130" s="9" t="s">
        <v>24730</v>
      </c>
      <c r="O7130" s="10">
        <f>IFERROR(__xludf.DUMMYFUNCTION("VALUE(REGEXEXTRACT(A7130, ""\d+""))"),11068.0)</f>
        <v>11068</v>
      </c>
    </row>
    <row r="7131">
      <c r="A7131" s="9" t="s">
        <v>24731</v>
      </c>
      <c r="B7131" s="9" t="s">
        <v>24732</v>
      </c>
      <c r="G7131" s="9" t="s">
        <v>24733</v>
      </c>
      <c r="O7131" s="10">
        <f>IFERROR(__xludf.DUMMYFUNCTION("VALUE(REGEXEXTRACT(A7131, ""\d+""))"),11069.0)</f>
        <v>11069</v>
      </c>
    </row>
    <row r="7132">
      <c r="A7132" s="9" t="s">
        <v>24734</v>
      </c>
      <c r="B7132" s="9" t="s">
        <v>24735</v>
      </c>
      <c r="G7132" s="9" t="s">
        <v>24736</v>
      </c>
      <c r="O7132" s="10">
        <f>IFERROR(__xludf.DUMMYFUNCTION("VALUE(REGEXEXTRACT(A7132, ""\d+""))"),11070.0)</f>
        <v>11070</v>
      </c>
    </row>
    <row r="7133">
      <c r="A7133" s="9" t="s">
        <v>24737</v>
      </c>
      <c r="B7133" s="9" t="s">
        <v>24738</v>
      </c>
      <c r="G7133" s="9" t="s">
        <v>24739</v>
      </c>
      <c r="O7133" s="10">
        <f>IFERROR(__xludf.DUMMYFUNCTION("VALUE(REGEXEXTRACT(A7133, ""\d+""))"),11071.0)</f>
        <v>11071</v>
      </c>
    </row>
    <row r="7134">
      <c r="A7134" s="9" t="s">
        <v>24740</v>
      </c>
      <c r="B7134" s="9" t="s">
        <v>24741</v>
      </c>
      <c r="G7134" s="9" t="s">
        <v>24742</v>
      </c>
      <c r="O7134" s="10">
        <f>IFERROR(__xludf.DUMMYFUNCTION("VALUE(REGEXEXTRACT(A7134, ""\d+""))"),11072.0)</f>
        <v>11072</v>
      </c>
    </row>
    <row r="7135">
      <c r="A7135" s="9" t="s">
        <v>24743</v>
      </c>
      <c r="B7135" s="9" t="s">
        <v>24744</v>
      </c>
      <c r="G7135" s="9" t="s">
        <v>24745</v>
      </c>
      <c r="O7135" s="10">
        <f>IFERROR(__xludf.DUMMYFUNCTION("VALUE(REGEXEXTRACT(A7135, ""\d+""))"),11073.0)</f>
        <v>11073</v>
      </c>
    </row>
    <row r="7136">
      <c r="A7136" s="9" t="s">
        <v>24746</v>
      </c>
      <c r="B7136" s="9" t="s">
        <v>24747</v>
      </c>
      <c r="G7136" s="9" t="s">
        <v>24748</v>
      </c>
      <c r="O7136" s="10">
        <f>IFERROR(__xludf.DUMMYFUNCTION("VALUE(REGEXEXTRACT(A7136, ""\d+""))"),11074.0)</f>
        <v>11074</v>
      </c>
    </row>
    <row r="7137">
      <c r="A7137" s="9" t="s">
        <v>24749</v>
      </c>
      <c r="B7137" s="9" t="s">
        <v>24750</v>
      </c>
      <c r="G7137" s="9" t="s">
        <v>24751</v>
      </c>
      <c r="O7137" s="10">
        <f>IFERROR(__xludf.DUMMYFUNCTION("VALUE(REGEXEXTRACT(A7137, ""\d+""))"),11075.0)</f>
        <v>11075</v>
      </c>
    </row>
    <row r="7138">
      <c r="A7138" s="9" t="s">
        <v>24752</v>
      </c>
      <c r="B7138" s="9" t="s">
        <v>24753</v>
      </c>
      <c r="G7138" s="9" t="s">
        <v>24754</v>
      </c>
      <c r="O7138" s="10">
        <f>IFERROR(__xludf.DUMMYFUNCTION("VALUE(REGEXEXTRACT(A7138, ""\d+""))"),11076.0)</f>
        <v>11076</v>
      </c>
    </row>
    <row r="7139">
      <c r="A7139" s="9" t="s">
        <v>24755</v>
      </c>
      <c r="B7139" s="9" t="s">
        <v>24756</v>
      </c>
      <c r="G7139" s="9" t="s">
        <v>24757</v>
      </c>
      <c r="O7139" s="10">
        <f>IFERROR(__xludf.DUMMYFUNCTION("VALUE(REGEXEXTRACT(A7139, ""\d+""))"),11077.0)</f>
        <v>11077</v>
      </c>
    </row>
    <row r="7140">
      <c r="A7140" s="9" t="s">
        <v>24758</v>
      </c>
      <c r="B7140" s="9" t="s">
        <v>24759</v>
      </c>
      <c r="G7140" s="9" t="s">
        <v>24760</v>
      </c>
      <c r="O7140" s="10">
        <f>IFERROR(__xludf.DUMMYFUNCTION("VALUE(REGEXEXTRACT(A7140, ""\d+""))"),11078.0)</f>
        <v>11078</v>
      </c>
    </row>
    <row r="7141">
      <c r="A7141" s="9" t="s">
        <v>24761</v>
      </c>
      <c r="B7141" s="9" t="s">
        <v>24762</v>
      </c>
      <c r="G7141" s="9" t="s">
        <v>24763</v>
      </c>
      <c r="O7141" s="10">
        <f>IFERROR(__xludf.DUMMYFUNCTION("VALUE(REGEXEXTRACT(A7141, ""\d+""))"),11079.0)</f>
        <v>11079</v>
      </c>
    </row>
    <row r="7142">
      <c r="A7142" s="9" t="s">
        <v>24764</v>
      </c>
      <c r="B7142" s="9" t="s">
        <v>24765</v>
      </c>
      <c r="G7142" s="9" t="s">
        <v>24766</v>
      </c>
      <c r="O7142" s="10">
        <f>IFERROR(__xludf.DUMMYFUNCTION("VALUE(REGEXEXTRACT(A7142, ""\d+""))"),11080.0)</f>
        <v>11080</v>
      </c>
    </row>
    <row r="7143">
      <c r="A7143" s="9" t="s">
        <v>24767</v>
      </c>
      <c r="B7143" s="9" t="s">
        <v>24768</v>
      </c>
      <c r="G7143" s="9" t="s">
        <v>24769</v>
      </c>
      <c r="O7143" s="10">
        <f>IFERROR(__xludf.DUMMYFUNCTION("VALUE(REGEXEXTRACT(A7143, ""\d+""))"),11081.0)</f>
        <v>11081</v>
      </c>
    </row>
    <row r="7144">
      <c r="A7144" s="9" t="s">
        <v>24770</v>
      </c>
      <c r="B7144" s="9" t="s">
        <v>24771</v>
      </c>
      <c r="G7144" s="9" t="s">
        <v>24772</v>
      </c>
      <c r="O7144" s="10">
        <f>IFERROR(__xludf.DUMMYFUNCTION("VALUE(REGEXEXTRACT(A7144, ""\d+""))"),11082.0)</f>
        <v>11082</v>
      </c>
    </row>
    <row r="7145">
      <c r="A7145" s="9" t="s">
        <v>24773</v>
      </c>
      <c r="B7145" s="9" t="s">
        <v>24774</v>
      </c>
      <c r="G7145" s="9" t="s">
        <v>24775</v>
      </c>
      <c r="O7145" s="10">
        <f>IFERROR(__xludf.DUMMYFUNCTION("VALUE(REGEXEXTRACT(A7145, ""\d+""))"),11083.0)</f>
        <v>11083</v>
      </c>
    </row>
    <row r="7146">
      <c r="A7146" s="9" t="s">
        <v>24776</v>
      </c>
      <c r="B7146" s="9" t="s">
        <v>24777</v>
      </c>
      <c r="G7146" s="9" t="s">
        <v>24778</v>
      </c>
      <c r="O7146" s="10">
        <f>IFERROR(__xludf.DUMMYFUNCTION("VALUE(REGEXEXTRACT(A7146, ""\d+""))"),11084.0)</f>
        <v>11084</v>
      </c>
    </row>
    <row r="7147">
      <c r="A7147" s="9" t="s">
        <v>24779</v>
      </c>
      <c r="B7147" s="9" t="s">
        <v>24780</v>
      </c>
      <c r="G7147" s="9" t="s">
        <v>24781</v>
      </c>
      <c r="O7147" s="10">
        <f>IFERROR(__xludf.DUMMYFUNCTION("VALUE(REGEXEXTRACT(A7147, ""\d+""))"),11085.0)</f>
        <v>11085</v>
      </c>
    </row>
    <row r="7148">
      <c r="A7148" s="9" t="s">
        <v>24782</v>
      </c>
      <c r="B7148" s="9" t="s">
        <v>24783</v>
      </c>
      <c r="G7148" s="9" t="s">
        <v>24784</v>
      </c>
      <c r="O7148" s="10">
        <f>IFERROR(__xludf.DUMMYFUNCTION("VALUE(REGEXEXTRACT(A7148, ""\d+""))"),11086.0)</f>
        <v>11086</v>
      </c>
    </row>
    <row r="7149">
      <c r="A7149" s="9" t="s">
        <v>24785</v>
      </c>
      <c r="B7149" s="9" t="s">
        <v>24786</v>
      </c>
      <c r="G7149" s="9" t="s">
        <v>24786</v>
      </c>
      <c r="O7149" s="10">
        <f>IFERROR(__xludf.DUMMYFUNCTION("VALUE(REGEXEXTRACT(A7149, ""\d+""))"),11087.0)</f>
        <v>11087</v>
      </c>
    </row>
    <row r="7150">
      <c r="A7150" s="9" t="s">
        <v>24787</v>
      </c>
      <c r="B7150" s="9" t="s">
        <v>24788</v>
      </c>
      <c r="G7150" s="9" t="s">
        <v>24788</v>
      </c>
      <c r="O7150" s="10">
        <f>IFERROR(__xludf.DUMMYFUNCTION("VALUE(REGEXEXTRACT(A7150, ""\d+""))"),11088.0)</f>
        <v>11088</v>
      </c>
    </row>
    <row r="7151">
      <c r="A7151" s="9" t="s">
        <v>24789</v>
      </c>
      <c r="B7151" s="9" t="s">
        <v>24790</v>
      </c>
      <c r="G7151" s="9" t="s">
        <v>24790</v>
      </c>
      <c r="O7151" s="10">
        <f>IFERROR(__xludf.DUMMYFUNCTION("VALUE(REGEXEXTRACT(A7151, ""\d+""))"),11089.0)</f>
        <v>11089</v>
      </c>
    </row>
    <row r="7152">
      <c r="A7152" s="9" t="s">
        <v>24791</v>
      </c>
      <c r="B7152" s="9" t="s">
        <v>24792</v>
      </c>
      <c r="G7152" s="9" t="s">
        <v>24792</v>
      </c>
      <c r="O7152" s="10">
        <f>IFERROR(__xludf.DUMMYFUNCTION("VALUE(REGEXEXTRACT(A7152, ""\d+""))"),11090.0)</f>
        <v>11090</v>
      </c>
    </row>
    <row r="7153">
      <c r="A7153" s="9" t="s">
        <v>24793</v>
      </c>
      <c r="B7153" s="9" t="s">
        <v>24794</v>
      </c>
      <c r="G7153" s="9" t="s">
        <v>24794</v>
      </c>
      <c r="O7153" s="10">
        <f>IFERROR(__xludf.DUMMYFUNCTION("VALUE(REGEXEXTRACT(A7153, ""\d+""))"),11091.0)</f>
        <v>11091</v>
      </c>
    </row>
    <row r="7154">
      <c r="A7154" s="9" t="s">
        <v>24795</v>
      </c>
      <c r="B7154" s="9" t="s">
        <v>24796</v>
      </c>
      <c r="G7154" s="9" t="s">
        <v>24796</v>
      </c>
      <c r="O7154" s="10">
        <f>IFERROR(__xludf.DUMMYFUNCTION("VALUE(REGEXEXTRACT(A7154, ""\d+""))"),11092.0)</f>
        <v>11092</v>
      </c>
    </row>
    <row r="7155">
      <c r="A7155" s="9" t="s">
        <v>24797</v>
      </c>
      <c r="B7155" s="9" t="s">
        <v>24798</v>
      </c>
      <c r="G7155" s="9" t="s">
        <v>24799</v>
      </c>
      <c r="O7155" s="10">
        <f>IFERROR(__xludf.DUMMYFUNCTION("VALUE(REGEXEXTRACT(A7155, ""\d+""))"),11093.0)</f>
        <v>11093</v>
      </c>
    </row>
    <row r="7156">
      <c r="A7156" s="9" t="s">
        <v>24800</v>
      </c>
      <c r="B7156" s="9" t="s">
        <v>21991</v>
      </c>
      <c r="G7156" s="9" t="s">
        <v>21992</v>
      </c>
      <c r="O7156" s="10">
        <f>IFERROR(__xludf.DUMMYFUNCTION("VALUE(REGEXEXTRACT(A7156, ""\d+""))"),11094.0)</f>
        <v>11094</v>
      </c>
    </row>
    <row r="7157">
      <c r="A7157" s="9" t="s">
        <v>24801</v>
      </c>
      <c r="B7157" s="9" t="s">
        <v>24802</v>
      </c>
      <c r="G7157" s="9" t="s">
        <v>24802</v>
      </c>
      <c r="O7157" s="10">
        <f>IFERROR(__xludf.DUMMYFUNCTION("VALUE(REGEXEXTRACT(A7157, ""\d+""))"),11095.0)</f>
        <v>11095</v>
      </c>
    </row>
    <row r="7158">
      <c r="A7158" s="9" t="s">
        <v>24803</v>
      </c>
      <c r="B7158" s="9" t="s">
        <v>24804</v>
      </c>
      <c r="G7158" s="9" t="s">
        <v>24804</v>
      </c>
      <c r="O7158" s="10">
        <f>IFERROR(__xludf.DUMMYFUNCTION("VALUE(REGEXEXTRACT(A7158, ""\d+""))"),11096.0)</f>
        <v>11096</v>
      </c>
    </row>
    <row r="7159">
      <c r="A7159" s="9" t="s">
        <v>24805</v>
      </c>
      <c r="B7159" s="9" t="s">
        <v>22000</v>
      </c>
      <c r="G7159" s="9" t="s">
        <v>22001</v>
      </c>
      <c r="O7159" s="10">
        <f>IFERROR(__xludf.DUMMYFUNCTION("VALUE(REGEXEXTRACT(A7159, ""\d+""))"),11097.0)</f>
        <v>11097</v>
      </c>
    </row>
    <row r="7160">
      <c r="A7160" s="9" t="s">
        <v>24806</v>
      </c>
      <c r="B7160" s="9" t="s">
        <v>24807</v>
      </c>
      <c r="G7160" s="9" t="s">
        <v>24807</v>
      </c>
      <c r="O7160" s="10">
        <f>IFERROR(__xludf.DUMMYFUNCTION("VALUE(REGEXEXTRACT(A7160, ""\d+""))"),11098.0)</f>
        <v>11098</v>
      </c>
    </row>
    <row r="7161">
      <c r="A7161" s="9" t="s">
        <v>24808</v>
      </c>
      <c r="B7161" s="9" t="s">
        <v>24809</v>
      </c>
      <c r="G7161" s="9" t="s">
        <v>24809</v>
      </c>
      <c r="O7161" s="10">
        <f>IFERROR(__xludf.DUMMYFUNCTION("VALUE(REGEXEXTRACT(A7161, ""\d+""))"),11099.0)</f>
        <v>11099</v>
      </c>
    </row>
    <row r="7162">
      <c r="A7162" s="9" t="s">
        <v>24810</v>
      </c>
      <c r="B7162" s="9" t="s">
        <v>24811</v>
      </c>
      <c r="G7162" s="9" t="s">
        <v>24811</v>
      </c>
      <c r="O7162" s="10">
        <f>IFERROR(__xludf.DUMMYFUNCTION("VALUE(REGEXEXTRACT(A7162, ""\d+""))"),11100.0)</f>
        <v>11100</v>
      </c>
    </row>
    <row r="7163">
      <c r="A7163" s="9" t="s">
        <v>24812</v>
      </c>
      <c r="B7163" s="9" t="s">
        <v>24813</v>
      </c>
      <c r="G7163" s="9" t="s">
        <v>24814</v>
      </c>
      <c r="O7163" s="10">
        <f>IFERROR(__xludf.DUMMYFUNCTION("VALUE(REGEXEXTRACT(A7163, ""\d+""))"),11101.0)</f>
        <v>11101</v>
      </c>
    </row>
    <row r="7164">
      <c r="A7164" s="9" t="s">
        <v>24815</v>
      </c>
      <c r="B7164" s="9" t="s">
        <v>24816</v>
      </c>
      <c r="G7164" s="9" t="s">
        <v>24817</v>
      </c>
      <c r="O7164" s="10">
        <f>IFERROR(__xludf.DUMMYFUNCTION("VALUE(REGEXEXTRACT(A7164, ""\d+""))"),11102.0)</f>
        <v>11102</v>
      </c>
    </row>
    <row r="7165">
      <c r="A7165" s="9" t="s">
        <v>24818</v>
      </c>
      <c r="B7165" s="9" t="s">
        <v>24819</v>
      </c>
      <c r="G7165" s="9" t="s">
        <v>24820</v>
      </c>
      <c r="O7165" s="10">
        <f>IFERROR(__xludf.DUMMYFUNCTION("VALUE(REGEXEXTRACT(A7165, ""\d+""))"),11103.0)</f>
        <v>11103</v>
      </c>
    </row>
    <row r="7166">
      <c r="A7166" s="9" t="s">
        <v>24821</v>
      </c>
      <c r="B7166" s="9" t="s">
        <v>24822</v>
      </c>
      <c r="G7166" s="9" t="s">
        <v>24823</v>
      </c>
      <c r="O7166" s="10">
        <f>IFERROR(__xludf.DUMMYFUNCTION("VALUE(REGEXEXTRACT(A7166, ""\d+""))"),11104.0)</f>
        <v>11104</v>
      </c>
    </row>
    <row r="7167">
      <c r="A7167" s="9" t="s">
        <v>24824</v>
      </c>
      <c r="B7167" s="9" t="s">
        <v>24825</v>
      </c>
      <c r="G7167" s="9" t="s">
        <v>24825</v>
      </c>
      <c r="O7167" s="10">
        <f>IFERROR(__xludf.DUMMYFUNCTION("VALUE(REGEXEXTRACT(A7167, ""\d+""))"),11105.0)</f>
        <v>11105</v>
      </c>
    </row>
    <row r="7168">
      <c r="A7168" s="9" t="s">
        <v>24826</v>
      </c>
      <c r="B7168" s="9" t="s">
        <v>24827</v>
      </c>
      <c r="G7168" s="9" t="s">
        <v>24828</v>
      </c>
      <c r="O7168" s="10">
        <f>IFERROR(__xludf.DUMMYFUNCTION("VALUE(REGEXEXTRACT(A7168, ""\d+""))"),11106.0)</f>
        <v>11106</v>
      </c>
    </row>
    <row r="7169">
      <c r="A7169" s="9" t="s">
        <v>24829</v>
      </c>
      <c r="B7169" s="9" t="s">
        <v>24830</v>
      </c>
      <c r="G7169" s="9" t="s">
        <v>24830</v>
      </c>
      <c r="O7169" s="10">
        <f>IFERROR(__xludf.DUMMYFUNCTION("VALUE(REGEXEXTRACT(A7169, ""\d+""))"),11107.0)</f>
        <v>11107</v>
      </c>
    </row>
    <row r="7170">
      <c r="A7170" s="9" t="s">
        <v>24831</v>
      </c>
      <c r="B7170" s="9" t="s">
        <v>24832</v>
      </c>
      <c r="G7170" s="9" t="s">
        <v>24833</v>
      </c>
      <c r="O7170" s="10">
        <f>IFERROR(__xludf.DUMMYFUNCTION("VALUE(REGEXEXTRACT(A7170, ""\d+""))"),11108.0)</f>
        <v>11108</v>
      </c>
    </row>
    <row r="7171">
      <c r="A7171" s="9" t="s">
        <v>24834</v>
      </c>
      <c r="B7171" s="9" t="s">
        <v>24835</v>
      </c>
      <c r="G7171" s="9" t="s">
        <v>24835</v>
      </c>
      <c r="O7171" s="10">
        <f>IFERROR(__xludf.DUMMYFUNCTION("VALUE(REGEXEXTRACT(A7171, ""\d+""))"),11109.0)</f>
        <v>11109</v>
      </c>
    </row>
    <row r="7172">
      <c r="A7172" s="9" t="s">
        <v>24836</v>
      </c>
      <c r="B7172" s="9" t="s">
        <v>24837</v>
      </c>
      <c r="G7172" s="9" t="s">
        <v>24837</v>
      </c>
      <c r="O7172" s="10">
        <f>IFERROR(__xludf.DUMMYFUNCTION("VALUE(REGEXEXTRACT(A7172, ""\d+""))"),11110.0)</f>
        <v>11110</v>
      </c>
    </row>
    <row r="7173">
      <c r="A7173" s="9" t="s">
        <v>24838</v>
      </c>
      <c r="B7173" s="9" t="s">
        <v>24839</v>
      </c>
      <c r="G7173" s="9" t="s">
        <v>24840</v>
      </c>
      <c r="O7173" s="10">
        <f>IFERROR(__xludf.DUMMYFUNCTION("VALUE(REGEXEXTRACT(A7173, ""\d+""))"),11501.0)</f>
        <v>11501</v>
      </c>
    </row>
    <row r="7174">
      <c r="A7174" s="9" t="s">
        <v>24841</v>
      </c>
      <c r="B7174" s="9" t="s">
        <v>24842</v>
      </c>
      <c r="G7174" s="9" t="s">
        <v>24843</v>
      </c>
      <c r="O7174" s="10">
        <f>IFERROR(__xludf.DUMMYFUNCTION("VALUE(REGEXEXTRACT(A7174, ""\d+""))"),11502.0)</f>
        <v>11502</v>
      </c>
    </row>
    <row r="7175">
      <c r="A7175" s="9" t="s">
        <v>24844</v>
      </c>
      <c r="B7175" s="9" t="s">
        <v>24845</v>
      </c>
      <c r="G7175" s="9" t="s">
        <v>24846</v>
      </c>
      <c r="O7175" s="10">
        <f>IFERROR(__xludf.DUMMYFUNCTION("VALUE(REGEXEXTRACT(A7175, ""\d+""))"),11506.0)</f>
        <v>11506</v>
      </c>
    </row>
    <row r="7176">
      <c r="A7176" s="9" t="s">
        <v>24847</v>
      </c>
      <c r="B7176" s="9" t="s">
        <v>24848</v>
      </c>
      <c r="G7176" s="9" t="s">
        <v>24849</v>
      </c>
      <c r="O7176" s="10">
        <f>IFERROR(__xludf.DUMMYFUNCTION("VALUE(REGEXEXTRACT(A7176, ""\d+""))"),11507.0)</f>
        <v>11507</v>
      </c>
    </row>
    <row r="7177">
      <c r="A7177" s="9" t="s">
        <v>24850</v>
      </c>
      <c r="B7177" s="9" t="s">
        <v>24851</v>
      </c>
      <c r="G7177" s="9" t="s">
        <v>24852</v>
      </c>
      <c r="O7177" s="10">
        <f>IFERROR(__xludf.DUMMYFUNCTION("VALUE(REGEXEXTRACT(A7177, ""\d+""))"),11508.0)</f>
        <v>11508</v>
      </c>
    </row>
    <row r="7178">
      <c r="A7178" s="9" t="s">
        <v>24853</v>
      </c>
      <c r="B7178" s="9" t="s">
        <v>24854</v>
      </c>
      <c r="G7178" s="9" t="s">
        <v>24855</v>
      </c>
      <c r="O7178" s="10">
        <f>IFERROR(__xludf.DUMMYFUNCTION("VALUE(REGEXEXTRACT(A7178, ""\d+""))"),11509.0)</f>
        <v>11509</v>
      </c>
    </row>
    <row r="7179">
      <c r="A7179" s="9" t="s">
        <v>24856</v>
      </c>
      <c r="B7179" s="9" t="s">
        <v>24857</v>
      </c>
      <c r="G7179" s="9" t="s">
        <v>24858</v>
      </c>
      <c r="O7179" s="10">
        <f>IFERROR(__xludf.DUMMYFUNCTION("VALUE(REGEXEXTRACT(A7179, ""\d+""))"),11510.0)</f>
        <v>11510</v>
      </c>
    </row>
    <row r="7180">
      <c r="A7180" s="9" t="s">
        <v>24859</v>
      </c>
      <c r="B7180" s="9" t="s">
        <v>24860</v>
      </c>
      <c r="G7180" s="9" t="s">
        <v>24861</v>
      </c>
      <c r="O7180" s="10">
        <f>IFERROR(__xludf.DUMMYFUNCTION("VALUE(REGEXEXTRACT(A7180, ""\d+""))"),11511.0)</f>
        <v>11511</v>
      </c>
    </row>
    <row r="7181">
      <c r="A7181" s="9" t="s">
        <v>24862</v>
      </c>
      <c r="B7181" s="9" t="s">
        <v>24863</v>
      </c>
      <c r="G7181" s="9" t="s">
        <v>24864</v>
      </c>
      <c r="O7181" s="10">
        <f>IFERROR(__xludf.DUMMYFUNCTION("VALUE(REGEXEXTRACT(A7181, ""\d+""))"),11512.0)</f>
        <v>11512</v>
      </c>
    </row>
    <row r="7182">
      <c r="A7182" s="9" t="s">
        <v>24865</v>
      </c>
      <c r="B7182" s="9" t="s">
        <v>24866</v>
      </c>
      <c r="G7182" s="9" t="s">
        <v>24867</v>
      </c>
      <c r="O7182" s="10">
        <f>IFERROR(__xludf.DUMMYFUNCTION("VALUE(REGEXEXTRACT(A7182, ""\d+""))"),11513.0)</f>
        <v>11513</v>
      </c>
    </row>
    <row r="7183">
      <c r="A7183" s="9" t="s">
        <v>24868</v>
      </c>
      <c r="B7183" s="9" t="s">
        <v>24869</v>
      </c>
      <c r="G7183" s="9" t="s">
        <v>24870</v>
      </c>
      <c r="O7183" s="10">
        <f>IFERROR(__xludf.DUMMYFUNCTION("VALUE(REGEXEXTRACT(A7183, ""\d+""))"),11514.0)</f>
        <v>11514</v>
      </c>
    </row>
    <row r="7184">
      <c r="A7184" s="9" t="s">
        <v>24871</v>
      </c>
      <c r="B7184" s="9" t="s">
        <v>24872</v>
      </c>
      <c r="G7184" s="9" t="s">
        <v>24873</v>
      </c>
      <c r="O7184" s="10">
        <f>IFERROR(__xludf.DUMMYFUNCTION("VALUE(REGEXEXTRACT(A7184, ""\d+""))"),11515.0)</f>
        <v>11515</v>
      </c>
    </row>
    <row r="7185">
      <c r="A7185" s="9" t="s">
        <v>24874</v>
      </c>
      <c r="B7185" s="9" t="s">
        <v>24875</v>
      </c>
      <c r="G7185" s="9" t="s">
        <v>24876</v>
      </c>
      <c r="O7185" s="10">
        <f>IFERROR(__xludf.DUMMYFUNCTION("VALUE(REGEXEXTRACT(A7185, ""\d+""))"),11516.0)</f>
        <v>11516</v>
      </c>
    </row>
    <row r="7186">
      <c r="A7186" s="9" t="s">
        <v>24877</v>
      </c>
      <c r="B7186" s="9" t="s">
        <v>24878</v>
      </c>
      <c r="G7186" s="9" t="s">
        <v>24878</v>
      </c>
      <c r="O7186" s="10">
        <f>IFERROR(__xludf.DUMMYFUNCTION("VALUE(REGEXEXTRACT(A7186, ""\d+""))"),11517.0)</f>
        <v>11517</v>
      </c>
    </row>
    <row r="7187">
      <c r="A7187" s="9" t="s">
        <v>24879</v>
      </c>
      <c r="B7187" s="9" t="s">
        <v>24880</v>
      </c>
      <c r="G7187" s="9" t="s">
        <v>24880</v>
      </c>
      <c r="O7187" s="10">
        <f>IFERROR(__xludf.DUMMYFUNCTION("VALUE(REGEXEXTRACT(A7187, ""\d+""))"),11518.0)</f>
        <v>11518</v>
      </c>
    </row>
    <row r="7188">
      <c r="A7188" s="9" t="s">
        <v>24881</v>
      </c>
      <c r="B7188" s="9" t="s">
        <v>24882</v>
      </c>
      <c r="G7188" s="9" t="s">
        <v>24882</v>
      </c>
      <c r="O7188" s="10">
        <f>IFERROR(__xludf.DUMMYFUNCTION("VALUE(REGEXEXTRACT(A7188, ""\d+""))"),11519.0)</f>
        <v>11519</v>
      </c>
    </row>
    <row r="7189">
      <c r="A7189" s="9" t="s">
        <v>24883</v>
      </c>
      <c r="B7189" s="9" t="s">
        <v>24884</v>
      </c>
      <c r="G7189" s="9" t="s">
        <v>24885</v>
      </c>
      <c r="O7189" s="10">
        <f>IFERROR(__xludf.DUMMYFUNCTION("VALUE(REGEXEXTRACT(A7189, ""\d+""))"),11521.0)</f>
        <v>11521</v>
      </c>
    </row>
    <row r="7190">
      <c r="A7190" s="9" t="s">
        <v>24886</v>
      </c>
      <c r="B7190" s="9" t="s">
        <v>24887</v>
      </c>
      <c r="G7190" s="9" t="s">
        <v>24888</v>
      </c>
      <c r="O7190" s="10">
        <f>IFERROR(__xludf.DUMMYFUNCTION("VALUE(REGEXEXTRACT(A7190, ""\d+""))"),11522.0)</f>
        <v>11522</v>
      </c>
    </row>
    <row r="7191">
      <c r="A7191" s="9" t="s">
        <v>24889</v>
      </c>
      <c r="B7191" s="9" t="s">
        <v>24890</v>
      </c>
      <c r="G7191" s="9" t="s">
        <v>24891</v>
      </c>
      <c r="O7191" s="10">
        <f>IFERROR(__xludf.DUMMYFUNCTION("VALUE(REGEXEXTRACT(A7191, ""\d+""))"),11525.0)</f>
        <v>11525</v>
      </c>
    </row>
    <row r="7192">
      <c r="A7192" s="9" t="s">
        <v>24892</v>
      </c>
      <c r="B7192" s="9" t="s">
        <v>24893</v>
      </c>
      <c r="G7192" s="9" t="s">
        <v>24894</v>
      </c>
      <c r="O7192" s="10">
        <f>IFERROR(__xludf.DUMMYFUNCTION("VALUE(REGEXEXTRACT(A7192, ""\d+""))"),11526.0)</f>
        <v>11526</v>
      </c>
    </row>
    <row r="7193">
      <c r="A7193" s="9" t="s">
        <v>24895</v>
      </c>
      <c r="B7193" s="9" t="s">
        <v>24896</v>
      </c>
      <c r="G7193" s="9" t="s">
        <v>24897</v>
      </c>
      <c r="O7193" s="10">
        <f>IFERROR(__xludf.DUMMYFUNCTION("VALUE(REGEXEXTRACT(A7193, ""\d+""))"),11527.0)</f>
        <v>11527</v>
      </c>
    </row>
    <row r="7194">
      <c r="A7194" s="9" t="s">
        <v>24898</v>
      </c>
      <c r="B7194" s="9" t="s">
        <v>24899</v>
      </c>
      <c r="G7194" s="9" t="s">
        <v>24900</v>
      </c>
      <c r="O7194" s="10">
        <f>IFERROR(__xludf.DUMMYFUNCTION("VALUE(REGEXEXTRACT(A7194, ""\d+""))"),11528.0)</f>
        <v>11528</v>
      </c>
    </row>
    <row r="7195">
      <c r="A7195" s="9" t="s">
        <v>24901</v>
      </c>
      <c r="B7195" s="9" t="s">
        <v>24902</v>
      </c>
      <c r="G7195" s="9" t="s">
        <v>24903</v>
      </c>
      <c r="O7195" s="10">
        <f>IFERROR(__xludf.DUMMYFUNCTION("VALUE(REGEXEXTRACT(A7195, ""\d+""))"),11529.0)</f>
        <v>11529</v>
      </c>
    </row>
    <row r="7196">
      <c r="A7196" s="9" t="s">
        <v>24904</v>
      </c>
      <c r="B7196" s="9" t="s">
        <v>24905</v>
      </c>
      <c r="G7196" s="9" t="s">
        <v>24906</v>
      </c>
      <c r="O7196" s="10">
        <f>IFERROR(__xludf.DUMMYFUNCTION("VALUE(REGEXEXTRACT(A7196, ""\d+""))"),11530.0)</f>
        <v>11530</v>
      </c>
    </row>
    <row r="7197">
      <c r="A7197" s="9" t="s">
        <v>24907</v>
      </c>
      <c r="B7197" s="9" t="s">
        <v>24908</v>
      </c>
      <c r="G7197" s="9" t="s">
        <v>24909</v>
      </c>
      <c r="O7197" s="10">
        <f>IFERROR(__xludf.DUMMYFUNCTION("VALUE(REGEXEXTRACT(A7197, ""\d+""))"),11531.0)</f>
        <v>11531</v>
      </c>
    </row>
    <row r="7198">
      <c r="A7198" s="9" t="s">
        <v>24910</v>
      </c>
      <c r="B7198" s="9" t="s">
        <v>24911</v>
      </c>
      <c r="G7198" s="9" t="s">
        <v>24912</v>
      </c>
      <c r="O7198" s="10">
        <f>IFERROR(__xludf.DUMMYFUNCTION("VALUE(REGEXEXTRACT(A7198, ""\d+""))"),11532.0)</f>
        <v>11532</v>
      </c>
    </row>
    <row r="7199">
      <c r="A7199" s="9" t="s">
        <v>24913</v>
      </c>
      <c r="B7199" s="9" t="s">
        <v>24914</v>
      </c>
      <c r="G7199" s="9" t="s">
        <v>24915</v>
      </c>
      <c r="O7199" s="10">
        <f>IFERROR(__xludf.DUMMYFUNCTION("VALUE(REGEXEXTRACT(A7199, ""\d+""))"),11533.0)</f>
        <v>11533</v>
      </c>
    </row>
    <row r="7200">
      <c r="A7200" s="9" t="s">
        <v>24916</v>
      </c>
      <c r="B7200" s="9" t="s">
        <v>24917</v>
      </c>
      <c r="G7200" s="9" t="s">
        <v>24918</v>
      </c>
      <c r="O7200" s="10">
        <f>IFERROR(__xludf.DUMMYFUNCTION("VALUE(REGEXEXTRACT(A7200, ""\d+""))"),11534.0)</f>
        <v>11534</v>
      </c>
    </row>
    <row r="7201">
      <c r="A7201" s="9" t="s">
        <v>24919</v>
      </c>
      <c r="B7201" s="9" t="s">
        <v>24920</v>
      </c>
      <c r="G7201" s="9" t="s">
        <v>24921</v>
      </c>
      <c r="O7201" s="10">
        <f>IFERROR(__xludf.DUMMYFUNCTION("VALUE(REGEXEXTRACT(A7201, ""\d+""))"),11535.0)</f>
        <v>11535</v>
      </c>
    </row>
    <row r="7202">
      <c r="A7202" s="9" t="s">
        <v>24922</v>
      </c>
      <c r="B7202" s="9" t="s">
        <v>24923</v>
      </c>
      <c r="G7202" s="9" t="s">
        <v>24924</v>
      </c>
      <c r="O7202" s="10">
        <f>IFERROR(__xludf.DUMMYFUNCTION("VALUE(REGEXEXTRACT(A7202, ""\d+""))"),11536.0)</f>
        <v>11536</v>
      </c>
    </row>
    <row r="7203">
      <c r="A7203" s="9" t="s">
        <v>24925</v>
      </c>
      <c r="B7203" s="9" t="s">
        <v>24926</v>
      </c>
      <c r="G7203" s="9" t="s">
        <v>24927</v>
      </c>
      <c r="O7203" s="10">
        <f>IFERROR(__xludf.DUMMYFUNCTION("VALUE(REGEXEXTRACT(A7203, ""\d+""))"),11537.0)</f>
        <v>11537</v>
      </c>
    </row>
    <row r="7204">
      <c r="A7204" s="9" t="s">
        <v>24928</v>
      </c>
      <c r="B7204" s="9" t="s">
        <v>24929</v>
      </c>
      <c r="G7204" s="9" t="s">
        <v>24930</v>
      </c>
      <c r="O7204" s="10">
        <f>IFERROR(__xludf.DUMMYFUNCTION("VALUE(REGEXEXTRACT(A7204, ""\d+""))"),11538.0)</f>
        <v>11538</v>
      </c>
    </row>
    <row r="7205">
      <c r="A7205" s="9" t="s">
        <v>24931</v>
      </c>
      <c r="B7205" s="9" t="s">
        <v>24932</v>
      </c>
      <c r="G7205" s="9" t="s">
        <v>24933</v>
      </c>
      <c r="O7205" s="10">
        <f>IFERROR(__xludf.DUMMYFUNCTION("VALUE(REGEXEXTRACT(A7205, ""\d+""))"),11539.0)</f>
        <v>11539</v>
      </c>
    </row>
    <row r="7206">
      <c r="A7206" s="9" t="s">
        <v>24934</v>
      </c>
      <c r="B7206" s="9" t="s">
        <v>24935</v>
      </c>
      <c r="G7206" s="9" t="s">
        <v>24936</v>
      </c>
      <c r="O7206" s="10">
        <f>IFERROR(__xludf.DUMMYFUNCTION("VALUE(REGEXEXTRACT(A7206, ""\d+""))"),11540.0)</f>
        <v>11540</v>
      </c>
    </row>
    <row r="7207">
      <c r="A7207" s="9" t="s">
        <v>24937</v>
      </c>
      <c r="B7207" s="9" t="s">
        <v>24938</v>
      </c>
      <c r="G7207" s="9" t="s">
        <v>24939</v>
      </c>
      <c r="O7207" s="10">
        <f>IFERROR(__xludf.DUMMYFUNCTION("VALUE(REGEXEXTRACT(A7207, ""\d+""))"),11541.0)</f>
        <v>11541</v>
      </c>
    </row>
    <row r="7208">
      <c r="A7208" s="9" t="s">
        <v>24940</v>
      </c>
      <c r="B7208" s="9" t="s">
        <v>24941</v>
      </c>
      <c r="G7208" s="9" t="s">
        <v>24942</v>
      </c>
      <c r="O7208" s="10">
        <f>IFERROR(__xludf.DUMMYFUNCTION("VALUE(REGEXEXTRACT(A7208, ""\d+""))"),11542.0)</f>
        <v>11542</v>
      </c>
    </row>
    <row r="7209">
      <c r="A7209" s="9" t="s">
        <v>24943</v>
      </c>
      <c r="B7209" s="9" t="s">
        <v>3506</v>
      </c>
      <c r="O7209" s="10">
        <f>IFERROR(__xludf.DUMMYFUNCTION("VALUE(REGEXEXTRACT(A7209, ""\d+""))"),11543.0)</f>
        <v>11543</v>
      </c>
    </row>
    <row r="7210">
      <c r="A7210" s="9" t="s">
        <v>24944</v>
      </c>
      <c r="B7210" s="9" t="s">
        <v>24945</v>
      </c>
      <c r="G7210" s="9" t="s">
        <v>24946</v>
      </c>
      <c r="O7210" s="10">
        <f>IFERROR(__xludf.DUMMYFUNCTION("VALUE(REGEXEXTRACT(A7210, ""\d+""))"),11544.0)</f>
        <v>11544</v>
      </c>
    </row>
    <row r="7211">
      <c r="A7211" s="9" t="s">
        <v>24947</v>
      </c>
      <c r="B7211" s="9" t="s">
        <v>24948</v>
      </c>
      <c r="G7211" s="9" t="s">
        <v>24949</v>
      </c>
      <c r="O7211" s="10">
        <f>IFERROR(__xludf.DUMMYFUNCTION("VALUE(REGEXEXTRACT(A7211, ""\d+""))"),11545.0)</f>
        <v>11545</v>
      </c>
    </row>
    <row r="7212">
      <c r="A7212" s="9" t="s">
        <v>24950</v>
      </c>
      <c r="B7212" s="9" t="s">
        <v>24951</v>
      </c>
      <c r="G7212" s="9" t="s">
        <v>24946</v>
      </c>
      <c r="O7212" s="10">
        <f>IFERROR(__xludf.DUMMYFUNCTION("VALUE(REGEXEXTRACT(A7212, ""\d+""))"),11546.0)</f>
        <v>11546</v>
      </c>
    </row>
    <row r="7213">
      <c r="A7213" s="9" t="s">
        <v>24952</v>
      </c>
      <c r="B7213" s="9" t="s">
        <v>24953</v>
      </c>
      <c r="G7213" s="9" t="s">
        <v>24954</v>
      </c>
      <c r="O7213" s="10">
        <f>IFERROR(__xludf.DUMMYFUNCTION("VALUE(REGEXEXTRACT(A7213, ""\d+""))"),11547.0)</f>
        <v>11547</v>
      </c>
    </row>
    <row r="7214">
      <c r="A7214" s="9" t="s">
        <v>24955</v>
      </c>
      <c r="B7214" s="9" t="s">
        <v>24956</v>
      </c>
      <c r="G7214" s="9" t="s">
        <v>24957</v>
      </c>
      <c r="O7214" s="10">
        <f>IFERROR(__xludf.DUMMYFUNCTION("VALUE(REGEXEXTRACT(A7214, ""\d+""))"),11548.0)</f>
        <v>11548</v>
      </c>
    </row>
    <row r="7215">
      <c r="A7215" s="9" t="s">
        <v>24958</v>
      </c>
      <c r="B7215" s="9" t="s">
        <v>24959</v>
      </c>
      <c r="G7215" s="9" t="s">
        <v>24960</v>
      </c>
      <c r="O7215" s="10">
        <f>IFERROR(__xludf.DUMMYFUNCTION("VALUE(REGEXEXTRACT(A7215, ""\d+""))"),11549.0)</f>
        <v>11549</v>
      </c>
    </row>
    <row r="7216">
      <c r="A7216" s="9" t="s">
        <v>24961</v>
      </c>
      <c r="B7216" s="9" t="s">
        <v>24962</v>
      </c>
      <c r="G7216" s="9" t="s">
        <v>24963</v>
      </c>
      <c r="O7216" s="10">
        <f>IFERROR(__xludf.DUMMYFUNCTION("VALUE(REGEXEXTRACT(A7216, ""\d+""))"),11550.0)</f>
        <v>11550</v>
      </c>
    </row>
    <row r="7217">
      <c r="A7217" s="9" t="s">
        <v>24964</v>
      </c>
      <c r="B7217" s="9" t="s">
        <v>24965</v>
      </c>
      <c r="G7217" s="9" t="s">
        <v>24966</v>
      </c>
      <c r="O7217" s="10">
        <f>IFERROR(__xludf.DUMMYFUNCTION("VALUE(REGEXEXTRACT(A7217, ""\d+""))"),11551.0)</f>
        <v>11551</v>
      </c>
    </row>
    <row r="7218">
      <c r="A7218" s="9" t="s">
        <v>24967</v>
      </c>
      <c r="B7218" s="9" t="s">
        <v>24968</v>
      </c>
      <c r="G7218" s="9" t="s">
        <v>24969</v>
      </c>
      <c r="O7218" s="10">
        <f>IFERROR(__xludf.DUMMYFUNCTION("VALUE(REGEXEXTRACT(A7218, ""\d+""))"),11552.0)</f>
        <v>11552</v>
      </c>
    </row>
    <row r="7219">
      <c r="A7219" s="9" t="s">
        <v>24970</v>
      </c>
      <c r="B7219" s="9" t="s">
        <v>24971</v>
      </c>
      <c r="G7219" s="9" t="s">
        <v>24972</v>
      </c>
      <c r="O7219" s="10">
        <f>IFERROR(__xludf.DUMMYFUNCTION("VALUE(REGEXEXTRACT(A7219, ""\d+""))"),11553.0)</f>
        <v>11553</v>
      </c>
    </row>
    <row r="7220">
      <c r="A7220" s="9" t="s">
        <v>24973</v>
      </c>
      <c r="B7220" s="9" t="s">
        <v>24974</v>
      </c>
      <c r="G7220" s="9" t="s">
        <v>24975</v>
      </c>
      <c r="O7220" s="10">
        <f>IFERROR(__xludf.DUMMYFUNCTION("VALUE(REGEXEXTRACT(A7220, ""\d+""))"),11556.0)</f>
        <v>11556</v>
      </c>
    </row>
    <row r="7221">
      <c r="A7221" s="9" t="s">
        <v>24976</v>
      </c>
      <c r="B7221" s="9" t="s">
        <v>24977</v>
      </c>
      <c r="G7221" s="9" t="s">
        <v>24978</v>
      </c>
      <c r="O7221" s="10">
        <f>IFERROR(__xludf.DUMMYFUNCTION("VALUE(REGEXEXTRACT(A7221, ""\d+""))"),11557.0)</f>
        <v>11557</v>
      </c>
    </row>
    <row r="7222">
      <c r="A7222" s="9" t="s">
        <v>24979</v>
      </c>
      <c r="B7222" s="9" t="s">
        <v>24980</v>
      </c>
      <c r="G7222" s="9" t="s">
        <v>24981</v>
      </c>
      <c r="O7222" s="10">
        <f>IFERROR(__xludf.DUMMYFUNCTION("VALUE(REGEXEXTRACT(A7222, ""\d+""))"),11558.0)</f>
        <v>11558</v>
      </c>
    </row>
    <row r="7223">
      <c r="A7223" s="9" t="s">
        <v>24982</v>
      </c>
      <c r="B7223" s="9" t="s">
        <v>24983</v>
      </c>
      <c r="G7223" s="9" t="s">
        <v>24984</v>
      </c>
      <c r="O7223" s="10">
        <f>IFERROR(__xludf.DUMMYFUNCTION("VALUE(REGEXEXTRACT(A7223, ""\d+""))"),11559.0)</f>
        <v>11559</v>
      </c>
    </row>
    <row r="7224">
      <c r="A7224" s="9" t="s">
        <v>24985</v>
      </c>
      <c r="B7224" s="9" t="s">
        <v>24986</v>
      </c>
      <c r="G7224" s="9" t="s">
        <v>24987</v>
      </c>
      <c r="O7224" s="10">
        <f>IFERROR(__xludf.DUMMYFUNCTION("VALUE(REGEXEXTRACT(A7224, ""\d+""))"),11560.0)</f>
        <v>11560</v>
      </c>
    </row>
    <row r="7225">
      <c r="A7225" s="9" t="s">
        <v>24988</v>
      </c>
      <c r="B7225" s="9" t="s">
        <v>24989</v>
      </c>
      <c r="G7225" s="9" t="s">
        <v>24990</v>
      </c>
      <c r="O7225" s="10">
        <f>IFERROR(__xludf.DUMMYFUNCTION("VALUE(REGEXEXTRACT(A7225, ""\d+""))"),11561.0)</f>
        <v>11561</v>
      </c>
    </row>
    <row r="7226">
      <c r="A7226" s="9" t="s">
        <v>24991</v>
      </c>
      <c r="B7226" s="9" t="s">
        <v>13213</v>
      </c>
      <c r="G7226" s="9" t="s">
        <v>24992</v>
      </c>
      <c r="O7226" s="10">
        <f>IFERROR(__xludf.DUMMYFUNCTION("VALUE(REGEXEXTRACT(A7226, ""\d+""))"),11562.0)</f>
        <v>11562</v>
      </c>
    </row>
    <row r="7227">
      <c r="A7227" s="9" t="s">
        <v>24993</v>
      </c>
      <c r="B7227" s="9" t="s">
        <v>24994</v>
      </c>
      <c r="G7227" s="9" t="s">
        <v>24995</v>
      </c>
      <c r="O7227" s="10">
        <f>IFERROR(__xludf.DUMMYFUNCTION("VALUE(REGEXEXTRACT(A7227, ""\d+""))"),11563.0)</f>
        <v>11563</v>
      </c>
    </row>
    <row r="7228">
      <c r="A7228" s="9" t="s">
        <v>24996</v>
      </c>
      <c r="B7228" s="9" t="s">
        <v>24997</v>
      </c>
      <c r="G7228" s="9" t="s">
        <v>24998</v>
      </c>
      <c r="O7228" s="10">
        <f>IFERROR(__xludf.DUMMYFUNCTION("VALUE(REGEXEXTRACT(A7228, ""\d+""))"),11564.0)</f>
        <v>11564</v>
      </c>
    </row>
    <row r="7229">
      <c r="A7229" s="9" t="s">
        <v>24999</v>
      </c>
      <c r="B7229" s="9" t="s">
        <v>25000</v>
      </c>
      <c r="G7229" s="9" t="s">
        <v>25001</v>
      </c>
      <c r="O7229" s="10">
        <f>IFERROR(__xludf.DUMMYFUNCTION("VALUE(REGEXEXTRACT(A7229, ""\d+""))"),11565.0)</f>
        <v>11565</v>
      </c>
    </row>
    <row r="7230">
      <c r="A7230" s="9" t="s">
        <v>25002</v>
      </c>
      <c r="B7230" s="9" t="s">
        <v>25003</v>
      </c>
      <c r="G7230" s="9" t="s">
        <v>25004</v>
      </c>
      <c r="O7230" s="10">
        <f>IFERROR(__xludf.DUMMYFUNCTION("VALUE(REGEXEXTRACT(A7230, ""\d+""))"),11566.0)</f>
        <v>11566</v>
      </c>
    </row>
    <row r="7231">
      <c r="A7231" s="9" t="s">
        <v>25005</v>
      </c>
      <c r="B7231" s="9" t="s">
        <v>25006</v>
      </c>
      <c r="G7231" s="9" t="s">
        <v>25007</v>
      </c>
      <c r="O7231" s="10">
        <f>IFERROR(__xludf.DUMMYFUNCTION("VALUE(REGEXEXTRACT(A7231, ""\d+""))"),11567.0)</f>
        <v>11567</v>
      </c>
    </row>
    <row r="7232">
      <c r="A7232" s="9" t="s">
        <v>25008</v>
      </c>
      <c r="B7232" s="9" t="s">
        <v>25009</v>
      </c>
      <c r="G7232" s="9" t="s">
        <v>25010</v>
      </c>
      <c r="O7232" s="10">
        <f>IFERROR(__xludf.DUMMYFUNCTION("VALUE(REGEXEXTRACT(A7232, ""\d+""))"),11568.0)</f>
        <v>11568</v>
      </c>
    </row>
    <row r="7233">
      <c r="A7233" s="9" t="s">
        <v>25011</v>
      </c>
      <c r="B7233" s="9" t="s">
        <v>25012</v>
      </c>
      <c r="G7233" s="9" t="s">
        <v>25013</v>
      </c>
      <c r="O7233" s="10">
        <f>IFERROR(__xludf.DUMMYFUNCTION("VALUE(REGEXEXTRACT(A7233, ""\d+""))"),11569.0)</f>
        <v>11569</v>
      </c>
    </row>
    <row r="7234">
      <c r="A7234" s="9" t="s">
        <v>25014</v>
      </c>
      <c r="B7234" s="9" t="s">
        <v>25015</v>
      </c>
      <c r="G7234" s="9" t="s">
        <v>25016</v>
      </c>
      <c r="O7234" s="10">
        <f>IFERROR(__xludf.DUMMYFUNCTION("VALUE(REGEXEXTRACT(A7234, ""\d+""))"),11570.0)</f>
        <v>11570</v>
      </c>
    </row>
    <row r="7235">
      <c r="A7235" s="9" t="s">
        <v>25017</v>
      </c>
      <c r="B7235" s="9" t="s">
        <v>25018</v>
      </c>
      <c r="G7235" s="9" t="s">
        <v>25019</v>
      </c>
      <c r="O7235" s="10">
        <f>IFERROR(__xludf.DUMMYFUNCTION("VALUE(REGEXEXTRACT(A7235, ""\d+""))"),11571.0)</f>
        <v>11571</v>
      </c>
    </row>
    <row r="7236">
      <c r="A7236" s="9" t="s">
        <v>25020</v>
      </c>
      <c r="B7236" s="9" t="s">
        <v>25021</v>
      </c>
      <c r="G7236" s="9" t="s">
        <v>25022</v>
      </c>
      <c r="O7236" s="10">
        <f>IFERROR(__xludf.DUMMYFUNCTION("VALUE(REGEXEXTRACT(A7236, ""\d+""))"),11572.0)</f>
        <v>11572</v>
      </c>
    </row>
    <row r="7237">
      <c r="A7237" s="9" t="s">
        <v>25023</v>
      </c>
      <c r="B7237" s="9" t="s">
        <v>25024</v>
      </c>
      <c r="G7237" s="9" t="s">
        <v>25025</v>
      </c>
      <c r="O7237" s="10">
        <f>IFERROR(__xludf.DUMMYFUNCTION("VALUE(REGEXEXTRACT(A7237, ""\d+""))"),11573.0)</f>
        <v>11573</v>
      </c>
    </row>
    <row r="7238">
      <c r="A7238" s="9" t="s">
        <v>25026</v>
      </c>
      <c r="B7238" s="9" t="s">
        <v>25027</v>
      </c>
      <c r="G7238" s="9" t="s">
        <v>25028</v>
      </c>
      <c r="O7238" s="10">
        <f>IFERROR(__xludf.DUMMYFUNCTION("VALUE(REGEXEXTRACT(A7238, ""\d+""))"),11574.0)</f>
        <v>11574</v>
      </c>
    </row>
    <row r="7239">
      <c r="A7239" s="9" t="s">
        <v>25029</v>
      </c>
      <c r="B7239" s="9" t="s">
        <v>25030</v>
      </c>
      <c r="G7239" s="9" t="s">
        <v>25031</v>
      </c>
      <c r="O7239" s="10">
        <f>IFERROR(__xludf.DUMMYFUNCTION("VALUE(REGEXEXTRACT(A7239, ""\d+""))"),11575.0)</f>
        <v>11575</v>
      </c>
    </row>
    <row r="7240">
      <c r="A7240" s="9" t="s">
        <v>25032</v>
      </c>
      <c r="B7240" s="9" t="s">
        <v>25033</v>
      </c>
      <c r="G7240" s="9" t="s">
        <v>25034</v>
      </c>
      <c r="O7240" s="10">
        <f>IFERROR(__xludf.DUMMYFUNCTION("VALUE(REGEXEXTRACT(A7240, ""\d+""))"),11576.0)</f>
        <v>11576</v>
      </c>
    </row>
    <row r="7241">
      <c r="A7241" s="9" t="s">
        <v>25035</v>
      </c>
      <c r="B7241" s="9" t="s">
        <v>25036</v>
      </c>
      <c r="G7241" s="9" t="s">
        <v>25037</v>
      </c>
      <c r="O7241" s="10">
        <f>IFERROR(__xludf.DUMMYFUNCTION("VALUE(REGEXEXTRACT(A7241, ""\d+""))"),11577.0)</f>
        <v>11577</v>
      </c>
    </row>
    <row r="7242">
      <c r="A7242" s="9" t="s">
        <v>25038</v>
      </c>
      <c r="B7242" s="9" t="s">
        <v>25039</v>
      </c>
      <c r="G7242" s="9" t="s">
        <v>25040</v>
      </c>
      <c r="O7242" s="10">
        <f>IFERROR(__xludf.DUMMYFUNCTION("VALUE(REGEXEXTRACT(A7242, ""\d+""))"),11578.0)</f>
        <v>11578</v>
      </c>
    </row>
    <row r="7243">
      <c r="A7243" s="9" t="s">
        <v>25041</v>
      </c>
      <c r="B7243" s="9" t="s">
        <v>25042</v>
      </c>
      <c r="G7243" s="9" t="s">
        <v>25043</v>
      </c>
      <c r="O7243" s="10">
        <f>IFERROR(__xludf.DUMMYFUNCTION("VALUE(REGEXEXTRACT(A7243, ""\d+""))"),11579.0)</f>
        <v>11579</v>
      </c>
    </row>
    <row r="7244">
      <c r="A7244" s="9" t="s">
        <v>25044</v>
      </c>
      <c r="B7244" s="9" t="s">
        <v>25045</v>
      </c>
      <c r="G7244" s="9" t="s">
        <v>25046</v>
      </c>
      <c r="O7244" s="10">
        <f>IFERROR(__xludf.DUMMYFUNCTION("VALUE(REGEXEXTRACT(A7244, ""\d+""))"),11580.0)</f>
        <v>11580</v>
      </c>
    </row>
    <row r="7245">
      <c r="A7245" s="9" t="s">
        <v>25047</v>
      </c>
      <c r="B7245" s="9" t="s">
        <v>25048</v>
      </c>
      <c r="G7245" s="9" t="s">
        <v>25049</v>
      </c>
      <c r="O7245" s="10">
        <f>IFERROR(__xludf.DUMMYFUNCTION("VALUE(REGEXEXTRACT(A7245, ""\d+""))"),11581.0)</f>
        <v>11581</v>
      </c>
    </row>
    <row r="7246">
      <c r="A7246" s="9" t="s">
        <v>25050</v>
      </c>
      <c r="B7246" s="9" t="s">
        <v>25051</v>
      </c>
      <c r="G7246" s="9" t="s">
        <v>25052</v>
      </c>
      <c r="O7246" s="10">
        <f>IFERROR(__xludf.DUMMYFUNCTION("VALUE(REGEXEXTRACT(A7246, ""\d+""))"),11582.0)</f>
        <v>11582</v>
      </c>
    </row>
    <row r="7247">
      <c r="A7247" s="9" t="s">
        <v>25053</v>
      </c>
      <c r="B7247" s="9" t="s">
        <v>25054</v>
      </c>
      <c r="G7247" s="9" t="s">
        <v>25055</v>
      </c>
      <c r="O7247" s="10">
        <f>IFERROR(__xludf.DUMMYFUNCTION("VALUE(REGEXEXTRACT(A7247, ""\d+""))"),11583.0)</f>
        <v>11583</v>
      </c>
    </row>
    <row r="7248">
      <c r="A7248" s="9" t="s">
        <v>25056</v>
      </c>
      <c r="B7248" s="9" t="s">
        <v>25057</v>
      </c>
      <c r="G7248" s="9" t="s">
        <v>25058</v>
      </c>
      <c r="O7248" s="10">
        <f>IFERROR(__xludf.DUMMYFUNCTION("VALUE(REGEXEXTRACT(A7248, ""\d+""))"),11584.0)</f>
        <v>11584</v>
      </c>
    </row>
    <row r="7249">
      <c r="A7249" s="9" t="s">
        <v>25059</v>
      </c>
      <c r="B7249" s="9" t="s">
        <v>25060</v>
      </c>
      <c r="G7249" s="9" t="s">
        <v>25061</v>
      </c>
      <c r="O7249" s="10">
        <f>IFERROR(__xludf.DUMMYFUNCTION("VALUE(REGEXEXTRACT(A7249, ""\d+""))"),11585.0)</f>
        <v>11585</v>
      </c>
    </row>
    <row r="7250">
      <c r="A7250" s="9" t="s">
        <v>25062</v>
      </c>
      <c r="B7250" s="9" t="s">
        <v>25063</v>
      </c>
      <c r="G7250" s="9" t="s">
        <v>25064</v>
      </c>
      <c r="O7250" s="10">
        <f>IFERROR(__xludf.DUMMYFUNCTION("VALUE(REGEXEXTRACT(A7250, ""\d+""))"),11586.0)</f>
        <v>11586</v>
      </c>
    </row>
    <row r="7251">
      <c r="A7251" s="9" t="s">
        <v>25065</v>
      </c>
      <c r="B7251" s="9" t="s">
        <v>25066</v>
      </c>
      <c r="G7251" s="9" t="s">
        <v>25067</v>
      </c>
      <c r="O7251" s="10">
        <f>IFERROR(__xludf.DUMMYFUNCTION("VALUE(REGEXEXTRACT(A7251, ""\d+""))"),11587.0)</f>
        <v>11587</v>
      </c>
    </row>
    <row r="7252">
      <c r="A7252" s="9" t="s">
        <v>25068</v>
      </c>
      <c r="B7252" s="9" t="s">
        <v>25069</v>
      </c>
      <c r="G7252" s="9" t="s">
        <v>15845</v>
      </c>
      <c r="O7252" s="10">
        <f>IFERROR(__xludf.DUMMYFUNCTION("VALUE(REGEXEXTRACT(A7252, ""\d+""))"),11588.0)</f>
        <v>11588</v>
      </c>
    </row>
    <row r="7253">
      <c r="A7253" s="9" t="s">
        <v>25070</v>
      </c>
      <c r="B7253" s="9" t="s">
        <v>25071</v>
      </c>
      <c r="G7253" s="9" t="s">
        <v>25072</v>
      </c>
      <c r="O7253" s="10">
        <f>IFERROR(__xludf.DUMMYFUNCTION("VALUE(REGEXEXTRACT(A7253, ""\d+""))"),11589.0)</f>
        <v>11589</v>
      </c>
    </row>
    <row r="7254">
      <c r="A7254" s="9" t="s">
        <v>25073</v>
      </c>
      <c r="B7254" s="9" t="s">
        <v>25074</v>
      </c>
      <c r="G7254" s="9" t="s">
        <v>25075</v>
      </c>
      <c r="O7254" s="10">
        <f>IFERROR(__xludf.DUMMYFUNCTION("VALUE(REGEXEXTRACT(A7254, ""\d+""))"),11590.0)</f>
        <v>11590</v>
      </c>
    </row>
    <row r="7255">
      <c r="A7255" s="9" t="s">
        <v>25076</v>
      </c>
      <c r="B7255" s="9" t="s">
        <v>25077</v>
      </c>
      <c r="G7255" s="9" t="s">
        <v>25078</v>
      </c>
      <c r="O7255" s="10">
        <f>IFERROR(__xludf.DUMMYFUNCTION("VALUE(REGEXEXTRACT(A7255, ""\d+""))"),11591.0)</f>
        <v>11591</v>
      </c>
    </row>
    <row r="7256">
      <c r="A7256" s="9" t="s">
        <v>25079</v>
      </c>
      <c r="B7256" s="9" t="s">
        <v>25080</v>
      </c>
      <c r="G7256" s="9" t="s">
        <v>25081</v>
      </c>
      <c r="O7256" s="10">
        <f>IFERROR(__xludf.DUMMYFUNCTION("VALUE(REGEXEXTRACT(A7256, ""\d+""))"),11592.0)</f>
        <v>11592</v>
      </c>
    </row>
    <row r="7257">
      <c r="A7257" s="9" t="s">
        <v>25082</v>
      </c>
      <c r="B7257" s="9" t="s">
        <v>25083</v>
      </c>
      <c r="G7257" s="9" t="s">
        <v>25084</v>
      </c>
      <c r="O7257" s="10">
        <f>IFERROR(__xludf.DUMMYFUNCTION("VALUE(REGEXEXTRACT(A7257, ""\d+""))"),11593.0)</f>
        <v>11593</v>
      </c>
    </row>
    <row r="7258">
      <c r="A7258" s="9" t="s">
        <v>25085</v>
      </c>
      <c r="B7258" s="9" t="s">
        <v>25086</v>
      </c>
      <c r="G7258" s="9" t="s">
        <v>25087</v>
      </c>
      <c r="O7258" s="10">
        <f>IFERROR(__xludf.DUMMYFUNCTION("VALUE(REGEXEXTRACT(A7258, ""\d+""))"),11594.0)</f>
        <v>11594</v>
      </c>
    </row>
    <row r="7259">
      <c r="A7259" s="9" t="s">
        <v>25088</v>
      </c>
      <c r="B7259" s="9" t="s">
        <v>25089</v>
      </c>
      <c r="G7259" s="9" t="s">
        <v>21352</v>
      </c>
      <c r="O7259" s="10">
        <f>IFERROR(__xludf.DUMMYFUNCTION("VALUE(REGEXEXTRACT(A7259, ""\d+""))"),11595.0)</f>
        <v>11595</v>
      </c>
    </row>
    <row r="7260">
      <c r="A7260" s="9" t="s">
        <v>25090</v>
      </c>
      <c r="B7260" s="9" t="s">
        <v>25091</v>
      </c>
      <c r="G7260" s="9" t="s">
        <v>21355</v>
      </c>
      <c r="O7260" s="10">
        <f>IFERROR(__xludf.DUMMYFUNCTION("VALUE(REGEXEXTRACT(A7260, ""\d+""))"),11596.0)</f>
        <v>11596</v>
      </c>
    </row>
    <row r="7261">
      <c r="A7261" s="9" t="s">
        <v>25092</v>
      </c>
      <c r="B7261" s="9" t="s">
        <v>25093</v>
      </c>
      <c r="G7261" s="9" t="s">
        <v>25094</v>
      </c>
      <c r="O7261" s="10">
        <f>IFERROR(__xludf.DUMMYFUNCTION("VALUE(REGEXEXTRACT(A7261, ""\d+""))"),11597.0)</f>
        <v>11597</v>
      </c>
    </row>
    <row r="7262">
      <c r="A7262" s="9" t="s">
        <v>25095</v>
      </c>
      <c r="B7262" s="9" t="s">
        <v>25096</v>
      </c>
      <c r="G7262" s="9" t="s">
        <v>25097</v>
      </c>
      <c r="O7262" s="10">
        <f>IFERROR(__xludf.DUMMYFUNCTION("VALUE(REGEXEXTRACT(A7262, ""\d+""))"),11598.0)</f>
        <v>11598</v>
      </c>
    </row>
    <row r="7263">
      <c r="A7263" s="9" t="s">
        <v>25098</v>
      </c>
      <c r="B7263" s="9" t="s">
        <v>25099</v>
      </c>
      <c r="G7263" s="9" t="s">
        <v>25100</v>
      </c>
      <c r="O7263" s="10">
        <f>IFERROR(__xludf.DUMMYFUNCTION("VALUE(REGEXEXTRACT(A7263, ""\d+""))"),11599.0)</f>
        <v>11599</v>
      </c>
    </row>
    <row r="7264">
      <c r="A7264" s="9" t="s">
        <v>25101</v>
      </c>
      <c r="B7264" s="9" t="s">
        <v>25102</v>
      </c>
      <c r="G7264" s="9" t="s">
        <v>25103</v>
      </c>
      <c r="O7264" s="10">
        <f>IFERROR(__xludf.DUMMYFUNCTION("VALUE(REGEXEXTRACT(A7264, ""\d+""))"),11600.0)</f>
        <v>11600</v>
      </c>
    </row>
    <row r="7265">
      <c r="A7265" s="9" t="s">
        <v>25104</v>
      </c>
      <c r="B7265" s="9" t="s">
        <v>25105</v>
      </c>
      <c r="G7265" s="9" t="s">
        <v>25106</v>
      </c>
      <c r="O7265" s="10">
        <f>IFERROR(__xludf.DUMMYFUNCTION("VALUE(REGEXEXTRACT(A7265, ""\d+""))"),11601.0)</f>
        <v>11601</v>
      </c>
    </row>
    <row r="7266">
      <c r="A7266" s="9" t="s">
        <v>25107</v>
      </c>
      <c r="B7266" s="9" t="s">
        <v>25108</v>
      </c>
      <c r="G7266" s="9" t="s">
        <v>25109</v>
      </c>
      <c r="O7266" s="10">
        <f>IFERROR(__xludf.DUMMYFUNCTION("VALUE(REGEXEXTRACT(A7266, ""\d+""))"),11602.0)</f>
        <v>11602</v>
      </c>
    </row>
    <row r="7267">
      <c r="A7267" s="9" t="s">
        <v>25110</v>
      </c>
      <c r="B7267" s="9" t="s">
        <v>25111</v>
      </c>
      <c r="G7267" s="9" t="s">
        <v>25112</v>
      </c>
      <c r="O7267" s="10">
        <f>IFERROR(__xludf.DUMMYFUNCTION("VALUE(REGEXEXTRACT(A7267, ""\d+""))"),11603.0)</f>
        <v>11603</v>
      </c>
    </row>
    <row r="7268">
      <c r="A7268" s="9" t="s">
        <v>25113</v>
      </c>
      <c r="B7268" s="9" t="s">
        <v>25114</v>
      </c>
      <c r="G7268" s="9" t="s">
        <v>24954</v>
      </c>
      <c r="O7268" s="10">
        <f>IFERROR(__xludf.DUMMYFUNCTION("VALUE(REGEXEXTRACT(A7268, ""\d+""))"),11604.0)</f>
        <v>11604</v>
      </c>
    </row>
    <row r="7269">
      <c r="A7269" s="9" t="s">
        <v>25115</v>
      </c>
      <c r="B7269" s="9" t="s">
        <v>25116</v>
      </c>
      <c r="G7269" s="9" t="s">
        <v>24954</v>
      </c>
      <c r="O7269" s="10">
        <f>IFERROR(__xludf.DUMMYFUNCTION("VALUE(REGEXEXTRACT(A7269, ""\d+""))"),11605.0)</f>
        <v>11605</v>
      </c>
    </row>
    <row r="7270">
      <c r="A7270" s="9" t="s">
        <v>25117</v>
      </c>
      <c r="B7270" s="9" t="s">
        <v>25118</v>
      </c>
      <c r="G7270" s="9" t="s">
        <v>24954</v>
      </c>
      <c r="O7270" s="10">
        <f>IFERROR(__xludf.DUMMYFUNCTION("VALUE(REGEXEXTRACT(A7270, ""\d+""))"),11606.0)</f>
        <v>11606</v>
      </c>
    </row>
    <row r="7271">
      <c r="A7271" s="9" t="s">
        <v>25119</v>
      </c>
      <c r="B7271" s="9" t="s">
        <v>25120</v>
      </c>
      <c r="G7271" s="9" t="s">
        <v>24954</v>
      </c>
      <c r="O7271" s="10">
        <f>IFERROR(__xludf.DUMMYFUNCTION("VALUE(REGEXEXTRACT(A7271, ""\d+""))"),11607.0)</f>
        <v>11607</v>
      </c>
    </row>
    <row r="7272">
      <c r="A7272" s="9" t="s">
        <v>25121</v>
      </c>
      <c r="B7272" s="9" t="s">
        <v>25122</v>
      </c>
      <c r="G7272" s="9" t="s">
        <v>24946</v>
      </c>
      <c r="O7272" s="10">
        <f>IFERROR(__xludf.DUMMYFUNCTION("VALUE(REGEXEXTRACT(A7272, ""\d+""))"),11608.0)</f>
        <v>11608</v>
      </c>
    </row>
    <row r="7273">
      <c r="A7273" s="9" t="s">
        <v>25123</v>
      </c>
      <c r="B7273" s="9" t="s">
        <v>25124</v>
      </c>
      <c r="G7273" s="9" t="s">
        <v>24946</v>
      </c>
      <c r="O7273" s="10">
        <f>IFERROR(__xludf.DUMMYFUNCTION("VALUE(REGEXEXTRACT(A7273, ""\d+""))"),11609.0)</f>
        <v>11609</v>
      </c>
    </row>
    <row r="7274">
      <c r="A7274" s="9" t="s">
        <v>25125</v>
      </c>
      <c r="B7274" s="9" t="s">
        <v>25126</v>
      </c>
      <c r="G7274" s="9" t="s">
        <v>24946</v>
      </c>
      <c r="O7274" s="10">
        <f>IFERROR(__xludf.DUMMYFUNCTION("VALUE(REGEXEXTRACT(A7274, ""\d+""))"),11610.0)</f>
        <v>11610</v>
      </c>
    </row>
    <row r="7275">
      <c r="A7275" s="9" t="s">
        <v>25127</v>
      </c>
      <c r="B7275" s="9" t="s">
        <v>25128</v>
      </c>
      <c r="G7275" s="9" t="s">
        <v>25129</v>
      </c>
      <c r="O7275" s="10">
        <f>IFERROR(__xludf.DUMMYFUNCTION("VALUE(REGEXEXTRACT(A7275, ""\d+""))"),11611.0)</f>
        <v>11611</v>
      </c>
    </row>
    <row r="7276">
      <c r="A7276" s="9" t="s">
        <v>25130</v>
      </c>
      <c r="B7276" s="9" t="s">
        <v>25131</v>
      </c>
      <c r="G7276" s="9" t="s">
        <v>25132</v>
      </c>
      <c r="O7276" s="10">
        <f>IFERROR(__xludf.DUMMYFUNCTION("VALUE(REGEXEXTRACT(A7276, ""\d+""))"),11612.0)</f>
        <v>11612</v>
      </c>
    </row>
    <row r="7277">
      <c r="A7277" s="9" t="s">
        <v>25133</v>
      </c>
      <c r="B7277" s="9" t="s">
        <v>25134</v>
      </c>
      <c r="G7277" s="9" t="s">
        <v>25135</v>
      </c>
      <c r="O7277" s="10">
        <f>IFERROR(__xludf.DUMMYFUNCTION("VALUE(REGEXEXTRACT(A7277, ""\d+""))"),11613.0)</f>
        <v>11613</v>
      </c>
    </row>
    <row r="7278">
      <c r="A7278" s="9" t="s">
        <v>25136</v>
      </c>
      <c r="B7278" s="9" t="s">
        <v>25137</v>
      </c>
      <c r="G7278" s="9" t="s">
        <v>25138</v>
      </c>
      <c r="O7278" s="10">
        <f>IFERROR(__xludf.DUMMYFUNCTION("VALUE(REGEXEXTRACT(A7278, ""\d+""))"),11614.0)</f>
        <v>11614</v>
      </c>
    </row>
    <row r="7279">
      <c r="A7279" s="9" t="s">
        <v>25139</v>
      </c>
      <c r="B7279" s="9" t="s">
        <v>25140</v>
      </c>
      <c r="G7279" s="9" t="s">
        <v>25141</v>
      </c>
      <c r="O7279" s="10">
        <f>IFERROR(__xludf.DUMMYFUNCTION("VALUE(REGEXEXTRACT(A7279, ""\d+""))"),11615.0)</f>
        <v>11615</v>
      </c>
    </row>
    <row r="7280">
      <c r="A7280" s="9" t="s">
        <v>25142</v>
      </c>
      <c r="B7280" s="9" t="s">
        <v>25143</v>
      </c>
      <c r="G7280" s="9" t="s">
        <v>25144</v>
      </c>
      <c r="O7280" s="10">
        <f>IFERROR(__xludf.DUMMYFUNCTION("VALUE(REGEXEXTRACT(A7280, ""\d+""))"),11616.0)</f>
        <v>11616</v>
      </c>
    </row>
    <row r="7281">
      <c r="A7281" s="9" t="s">
        <v>25145</v>
      </c>
      <c r="B7281" s="9" t="s">
        <v>25146</v>
      </c>
      <c r="G7281" s="9" t="s">
        <v>25147</v>
      </c>
      <c r="O7281" s="10">
        <f>IFERROR(__xludf.DUMMYFUNCTION("VALUE(REGEXEXTRACT(A7281, ""\d+""))"),11617.0)</f>
        <v>11617</v>
      </c>
    </row>
    <row r="7282">
      <c r="A7282" s="9" t="s">
        <v>25148</v>
      </c>
      <c r="B7282" s="9" t="s">
        <v>25149</v>
      </c>
      <c r="G7282" s="9" t="s">
        <v>25150</v>
      </c>
      <c r="O7282" s="10">
        <f>IFERROR(__xludf.DUMMYFUNCTION("VALUE(REGEXEXTRACT(A7282, ""\d+""))"),11618.0)</f>
        <v>11618</v>
      </c>
    </row>
    <row r="7283">
      <c r="A7283" s="9" t="s">
        <v>25151</v>
      </c>
      <c r="B7283" s="9" t="s">
        <v>25152</v>
      </c>
      <c r="G7283" s="9" t="s">
        <v>25153</v>
      </c>
      <c r="O7283" s="10">
        <f>IFERROR(__xludf.DUMMYFUNCTION("VALUE(REGEXEXTRACT(A7283, ""\d+""))"),11619.0)</f>
        <v>11619</v>
      </c>
    </row>
    <row r="7284">
      <c r="A7284" s="9" t="s">
        <v>25154</v>
      </c>
      <c r="B7284" s="9" t="s">
        <v>25155</v>
      </c>
      <c r="G7284" s="9" t="s">
        <v>25156</v>
      </c>
      <c r="O7284" s="10">
        <f>IFERROR(__xludf.DUMMYFUNCTION("VALUE(REGEXEXTRACT(A7284, ""\d+""))"),11620.0)</f>
        <v>11620</v>
      </c>
    </row>
    <row r="7285">
      <c r="A7285" s="9" t="s">
        <v>25157</v>
      </c>
      <c r="B7285" s="9" t="s">
        <v>13423</v>
      </c>
      <c r="G7285" s="9" t="s">
        <v>13424</v>
      </c>
      <c r="O7285" s="10">
        <f>IFERROR(__xludf.DUMMYFUNCTION("VALUE(REGEXEXTRACT(A7285, ""\d+""))"),11621.0)</f>
        <v>11621</v>
      </c>
    </row>
    <row r="7286">
      <c r="A7286" s="9" t="s">
        <v>25158</v>
      </c>
      <c r="B7286" s="9" t="s">
        <v>13429</v>
      </c>
      <c r="G7286" s="9" t="s">
        <v>25159</v>
      </c>
      <c r="O7286" s="10">
        <f>IFERROR(__xludf.DUMMYFUNCTION("VALUE(REGEXEXTRACT(A7286, ""\d+""))"),11622.0)</f>
        <v>11622</v>
      </c>
    </row>
    <row r="7287">
      <c r="A7287" s="9" t="s">
        <v>25160</v>
      </c>
      <c r="B7287" s="9" t="s">
        <v>13426</v>
      </c>
      <c r="G7287" s="9" t="s">
        <v>13427</v>
      </c>
      <c r="O7287" s="10">
        <f>IFERROR(__xludf.DUMMYFUNCTION("VALUE(REGEXEXTRACT(A7287, ""\d+""))"),11623.0)</f>
        <v>11623</v>
      </c>
    </row>
    <row r="7288">
      <c r="A7288" s="9" t="s">
        <v>25161</v>
      </c>
      <c r="B7288" s="9" t="s">
        <v>25162</v>
      </c>
      <c r="G7288" s="9" t="s">
        <v>25163</v>
      </c>
      <c r="O7288" s="10">
        <f>IFERROR(__xludf.DUMMYFUNCTION("VALUE(REGEXEXTRACT(A7288, ""\d+""))"),11624.0)</f>
        <v>11624</v>
      </c>
    </row>
    <row r="7289">
      <c r="A7289" s="9" t="s">
        <v>25164</v>
      </c>
      <c r="B7289" s="9" t="s">
        <v>25165</v>
      </c>
      <c r="G7289" s="9" t="s">
        <v>25165</v>
      </c>
      <c r="O7289" s="10">
        <f>IFERROR(__xludf.DUMMYFUNCTION("VALUE(REGEXEXTRACT(A7289, ""\d+""))"),11625.0)</f>
        <v>11625</v>
      </c>
    </row>
    <row r="7290">
      <c r="A7290" s="9" t="s">
        <v>25166</v>
      </c>
      <c r="B7290" s="9" t="s">
        <v>25167</v>
      </c>
      <c r="G7290" s="9" t="s">
        <v>24969</v>
      </c>
      <c r="O7290" s="10">
        <f>IFERROR(__xludf.DUMMYFUNCTION("VALUE(REGEXEXTRACT(A7290, ""\d+""))"),11626.0)</f>
        <v>11626</v>
      </c>
    </row>
    <row r="7291">
      <c r="A7291" s="9" t="s">
        <v>25168</v>
      </c>
      <c r="B7291" s="9" t="s">
        <v>25169</v>
      </c>
      <c r="G7291" s="9" t="s">
        <v>24972</v>
      </c>
      <c r="O7291" s="10">
        <f>IFERROR(__xludf.DUMMYFUNCTION("VALUE(REGEXEXTRACT(A7291, ""\d+""))"),11627.0)</f>
        <v>11627</v>
      </c>
    </row>
    <row r="7292">
      <c r="A7292" s="9" t="s">
        <v>25170</v>
      </c>
      <c r="B7292" s="9" t="s">
        <v>25171</v>
      </c>
      <c r="G7292" s="9" t="s">
        <v>25172</v>
      </c>
      <c r="O7292" s="10">
        <f>IFERROR(__xludf.DUMMYFUNCTION("VALUE(REGEXEXTRACT(A7292, ""\d+""))"),11628.0)</f>
        <v>11628</v>
      </c>
    </row>
    <row r="7293">
      <c r="A7293" s="9" t="s">
        <v>25173</v>
      </c>
      <c r="B7293" s="9" t="s">
        <v>25174</v>
      </c>
      <c r="G7293" s="9" t="s">
        <v>25175</v>
      </c>
      <c r="O7293" s="10">
        <f>IFERROR(__xludf.DUMMYFUNCTION("VALUE(REGEXEXTRACT(A7293, ""\d+""))"),11629.0)</f>
        <v>11629</v>
      </c>
    </row>
    <row r="7294">
      <c r="A7294" s="9" t="s">
        <v>25176</v>
      </c>
      <c r="B7294" s="9" t="s">
        <v>25177</v>
      </c>
      <c r="G7294" s="9" t="s">
        <v>25178</v>
      </c>
      <c r="O7294" s="10">
        <f>IFERROR(__xludf.DUMMYFUNCTION("VALUE(REGEXEXTRACT(A7294, ""\d+""))"),11630.0)</f>
        <v>11630</v>
      </c>
    </row>
    <row r="7295">
      <c r="A7295" s="9" t="s">
        <v>25179</v>
      </c>
      <c r="B7295" s="9" t="s">
        <v>25180</v>
      </c>
      <c r="G7295" s="9" t="s">
        <v>25181</v>
      </c>
      <c r="O7295" s="10">
        <f>IFERROR(__xludf.DUMMYFUNCTION("VALUE(REGEXEXTRACT(A7295, ""\d+""))"),11631.0)</f>
        <v>11631</v>
      </c>
    </row>
    <row r="7296">
      <c r="A7296" s="9" t="s">
        <v>25182</v>
      </c>
      <c r="B7296" s="9" t="s">
        <v>25183</v>
      </c>
      <c r="G7296" s="9" t="s">
        <v>25184</v>
      </c>
      <c r="O7296" s="10">
        <f>IFERROR(__xludf.DUMMYFUNCTION("VALUE(REGEXEXTRACT(A7296, ""\d+""))"),11632.0)</f>
        <v>11632</v>
      </c>
    </row>
    <row r="7297">
      <c r="A7297" s="9" t="s">
        <v>25185</v>
      </c>
      <c r="B7297" s="9" t="s">
        <v>25186</v>
      </c>
      <c r="G7297" s="9" t="s">
        <v>25186</v>
      </c>
      <c r="O7297" s="10">
        <f>IFERROR(__xludf.DUMMYFUNCTION("VALUE(REGEXEXTRACT(A7297, ""\d+""))"),11633.0)</f>
        <v>11633</v>
      </c>
    </row>
    <row r="7298">
      <c r="A7298" s="9" t="s">
        <v>25187</v>
      </c>
      <c r="B7298" s="9" t="s">
        <v>25188</v>
      </c>
      <c r="G7298" s="9" t="s">
        <v>25189</v>
      </c>
      <c r="O7298" s="10">
        <f>IFERROR(__xludf.DUMMYFUNCTION("VALUE(REGEXEXTRACT(A7298, ""\d+""))"),11634.0)</f>
        <v>11634</v>
      </c>
    </row>
    <row r="7299">
      <c r="A7299" s="9" t="s">
        <v>25190</v>
      </c>
      <c r="B7299" s="9" t="s">
        <v>25191</v>
      </c>
      <c r="G7299" s="9" t="s">
        <v>25192</v>
      </c>
      <c r="O7299" s="10">
        <f>IFERROR(__xludf.DUMMYFUNCTION("VALUE(REGEXEXTRACT(A7299, ""\d+""))"),11635.0)</f>
        <v>11635</v>
      </c>
    </row>
    <row r="7300">
      <c r="A7300" s="9" t="s">
        <v>25193</v>
      </c>
      <c r="B7300" s="9" t="s">
        <v>25194</v>
      </c>
      <c r="G7300" s="9" t="s">
        <v>25195</v>
      </c>
      <c r="O7300" s="10">
        <f>IFERROR(__xludf.DUMMYFUNCTION("VALUE(REGEXEXTRACT(A7300, ""\d+""))"),11636.0)</f>
        <v>11636</v>
      </c>
    </row>
    <row r="7301">
      <c r="A7301" s="9" t="s">
        <v>25196</v>
      </c>
      <c r="B7301" s="9" t="s">
        <v>25197</v>
      </c>
      <c r="G7301" s="9" t="s">
        <v>25198</v>
      </c>
      <c r="O7301" s="10">
        <f>IFERROR(__xludf.DUMMYFUNCTION("VALUE(REGEXEXTRACT(A7301, ""\d+""))"),11637.0)</f>
        <v>11637</v>
      </c>
    </row>
    <row r="7302">
      <c r="A7302" s="9" t="s">
        <v>25199</v>
      </c>
      <c r="B7302" s="9" t="s">
        <v>25200</v>
      </c>
      <c r="G7302" s="9" t="s">
        <v>25201</v>
      </c>
      <c r="O7302" s="10">
        <f>IFERROR(__xludf.DUMMYFUNCTION("VALUE(REGEXEXTRACT(A7302, ""\d+""))"),11638.0)</f>
        <v>11638</v>
      </c>
    </row>
    <row r="7303">
      <c r="A7303" s="9" t="s">
        <v>25202</v>
      </c>
      <c r="B7303" s="9" t="s">
        <v>25203</v>
      </c>
      <c r="G7303" s="9" t="s">
        <v>25204</v>
      </c>
      <c r="O7303" s="10">
        <f>IFERROR(__xludf.DUMMYFUNCTION("VALUE(REGEXEXTRACT(A7303, ""\d+""))"),11639.0)</f>
        <v>11639</v>
      </c>
    </row>
    <row r="7304">
      <c r="A7304" s="9" t="s">
        <v>25205</v>
      </c>
      <c r="B7304" s="9" t="s">
        <v>25206</v>
      </c>
      <c r="G7304" s="9" t="s">
        <v>25207</v>
      </c>
      <c r="O7304" s="10">
        <f>IFERROR(__xludf.DUMMYFUNCTION("VALUE(REGEXEXTRACT(A7304, ""\d+""))"),11640.0)</f>
        <v>11640</v>
      </c>
    </row>
    <row r="7305">
      <c r="A7305" s="9" t="s">
        <v>25208</v>
      </c>
      <c r="B7305" s="9" t="s">
        <v>25209</v>
      </c>
      <c r="G7305" s="9" t="s">
        <v>25210</v>
      </c>
      <c r="O7305" s="10">
        <f>IFERROR(__xludf.DUMMYFUNCTION("VALUE(REGEXEXTRACT(A7305, ""\d+""))"),11641.0)</f>
        <v>11641</v>
      </c>
    </row>
    <row r="7306">
      <c r="A7306" s="9" t="s">
        <v>25211</v>
      </c>
      <c r="B7306" s="9" t="s">
        <v>25212</v>
      </c>
      <c r="G7306" s="9" t="s">
        <v>25213</v>
      </c>
      <c r="O7306" s="10">
        <f>IFERROR(__xludf.DUMMYFUNCTION("VALUE(REGEXEXTRACT(A7306, ""\d+""))"),11642.0)</f>
        <v>11642</v>
      </c>
    </row>
    <row r="7307">
      <c r="A7307" s="9" t="s">
        <v>25214</v>
      </c>
      <c r="B7307" s="9" t="s">
        <v>25215</v>
      </c>
      <c r="G7307" s="9" t="s">
        <v>25216</v>
      </c>
      <c r="O7307" s="10">
        <f>IFERROR(__xludf.DUMMYFUNCTION("VALUE(REGEXEXTRACT(A7307, ""\d+""))"),11643.0)</f>
        <v>11643</v>
      </c>
    </row>
    <row r="7308">
      <c r="A7308" s="9" t="s">
        <v>25217</v>
      </c>
      <c r="B7308" s="9" t="s">
        <v>25218</v>
      </c>
      <c r="G7308" s="9" t="s">
        <v>25219</v>
      </c>
      <c r="O7308" s="10">
        <f>IFERROR(__xludf.DUMMYFUNCTION("VALUE(REGEXEXTRACT(A7308, ""\d+""))"),11644.0)</f>
        <v>11644</v>
      </c>
    </row>
    <row r="7309">
      <c r="A7309" s="9" t="s">
        <v>25220</v>
      </c>
      <c r="B7309" s="9" t="s">
        <v>25221</v>
      </c>
      <c r="G7309" s="9" t="s">
        <v>25222</v>
      </c>
      <c r="O7309" s="10">
        <f>IFERROR(__xludf.DUMMYFUNCTION("VALUE(REGEXEXTRACT(A7309, ""\d+""))"),11645.0)</f>
        <v>11645</v>
      </c>
    </row>
    <row r="7310">
      <c r="A7310" s="9" t="s">
        <v>25223</v>
      </c>
      <c r="B7310" s="9" t="s">
        <v>25224</v>
      </c>
      <c r="G7310" s="9" t="s">
        <v>25225</v>
      </c>
      <c r="O7310" s="10">
        <f>IFERROR(__xludf.DUMMYFUNCTION("VALUE(REGEXEXTRACT(A7310, ""\d+""))"),11646.0)</f>
        <v>11646</v>
      </c>
    </row>
    <row r="7311">
      <c r="A7311" s="9" t="s">
        <v>25226</v>
      </c>
      <c r="B7311" s="9" t="s">
        <v>25227</v>
      </c>
      <c r="G7311" s="9" t="s">
        <v>25228</v>
      </c>
      <c r="O7311" s="10">
        <f>IFERROR(__xludf.DUMMYFUNCTION("VALUE(REGEXEXTRACT(A7311, ""\d+""))"),11647.0)</f>
        <v>11647</v>
      </c>
    </row>
    <row r="7312">
      <c r="A7312" s="9" t="s">
        <v>25229</v>
      </c>
      <c r="B7312" s="9" t="s">
        <v>25230</v>
      </c>
      <c r="G7312" s="9" t="s">
        <v>25231</v>
      </c>
      <c r="O7312" s="10">
        <f>IFERROR(__xludf.DUMMYFUNCTION("VALUE(REGEXEXTRACT(A7312, ""\d+""))"),11648.0)</f>
        <v>11648</v>
      </c>
    </row>
    <row r="7313">
      <c r="A7313" s="9" t="s">
        <v>25232</v>
      </c>
      <c r="B7313" s="9" t="s">
        <v>25233</v>
      </c>
      <c r="G7313" s="9" t="s">
        <v>25234</v>
      </c>
      <c r="O7313" s="10">
        <f>IFERROR(__xludf.DUMMYFUNCTION("VALUE(REGEXEXTRACT(A7313, ""\d+""))"),11650.0)</f>
        <v>11650</v>
      </c>
    </row>
    <row r="7314">
      <c r="A7314" s="9" t="s">
        <v>25235</v>
      </c>
      <c r="B7314" s="9" t="s">
        <v>25236</v>
      </c>
      <c r="G7314" s="9" t="s">
        <v>25237</v>
      </c>
      <c r="O7314" s="10">
        <f>IFERROR(__xludf.DUMMYFUNCTION("VALUE(REGEXEXTRACT(A7314, ""\d+""))"),11651.0)</f>
        <v>11651</v>
      </c>
    </row>
    <row r="7315">
      <c r="A7315" s="9" t="s">
        <v>25238</v>
      </c>
      <c r="B7315" s="9" t="s">
        <v>25239</v>
      </c>
      <c r="G7315" s="9" t="s">
        <v>25240</v>
      </c>
      <c r="O7315" s="10">
        <f>IFERROR(__xludf.DUMMYFUNCTION("VALUE(REGEXEXTRACT(A7315, ""\d+""))"),11652.0)</f>
        <v>11652</v>
      </c>
    </row>
    <row r="7316">
      <c r="A7316" s="9" t="s">
        <v>25241</v>
      </c>
      <c r="B7316" s="9" t="s">
        <v>25242</v>
      </c>
      <c r="G7316" s="9" t="s">
        <v>25243</v>
      </c>
      <c r="O7316" s="10">
        <f>IFERROR(__xludf.DUMMYFUNCTION("VALUE(REGEXEXTRACT(A7316, ""\d+""))"),11653.0)</f>
        <v>11653</v>
      </c>
    </row>
    <row r="7317">
      <c r="A7317" s="9" t="s">
        <v>25244</v>
      </c>
      <c r="B7317" s="9" t="s">
        <v>25245</v>
      </c>
      <c r="G7317" s="9" t="s">
        <v>25240</v>
      </c>
      <c r="O7317" s="10">
        <f>IFERROR(__xludf.DUMMYFUNCTION("VALUE(REGEXEXTRACT(A7317, ""\d+""))"),11654.0)</f>
        <v>11654</v>
      </c>
    </row>
    <row r="7318">
      <c r="A7318" s="9" t="s">
        <v>25246</v>
      </c>
      <c r="B7318" s="9" t="s">
        <v>1656</v>
      </c>
      <c r="G7318" s="9" t="s">
        <v>25247</v>
      </c>
      <c r="O7318" s="10">
        <f>IFERROR(__xludf.DUMMYFUNCTION("VALUE(REGEXEXTRACT(A7318, ""\d+""))"),11655.0)</f>
        <v>11655</v>
      </c>
    </row>
    <row r="7319">
      <c r="A7319" s="9" t="s">
        <v>25248</v>
      </c>
      <c r="B7319" s="9" t="s">
        <v>25249</v>
      </c>
      <c r="G7319" s="9" t="s">
        <v>25250</v>
      </c>
      <c r="O7319" s="10">
        <f>IFERROR(__xludf.DUMMYFUNCTION("VALUE(REGEXEXTRACT(A7319, ""\d+""))"),11656.0)</f>
        <v>11656</v>
      </c>
    </row>
    <row r="7320">
      <c r="A7320" s="9" t="s">
        <v>25251</v>
      </c>
      <c r="B7320" s="9" t="s">
        <v>25252</v>
      </c>
      <c r="G7320" s="9" t="s">
        <v>25253</v>
      </c>
      <c r="O7320" s="10">
        <f>IFERROR(__xludf.DUMMYFUNCTION("VALUE(REGEXEXTRACT(A7320, ""\d+""))"),11657.0)</f>
        <v>11657</v>
      </c>
    </row>
    <row r="7321">
      <c r="A7321" s="9" t="s">
        <v>25254</v>
      </c>
      <c r="B7321" s="9" t="s">
        <v>25255</v>
      </c>
      <c r="G7321" s="9" t="s">
        <v>25256</v>
      </c>
      <c r="O7321" s="10">
        <f>IFERROR(__xludf.DUMMYFUNCTION("VALUE(REGEXEXTRACT(A7321, ""\d+""))"),11658.0)</f>
        <v>11658</v>
      </c>
    </row>
    <row r="7322">
      <c r="A7322" s="9" t="s">
        <v>25257</v>
      </c>
      <c r="B7322" s="9" t="s">
        <v>25258</v>
      </c>
      <c r="G7322" s="9" t="s">
        <v>25259</v>
      </c>
      <c r="O7322" s="10">
        <f>IFERROR(__xludf.DUMMYFUNCTION("VALUE(REGEXEXTRACT(A7322, ""\d+""))"),11659.0)</f>
        <v>11659</v>
      </c>
    </row>
    <row r="7323">
      <c r="A7323" s="9" t="s">
        <v>25260</v>
      </c>
      <c r="B7323" s="9" t="s">
        <v>25261</v>
      </c>
      <c r="G7323" s="9" t="s">
        <v>25262</v>
      </c>
      <c r="O7323" s="10">
        <f>IFERROR(__xludf.DUMMYFUNCTION("VALUE(REGEXEXTRACT(A7323, ""\d+""))"),11660.0)</f>
        <v>11660</v>
      </c>
    </row>
    <row r="7324">
      <c r="A7324" s="9" t="s">
        <v>25263</v>
      </c>
      <c r="B7324" s="9" t="s">
        <v>25264</v>
      </c>
      <c r="G7324" s="9" t="s">
        <v>25264</v>
      </c>
      <c r="O7324" s="10">
        <f>IFERROR(__xludf.DUMMYFUNCTION("VALUE(REGEXEXTRACT(A7324, ""\d+""))"),11661.0)</f>
        <v>11661</v>
      </c>
    </row>
    <row r="7325">
      <c r="A7325" s="9" t="s">
        <v>25265</v>
      </c>
      <c r="B7325" s="9" t="s">
        <v>25266</v>
      </c>
      <c r="G7325" s="9" t="s">
        <v>25266</v>
      </c>
      <c r="O7325" s="10">
        <f>IFERROR(__xludf.DUMMYFUNCTION("VALUE(REGEXEXTRACT(A7325, ""\d+""))"),11662.0)</f>
        <v>11662</v>
      </c>
    </row>
    <row r="7326">
      <c r="A7326" s="9" t="s">
        <v>25267</v>
      </c>
      <c r="B7326" s="9" t="s">
        <v>25268</v>
      </c>
      <c r="G7326" s="9" t="s">
        <v>25268</v>
      </c>
      <c r="O7326" s="10">
        <f>IFERROR(__xludf.DUMMYFUNCTION("VALUE(REGEXEXTRACT(A7326, ""\d+""))"),11663.0)</f>
        <v>11663</v>
      </c>
    </row>
    <row r="7327">
      <c r="A7327" s="9" t="s">
        <v>25269</v>
      </c>
      <c r="B7327" s="9" t="s">
        <v>25270</v>
      </c>
      <c r="G7327" s="9" t="s">
        <v>25270</v>
      </c>
      <c r="O7327" s="10">
        <f>IFERROR(__xludf.DUMMYFUNCTION("VALUE(REGEXEXTRACT(A7327, ""\d+""))"),11664.0)</f>
        <v>11664</v>
      </c>
    </row>
    <row r="7328">
      <c r="A7328" s="9" t="s">
        <v>25271</v>
      </c>
      <c r="B7328" s="9" t="s">
        <v>25272</v>
      </c>
      <c r="G7328" s="9" t="s">
        <v>25272</v>
      </c>
      <c r="O7328" s="10">
        <f>IFERROR(__xludf.DUMMYFUNCTION("VALUE(REGEXEXTRACT(A7328, ""\d+""))"),11665.0)</f>
        <v>11665</v>
      </c>
    </row>
    <row r="7329">
      <c r="A7329" s="9" t="s">
        <v>25273</v>
      </c>
      <c r="B7329" s="9" t="s">
        <v>25274</v>
      </c>
      <c r="G7329" s="9" t="s">
        <v>25274</v>
      </c>
      <c r="O7329" s="10">
        <f>IFERROR(__xludf.DUMMYFUNCTION("VALUE(REGEXEXTRACT(A7329, ""\d+""))"),11666.0)</f>
        <v>11666</v>
      </c>
    </row>
    <row r="7330">
      <c r="A7330" s="9" t="s">
        <v>25275</v>
      </c>
      <c r="B7330" s="9" t="s">
        <v>25276</v>
      </c>
      <c r="G7330" s="9" t="s">
        <v>25276</v>
      </c>
      <c r="O7330" s="10">
        <f>IFERROR(__xludf.DUMMYFUNCTION("VALUE(REGEXEXTRACT(A7330, ""\d+""))"),11667.0)</f>
        <v>11667</v>
      </c>
    </row>
    <row r="7331">
      <c r="A7331" s="9" t="s">
        <v>25277</v>
      </c>
      <c r="B7331" s="9" t="s">
        <v>25278</v>
      </c>
      <c r="G7331" s="9" t="s">
        <v>25278</v>
      </c>
      <c r="O7331" s="10">
        <f>IFERROR(__xludf.DUMMYFUNCTION("VALUE(REGEXEXTRACT(A7331, ""\d+""))"),11668.0)</f>
        <v>11668</v>
      </c>
    </row>
    <row r="7332">
      <c r="A7332" s="9" t="s">
        <v>25279</v>
      </c>
      <c r="B7332" s="9" t="s">
        <v>25280</v>
      </c>
      <c r="G7332" s="9" t="s">
        <v>25280</v>
      </c>
      <c r="O7332" s="10">
        <f>IFERROR(__xludf.DUMMYFUNCTION("VALUE(REGEXEXTRACT(A7332, ""\d+""))"),11669.0)</f>
        <v>11669</v>
      </c>
    </row>
    <row r="7333">
      <c r="A7333" s="9" t="s">
        <v>25281</v>
      </c>
      <c r="B7333" s="9" t="s">
        <v>25282</v>
      </c>
      <c r="G7333" s="9" t="s">
        <v>25283</v>
      </c>
      <c r="O7333" s="10">
        <f>IFERROR(__xludf.DUMMYFUNCTION("VALUE(REGEXEXTRACT(A7333, ""\d+""))"),11671.0)</f>
        <v>11671</v>
      </c>
    </row>
    <row r="7334">
      <c r="A7334" s="9" t="s">
        <v>25284</v>
      </c>
      <c r="B7334" s="9" t="s">
        <v>25285</v>
      </c>
      <c r="G7334" s="9" t="s">
        <v>25286</v>
      </c>
      <c r="O7334" s="10">
        <f>IFERROR(__xludf.DUMMYFUNCTION("VALUE(REGEXEXTRACT(A7334, ""\d+""))"),11672.0)</f>
        <v>11672</v>
      </c>
    </row>
    <row r="7335">
      <c r="A7335" s="9" t="s">
        <v>25287</v>
      </c>
      <c r="B7335" s="9" t="s">
        <v>25288</v>
      </c>
      <c r="G7335" s="9" t="s">
        <v>25289</v>
      </c>
      <c r="O7335" s="10">
        <f>IFERROR(__xludf.DUMMYFUNCTION("VALUE(REGEXEXTRACT(A7335, ""\d+""))"),11673.0)</f>
        <v>11673</v>
      </c>
    </row>
    <row r="7336">
      <c r="A7336" s="9" t="s">
        <v>25290</v>
      </c>
      <c r="B7336" s="9" t="s">
        <v>25291</v>
      </c>
      <c r="G7336" s="9" t="s">
        <v>25292</v>
      </c>
      <c r="O7336" s="10">
        <f>IFERROR(__xludf.DUMMYFUNCTION("VALUE(REGEXEXTRACT(A7336, ""\d+""))"),11674.0)</f>
        <v>11674</v>
      </c>
    </row>
    <row r="7337">
      <c r="A7337" s="9" t="s">
        <v>25293</v>
      </c>
      <c r="B7337" s="9" t="s">
        <v>25294</v>
      </c>
      <c r="G7337" s="9" t="s">
        <v>25295</v>
      </c>
      <c r="O7337" s="10">
        <f>IFERROR(__xludf.DUMMYFUNCTION("VALUE(REGEXEXTRACT(A7337, ""\d+""))"),11675.0)</f>
        <v>11675</v>
      </c>
    </row>
    <row r="7338">
      <c r="A7338" s="9" t="s">
        <v>25296</v>
      </c>
      <c r="B7338" s="9" t="s">
        <v>25297</v>
      </c>
      <c r="G7338" s="9" t="s">
        <v>25298</v>
      </c>
      <c r="O7338" s="10">
        <f>IFERROR(__xludf.DUMMYFUNCTION("VALUE(REGEXEXTRACT(A7338, ""\d+""))"),11676.0)</f>
        <v>11676</v>
      </c>
    </row>
    <row r="7339">
      <c r="A7339" s="9" t="s">
        <v>25299</v>
      </c>
      <c r="B7339" s="9" t="s">
        <v>25300</v>
      </c>
      <c r="G7339" s="9" t="s">
        <v>25301</v>
      </c>
      <c r="O7339" s="10">
        <f>IFERROR(__xludf.DUMMYFUNCTION("VALUE(REGEXEXTRACT(A7339, ""\d+""))"),11677.0)</f>
        <v>11677</v>
      </c>
    </row>
    <row r="7340">
      <c r="A7340" s="9" t="s">
        <v>25302</v>
      </c>
      <c r="B7340" s="9" t="s">
        <v>25303</v>
      </c>
      <c r="G7340" s="9" t="s">
        <v>25304</v>
      </c>
      <c r="O7340" s="10">
        <f>IFERROR(__xludf.DUMMYFUNCTION("VALUE(REGEXEXTRACT(A7340, ""\d+""))"),11678.0)</f>
        <v>11678</v>
      </c>
    </row>
    <row r="7341">
      <c r="A7341" s="9" t="s">
        <v>25305</v>
      </c>
      <c r="B7341" s="9" t="s">
        <v>25306</v>
      </c>
      <c r="G7341" s="9" t="s">
        <v>25307</v>
      </c>
      <c r="O7341" s="10">
        <f>IFERROR(__xludf.DUMMYFUNCTION("VALUE(REGEXEXTRACT(A7341, ""\d+""))"),11679.0)</f>
        <v>11679</v>
      </c>
    </row>
    <row r="7342">
      <c r="A7342" s="9" t="s">
        <v>25308</v>
      </c>
      <c r="B7342" s="9" t="s">
        <v>25309</v>
      </c>
      <c r="G7342" s="9" t="s">
        <v>25310</v>
      </c>
      <c r="O7342" s="10">
        <f>IFERROR(__xludf.DUMMYFUNCTION("VALUE(REGEXEXTRACT(A7342, ""\d+""))"),11680.0)</f>
        <v>11680</v>
      </c>
    </row>
    <row r="7343">
      <c r="A7343" s="9" t="s">
        <v>25311</v>
      </c>
      <c r="B7343" s="9" t="s">
        <v>25312</v>
      </c>
      <c r="G7343" s="9" t="s">
        <v>25313</v>
      </c>
      <c r="O7343" s="10">
        <f>IFERROR(__xludf.DUMMYFUNCTION("VALUE(REGEXEXTRACT(A7343, ""\d+""))"),11681.0)</f>
        <v>11681</v>
      </c>
    </row>
    <row r="7344">
      <c r="A7344" s="9" t="s">
        <v>25314</v>
      </c>
      <c r="B7344" s="9" t="s">
        <v>25315</v>
      </c>
      <c r="G7344" s="9" t="s">
        <v>25316</v>
      </c>
      <c r="O7344" s="10">
        <f>IFERROR(__xludf.DUMMYFUNCTION("VALUE(REGEXEXTRACT(A7344, ""\d+""))"),11683.0)</f>
        <v>11683</v>
      </c>
    </row>
    <row r="7345">
      <c r="A7345" s="9" t="s">
        <v>25317</v>
      </c>
      <c r="B7345" s="9" t="s">
        <v>25318</v>
      </c>
      <c r="G7345" s="9" t="s">
        <v>25319</v>
      </c>
      <c r="O7345" s="10">
        <f>IFERROR(__xludf.DUMMYFUNCTION("VALUE(REGEXEXTRACT(A7345, ""\d+""))"),11684.0)</f>
        <v>11684</v>
      </c>
    </row>
    <row r="7346">
      <c r="A7346" s="9" t="s">
        <v>25320</v>
      </c>
      <c r="B7346" s="9" t="s">
        <v>25321</v>
      </c>
      <c r="G7346" s="9" t="s">
        <v>25322</v>
      </c>
      <c r="O7346" s="10">
        <f>IFERROR(__xludf.DUMMYFUNCTION("VALUE(REGEXEXTRACT(A7346, ""\d+""))"),11685.0)</f>
        <v>11685</v>
      </c>
    </row>
    <row r="7347">
      <c r="A7347" s="9" t="s">
        <v>25323</v>
      </c>
      <c r="B7347" s="9" t="s">
        <v>25324</v>
      </c>
      <c r="G7347" s="9" t="s">
        <v>25325</v>
      </c>
      <c r="O7347" s="10">
        <f>IFERROR(__xludf.DUMMYFUNCTION("VALUE(REGEXEXTRACT(A7347, ""\d+""))"),11686.0)</f>
        <v>11686</v>
      </c>
    </row>
    <row r="7348">
      <c r="A7348" s="9" t="s">
        <v>25326</v>
      </c>
      <c r="B7348" s="9" t="s">
        <v>25327</v>
      </c>
      <c r="G7348" s="9" t="s">
        <v>25328</v>
      </c>
      <c r="O7348" s="10">
        <f>IFERROR(__xludf.DUMMYFUNCTION("VALUE(REGEXEXTRACT(A7348, ""\d+""))"),11687.0)</f>
        <v>11687</v>
      </c>
    </row>
    <row r="7349">
      <c r="A7349" s="9" t="s">
        <v>25329</v>
      </c>
      <c r="B7349" s="9" t="s">
        <v>25330</v>
      </c>
      <c r="G7349" s="9" t="s">
        <v>25331</v>
      </c>
      <c r="O7349" s="10">
        <f>IFERROR(__xludf.DUMMYFUNCTION("VALUE(REGEXEXTRACT(A7349, ""\d+""))"),11688.0)</f>
        <v>11688</v>
      </c>
    </row>
    <row r="7350">
      <c r="A7350" s="9" t="s">
        <v>25332</v>
      </c>
      <c r="B7350" s="9" t="s">
        <v>25315</v>
      </c>
      <c r="G7350" s="9" t="s">
        <v>25316</v>
      </c>
      <c r="O7350" s="10">
        <f>IFERROR(__xludf.DUMMYFUNCTION("VALUE(REGEXEXTRACT(A7350, ""\d+""))"),11690.0)</f>
        <v>11690</v>
      </c>
    </row>
    <row r="7351">
      <c r="A7351" s="9" t="s">
        <v>25333</v>
      </c>
      <c r="B7351" s="9" t="s">
        <v>25334</v>
      </c>
      <c r="G7351" s="9" t="s">
        <v>25335</v>
      </c>
      <c r="O7351" s="10">
        <f>IFERROR(__xludf.DUMMYFUNCTION("VALUE(REGEXEXTRACT(A7351, ""\d+""))"),11691.0)</f>
        <v>11691</v>
      </c>
    </row>
    <row r="7352">
      <c r="A7352" s="9" t="s">
        <v>25336</v>
      </c>
      <c r="B7352" s="9" t="s">
        <v>25337</v>
      </c>
      <c r="G7352" s="9" t="s">
        <v>25338</v>
      </c>
      <c r="O7352" s="10">
        <f>IFERROR(__xludf.DUMMYFUNCTION("VALUE(REGEXEXTRACT(A7352, ""\d+""))"),11692.0)</f>
        <v>11692</v>
      </c>
    </row>
    <row r="7353">
      <c r="A7353" s="9" t="s">
        <v>25339</v>
      </c>
      <c r="B7353" s="9" t="s">
        <v>25340</v>
      </c>
      <c r="G7353" s="9" t="s">
        <v>25341</v>
      </c>
      <c r="O7353" s="10">
        <f>IFERROR(__xludf.DUMMYFUNCTION("VALUE(REGEXEXTRACT(A7353, ""\d+""))"),11693.0)</f>
        <v>11693</v>
      </c>
    </row>
    <row r="7354">
      <c r="A7354" s="9" t="s">
        <v>25342</v>
      </c>
      <c r="B7354" s="9" t="s">
        <v>25343</v>
      </c>
      <c r="G7354" s="9" t="s">
        <v>25344</v>
      </c>
      <c r="O7354" s="10">
        <f>IFERROR(__xludf.DUMMYFUNCTION("VALUE(REGEXEXTRACT(A7354, ""\d+""))"),11694.0)</f>
        <v>11694</v>
      </c>
    </row>
    <row r="7355">
      <c r="A7355" s="9" t="s">
        <v>25345</v>
      </c>
      <c r="B7355" s="9" t="s">
        <v>25346</v>
      </c>
      <c r="G7355" s="9" t="s">
        <v>25347</v>
      </c>
      <c r="O7355" s="10">
        <f>IFERROR(__xludf.DUMMYFUNCTION("VALUE(REGEXEXTRACT(A7355, ""\d+""))"),11695.0)</f>
        <v>11695</v>
      </c>
    </row>
    <row r="7356">
      <c r="A7356" s="9" t="s">
        <v>25348</v>
      </c>
      <c r="B7356" s="9" t="s">
        <v>25349</v>
      </c>
      <c r="G7356" s="9" t="s">
        <v>25350</v>
      </c>
      <c r="O7356" s="10">
        <f>IFERROR(__xludf.DUMMYFUNCTION("VALUE(REGEXEXTRACT(A7356, ""\d+""))"),11696.0)</f>
        <v>11696</v>
      </c>
    </row>
    <row r="7357">
      <c r="A7357" s="9" t="s">
        <v>25351</v>
      </c>
      <c r="B7357" s="9" t="s">
        <v>25352</v>
      </c>
      <c r="G7357" s="9" t="s">
        <v>25353</v>
      </c>
      <c r="O7357" s="10">
        <f>IFERROR(__xludf.DUMMYFUNCTION("VALUE(REGEXEXTRACT(A7357, ""\d+""))"),11697.0)</f>
        <v>11697</v>
      </c>
    </row>
    <row r="7358">
      <c r="A7358" s="9" t="s">
        <v>25354</v>
      </c>
      <c r="B7358" s="9" t="s">
        <v>25355</v>
      </c>
      <c r="G7358" s="9" t="s">
        <v>25356</v>
      </c>
      <c r="O7358" s="10">
        <f>IFERROR(__xludf.DUMMYFUNCTION("VALUE(REGEXEXTRACT(A7358, ""\d+""))"),11698.0)</f>
        <v>11698</v>
      </c>
    </row>
    <row r="7359">
      <c r="A7359" s="9" t="s">
        <v>25357</v>
      </c>
      <c r="B7359" s="9" t="s">
        <v>25358</v>
      </c>
      <c r="G7359" s="9" t="s">
        <v>25359</v>
      </c>
      <c r="O7359" s="10">
        <f>IFERROR(__xludf.DUMMYFUNCTION("VALUE(REGEXEXTRACT(A7359, ""\d+""))"),11699.0)</f>
        <v>11699</v>
      </c>
    </row>
    <row r="7360">
      <c r="A7360" s="9" t="s">
        <v>25360</v>
      </c>
      <c r="B7360" s="9" t="s">
        <v>25361</v>
      </c>
      <c r="G7360" s="9" t="s">
        <v>25362</v>
      </c>
      <c r="O7360" s="10">
        <f>IFERROR(__xludf.DUMMYFUNCTION("VALUE(REGEXEXTRACT(A7360, ""\d+""))"),11700.0)</f>
        <v>11700</v>
      </c>
    </row>
    <row r="7361">
      <c r="A7361" s="9" t="s">
        <v>25363</v>
      </c>
      <c r="B7361" s="9" t="s">
        <v>25364</v>
      </c>
      <c r="G7361" s="9" t="s">
        <v>25365</v>
      </c>
      <c r="O7361" s="10">
        <f>IFERROR(__xludf.DUMMYFUNCTION("VALUE(REGEXEXTRACT(A7361, ""\d+""))"),11701.0)</f>
        <v>11701</v>
      </c>
    </row>
    <row r="7362">
      <c r="A7362" s="9" t="s">
        <v>25366</v>
      </c>
      <c r="B7362" s="9" t="s">
        <v>25367</v>
      </c>
      <c r="G7362" s="9" t="s">
        <v>14610</v>
      </c>
      <c r="O7362" s="10">
        <f>IFERROR(__xludf.DUMMYFUNCTION("VALUE(REGEXEXTRACT(A7362, ""\d+""))"),11702.0)</f>
        <v>11702</v>
      </c>
    </row>
    <row r="7363">
      <c r="A7363" s="9" t="s">
        <v>25368</v>
      </c>
      <c r="B7363" s="9" t="s">
        <v>25369</v>
      </c>
      <c r="O7363" s="10">
        <f>IFERROR(__xludf.DUMMYFUNCTION("VALUE(REGEXEXTRACT(A7363, ""\d+""))"),11703.0)</f>
        <v>11703</v>
      </c>
    </row>
    <row r="7364">
      <c r="A7364" s="9" t="s">
        <v>25370</v>
      </c>
      <c r="B7364" s="9" t="s">
        <v>25371</v>
      </c>
      <c r="O7364" s="10">
        <f>IFERROR(__xludf.DUMMYFUNCTION("VALUE(REGEXEXTRACT(A7364, ""\d+""))"),11704.0)</f>
        <v>11704</v>
      </c>
    </row>
    <row r="7365">
      <c r="A7365" s="9" t="s">
        <v>25372</v>
      </c>
      <c r="B7365" s="9" t="s">
        <v>25373</v>
      </c>
      <c r="G7365" s="9" t="s">
        <v>14610</v>
      </c>
      <c r="O7365" s="10">
        <f>IFERROR(__xludf.DUMMYFUNCTION("VALUE(REGEXEXTRACT(A7365, ""\d+""))"),11705.0)</f>
        <v>11705</v>
      </c>
    </row>
    <row r="7366">
      <c r="A7366" s="9" t="s">
        <v>25374</v>
      </c>
      <c r="B7366" s="9" t="s">
        <v>25375</v>
      </c>
      <c r="G7366" s="9" t="s">
        <v>25376</v>
      </c>
      <c r="O7366" s="10">
        <f>IFERROR(__xludf.DUMMYFUNCTION("VALUE(REGEXEXTRACT(A7366, ""\d+""))"),11706.0)</f>
        <v>11706</v>
      </c>
    </row>
    <row r="7367">
      <c r="A7367" s="9" t="s">
        <v>25377</v>
      </c>
      <c r="B7367" s="9" t="s">
        <v>25378</v>
      </c>
      <c r="G7367" s="9" t="s">
        <v>25379</v>
      </c>
      <c r="O7367" s="10">
        <f>IFERROR(__xludf.DUMMYFUNCTION("VALUE(REGEXEXTRACT(A7367, ""\d+""))"),11707.0)</f>
        <v>11707</v>
      </c>
    </row>
    <row r="7368">
      <c r="A7368" s="9" t="s">
        <v>25380</v>
      </c>
      <c r="B7368" s="9" t="s">
        <v>25381</v>
      </c>
      <c r="G7368" s="9" t="s">
        <v>25382</v>
      </c>
      <c r="O7368" s="10">
        <f>IFERROR(__xludf.DUMMYFUNCTION("VALUE(REGEXEXTRACT(A7368, ""\d+""))"),11708.0)</f>
        <v>11708</v>
      </c>
    </row>
    <row r="7369">
      <c r="A7369" s="9" t="s">
        <v>25383</v>
      </c>
      <c r="B7369" s="9" t="s">
        <v>25384</v>
      </c>
      <c r="G7369" s="9" t="s">
        <v>25385</v>
      </c>
      <c r="O7369" s="10">
        <f>IFERROR(__xludf.DUMMYFUNCTION("VALUE(REGEXEXTRACT(A7369, ""\d+""))"),11709.0)</f>
        <v>11709</v>
      </c>
    </row>
    <row r="7370">
      <c r="A7370" s="9" t="s">
        <v>25386</v>
      </c>
      <c r="B7370" s="9" t="s">
        <v>25387</v>
      </c>
      <c r="G7370" s="9" t="s">
        <v>25388</v>
      </c>
      <c r="O7370" s="10">
        <f>IFERROR(__xludf.DUMMYFUNCTION("VALUE(REGEXEXTRACT(A7370, ""\d+""))"),11710.0)</f>
        <v>11710</v>
      </c>
    </row>
    <row r="7371">
      <c r="A7371" s="9" t="s">
        <v>25389</v>
      </c>
      <c r="B7371" s="9" t="s">
        <v>25390</v>
      </c>
      <c r="G7371" s="9" t="s">
        <v>25391</v>
      </c>
      <c r="O7371" s="10">
        <f>IFERROR(__xludf.DUMMYFUNCTION("VALUE(REGEXEXTRACT(A7371, ""\d+""))"),11711.0)</f>
        <v>11711</v>
      </c>
    </row>
    <row r="7372">
      <c r="A7372" s="9" t="s">
        <v>25392</v>
      </c>
      <c r="B7372" s="9" t="s">
        <v>13216</v>
      </c>
      <c r="G7372" s="9" t="s">
        <v>25393</v>
      </c>
      <c r="O7372" s="10">
        <f>IFERROR(__xludf.DUMMYFUNCTION("VALUE(REGEXEXTRACT(A7372, ""\d+""))"),11716.0)</f>
        <v>11716</v>
      </c>
    </row>
    <row r="7373">
      <c r="A7373" s="9" t="s">
        <v>25394</v>
      </c>
      <c r="B7373" s="9" t="s">
        <v>25395</v>
      </c>
      <c r="G7373" s="9" t="s">
        <v>25396</v>
      </c>
      <c r="O7373" s="10">
        <f>IFERROR(__xludf.DUMMYFUNCTION("VALUE(REGEXEXTRACT(A7373, ""\d+""))"),11717.0)</f>
        <v>11717</v>
      </c>
    </row>
    <row r="7374">
      <c r="A7374" s="9" t="s">
        <v>25397</v>
      </c>
      <c r="B7374" s="9" t="s">
        <v>25398</v>
      </c>
      <c r="G7374" s="9" t="s">
        <v>25399</v>
      </c>
      <c r="O7374" s="10">
        <f>IFERROR(__xludf.DUMMYFUNCTION("VALUE(REGEXEXTRACT(A7374, ""\d+""))"),11718.0)</f>
        <v>11718</v>
      </c>
    </row>
    <row r="7375">
      <c r="A7375" s="9" t="s">
        <v>25400</v>
      </c>
      <c r="B7375" s="9" t="s">
        <v>25401</v>
      </c>
      <c r="G7375" s="9" t="s">
        <v>25402</v>
      </c>
      <c r="O7375" s="10">
        <f>IFERROR(__xludf.DUMMYFUNCTION("VALUE(REGEXEXTRACT(A7375, ""\d+""))"),11719.0)</f>
        <v>11719</v>
      </c>
    </row>
    <row r="7376">
      <c r="A7376" s="9" t="s">
        <v>25403</v>
      </c>
      <c r="B7376" s="9" t="s">
        <v>25404</v>
      </c>
      <c r="G7376" s="9" t="s">
        <v>25405</v>
      </c>
      <c r="O7376" s="10">
        <f>IFERROR(__xludf.DUMMYFUNCTION("VALUE(REGEXEXTRACT(A7376, ""\d+""))"),11720.0)</f>
        <v>11720</v>
      </c>
    </row>
    <row r="7377">
      <c r="A7377" s="9" t="s">
        <v>25406</v>
      </c>
      <c r="B7377" s="9" t="s">
        <v>25407</v>
      </c>
      <c r="G7377" s="9" t="s">
        <v>25408</v>
      </c>
      <c r="O7377" s="10">
        <f>IFERROR(__xludf.DUMMYFUNCTION("VALUE(REGEXEXTRACT(A7377, ""\d+""))"),11721.0)</f>
        <v>11721</v>
      </c>
    </row>
    <row r="7378">
      <c r="A7378" s="9" t="s">
        <v>25409</v>
      </c>
      <c r="B7378" s="9" t="s">
        <v>25410</v>
      </c>
      <c r="G7378" s="9" t="s">
        <v>25411</v>
      </c>
      <c r="O7378" s="10">
        <f>IFERROR(__xludf.DUMMYFUNCTION("VALUE(REGEXEXTRACT(A7378, ""\d+""))"),11722.0)</f>
        <v>11722</v>
      </c>
    </row>
    <row r="7379">
      <c r="A7379" s="9" t="s">
        <v>25412</v>
      </c>
      <c r="B7379" s="9" t="s">
        <v>25413</v>
      </c>
      <c r="G7379" s="9" t="s">
        <v>25414</v>
      </c>
      <c r="O7379" s="10">
        <f>IFERROR(__xludf.DUMMYFUNCTION("VALUE(REGEXEXTRACT(A7379, ""\d+""))"),11723.0)</f>
        <v>11723</v>
      </c>
    </row>
    <row r="7380">
      <c r="A7380" s="9" t="s">
        <v>25415</v>
      </c>
      <c r="B7380" s="9" t="s">
        <v>25416</v>
      </c>
      <c r="G7380" s="9" t="s">
        <v>25417</v>
      </c>
      <c r="O7380" s="10">
        <f>IFERROR(__xludf.DUMMYFUNCTION("VALUE(REGEXEXTRACT(A7380, ""\d+""))"),11724.0)</f>
        <v>11724</v>
      </c>
    </row>
    <row r="7381">
      <c r="A7381" s="9" t="s">
        <v>25418</v>
      </c>
      <c r="B7381" s="9" t="s">
        <v>25419</v>
      </c>
      <c r="G7381" s="9" t="s">
        <v>25420</v>
      </c>
      <c r="O7381" s="10">
        <f>IFERROR(__xludf.DUMMYFUNCTION("VALUE(REGEXEXTRACT(A7381, ""\d+""))"),11725.0)</f>
        <v>11725</v>
      </c>
    </row>
    <row r="7382">
      <c r="A7382" s="9" t="s">
        <v>25421</v>
      </c>
      <c r="B7382" s="9" t="s">
        <v>25422</v>
      </c>
      <c r="G7382" s="9" t="s">
        <v>25423</v>
      </c>
      <c r="O7382" s="10">
        <f>IFERROR(__xludf.DUMMYFUNCTION("VALUE(REGEXEXTRACT(A7382, ""\d+""))"),11726.0)</f>
        <v>11726</v>
      </c>
    </row>
    <row r="7383">
      <c r="A7383" s="9" t="s">
        <v>25424</v>
      </c>
      <c r="B7383" s="9" t="s">
        <v>25425</v>
      </c>
      <c r="G7383" s="9" t="s">
        <v>25426</v>
      </c>
      <c r="O7383" s="10">
        <f>IFERROR(__xludf.DUMMYFUNCTION("VALUE(REGEXEXTRACT(A7383, ""\d+""))"),11727.0)</f>
        <v>11727</v>
      </c>
    </row>
    <row r="7384">
      <c r="A7384" s="9" t="s">
        <v>25427</v>
      </c>
      <c r="B7384" s="9" t="s">
        <v>25428</v>
      </c>
      <c r="G7384" s="9" t="s">
        <v>25429</v>
      </c>
      <c r="O7384" s="10">
        <f>IFERROR(__xludf.DUMMYFUNCTION("VALUE(REGEXEXTRACT(A7384, ""\d+""))"),11728.0)</f>
        <v>11728</v>
      </c>
    </row>
    <row r="7385">
      <c r="A7385" s="9" t="s">
        <v>25430</v>
      </c>
      <c r="B7385" s="9" t="s">
        <v>25431</v>
      </c>
      <c r="G7385" s="9" t="s">
        <v>25432</v>
      </c>
      <c r="O7385" s="10">
        <f>IFERROR(__xludf.DUMMYFUNCTION("VALUE(REGEXEXTRACT(A7385, ""\d+""))"),11729.0)</f>
        <v>11729</v>
      </c>
    </row>
    <row r="7386">
      <c r="A7386" s="9" t="s">
        <v>25433</v>
      </c>
      <c r="B7386" s="9" t="s">
        <v>25434</v>
      </c>
      <c r="G7386" s="9" t="s">
        <v>25435</v>
      </c>
      <c r="O7386" s="10">
        <f>IFERROR(__xludf.DUMMYFUNCTION("VALUE(REGEXEXTRACT(A7386, ""\d+""))"),11730.0)</f>
        <v>11730</v>
      </c>
    </row>
    <row r="7387">
      <c r="A7387" s="9" t="s">
        <v>25436</v>
      </c>
      <c r="B7387" s="9" t="s">
        <v>25437</v>
      </c>
      <c r="G7387" s="9" t="s">
        <v>25438</v>
      </c>
      <c r="O7387" s="10">
        <f>IFERROR(__xludf.DUMMYFUNCTION("VALUE(REGEXEXTRACT(A7387, ""\d+""))"),11731.0)</f>
        <v>11731</v>
      </c>
    </row>
    <row r="7388">
      <c r="A7388" s="9" t="s">
        <v>25439</v>
      </c>
      <c r="B7388" s="9" t="s">
        <v>25440</v>
      </c>
      <c r="G7388" s="9" t="s">
        <v>25441</v>
      </c>
      <c r="O7388" s="10">
        <f>IFERROR(__xludf.DUMMYFUNCTION("VALUE(REGEXEXTRACT(A7388, ""\d+""))"),11733.0)</f>
        <v>11733</v>
      </c>
    </row>
    <row r="7389">
      <c r="A7389" s="9" t="s">
        <v>25442</v>
      </c>
      <c r="B7389" s="9" t="s">
        <v>25443</v>
      </c>
      <c r="G7389" s="9" t="s">
        <v>25444</v>
      </c>
      <c r="O7389" s="10">
        <f>IFERROR(__xludf.DUMMYFUNCTION("VALUE(REGEXEXTRACT(A7389, ""\d+""))"),11734.0)</f>
        <v>11734</v>
      </c>
    </row>
    <row r="7390">
      <c r="A7390" s="9" t="s">
        <v>25445</v>
      </c>
      <c r="B7390" s="9" t="s">
        <v>25446</v>
      </c>
      <c r="G7390" s="9" t="s">
        <v>25447</v>
      </c>
      <c r="O7390" s="10">
        <f>IFERROR(__xludf.DUMMYFUNCTION("VALUE(REGEXEXTRACT(A7390, ""\d+""))"),11735.0)</f>
        <v>11735</v>
      </c>
    </row>
    <row r="7391">
      <c r="A7391" s="9" t="s">
        <v>25448</v>
      </c>
      <c r="B7391" s="9" t="s">
        <v>25449</v>
      </c>
      <c r="G7391" s="9" t="s">
        <v>25450</v>
      </c>
      <c r="O7391" s="10">
        <f>IFERROR(__xludf.DUMMYFUNCTION("VALUE(REGEXEXTRACT(A7391, ""\d+""))"),11736.0)</f>
        <v>11736</v>
      </c>
    </row>
    <row r="7392">
      <c r="A7392" s="9" t="s">
        <v>25451</v>
      </c>
      <c r="B7392" s="9" t="s">
        <v>25452</v>
      </c>
      <c r="G7392" s="9" t="s">
        <v>25453</v>
      </c>
      <c r="O7392" s="10">
        <f>IFERROR(__xludf.DUMMYFUNCTION("VALUE(REGEXEXTRACT(A7392, ""\d+""))"),11737.0)</f>
        <v>11737</v>
      </c>
    </row>
    <row r="7393">
      <c r="A7393" s="9" t="s">
        <v>25454</v>
      </c>
      <c r="B7393" s="9" t="s">
        <v>25455</v>
      </c>
      <c r="G7393" s="9" t="s">
        <v>25456</v>
      </c>
      <c r="O7393" s="10">
        <f>IFERROR(__xludf.DUMMYFUNCTION("VALUE(REGEXEXTRACT(A7393, ""\d+""))"),11738.0)</f>
        <v>11738</v>
      </c>
    </row>
    <row r="7394">
      <c r="A7394" s="9" t="s">
        <v>25457</v>
      </c>
      <c r="B7394" s="9" t="s">
        <v>25458</v>
      </c>
      <c r="G7394" s="9" t="s">
        <v>25459</v>
      </c>
      <c r="O7394" s="10">
        <f>IFERROR(__xludf.DUMMYFUNCTION("VALUE(REGEXEXTRACT(A7394, ""\d+""))"),11739.0)</f>
        <v>11739</v>
      </c>
    </row>
    <row r="7395">
      <c r="A7395" s="9" t="s">
        <v>25460</v>
      </c>
      <c r="B7395" s="9" t="s">
        <v>25461</v>
      </c>
      <c r="G7395" s="9" t="s">
        <v>25435</v>
      </c>
      <c r="O7395" s="10">
        <f>IFERROR(__xludf.DUMMYFUNCTION("VALUE(REGEXEXTRACT(A7395, ""\d+""))"),11741.0)</f>
        <v>11741</v>
      </c>
    </row>
    <row r="7396">
      <c r="A7396" s="9" t="s">
        <v>25462</v>
      </c>
      <c r="B7396" s="9" t="s">
        <v>25463</v>
      </c>
      <c r="G7396" s="9" t="s">
        <v>22616</v>
      </c>
      <c r="O7396" s="10">
        <f>IFERROR(__xludf.DUMMYFUNCTION("VALUE(REGEXEXTRACT(A7396, ""\d+""))"),11742.0)</f>
        <v>11742</v>
      </c>
    </row>
    <row r="7397">
      <c r="A7397" s="9" t="s">
        <v>25464</v>
      </c>
      <c r="B7397" s="9" t="s">
        <v>25465</v>
      </c>
      <c r="G7397" s="9" t="s">
        <v>22613</v>
      </c>
      <c r="O7397" s="10">
        <f>IFERROR(__xludf.DUMMYFUNCTION("VALUE(REGEXEXTRACT(A7397, ""\d+""))"),11743.0)</f>
        <v>11743</v>
      </c>
    </row>
    <row r="7398">
      <c r="A7398" s="9" t="s">
        <v>25466</v>
      </c>
      <c r="B7398" s="9" t="s">
        <v>25467</v>
      </c>
      <c r="G7398" s="9" t="s">
        <v>25429</v>
      </c>
      <c r="O7398" s="10">
        <f>IFERROR(__xludf.DUMMYFUNCTION("VALUE(REGEXEXTRACT(A7398, ""\d+""))"),11744.0)</f>
        <v>11744</v>
      </c>
    </row>
    <row r="7399">
      <c r="A7399" s="9" t="s">
        <v>25468</v>
      </c>
      <c r="B7399" s="9" t="s">
        <v>25469</v>
      </c>
      <c r="G7399" s="9" t="s">
        <v>8167</v>
      </c>
      <c r="O7399" s="10">
        <f>IFERROR(__xludf.DUMMYFUNCTION("VALUE(REGEXEXTRACT(A7399, ""\d+""))"),11745.0)</f>
        <v>11745</v>
      </c>
    </row>
    <row r="7400">
      <c r="A7400" s="9" t="s">
        <v>25470</v>
      </c>
      <c r="B7400" s="9" t="s">
        <v>25471</v>
      </c>
      <c r="G7400" s="9" t="s">
        <v>25472</v>
      </c>
      <c r="O7400" s="10">
        <f>IFERROR(__xludf.DUMMYFUNCTION("VALUE(REGEXEXTRACT(A7400, ""\d+""))"),11746.0)</f>
        <v>11746</v>
      </c>
    </row>
    <row r="7401">
      <c r="A7401" s="9" t="s">
        <v>25473</v>
      </c>
      <c r="B7401" s="9" t="s">
        <v>25474</v>
      </c>
      <c r="G7401" s="9" t="s">
        <v>25472</v>
      </c>
      <c r="O7401" s="10">
        <f>IFERROR(__xludf.DUMMYFUNCTION("VALUE(REGEXEXTRACT(A7401, ""\d+""))"),11747.0)</f>
        <v>11747</v>
      </c>
    </row>
    <row r="7402">
      <c r="A7402" s="9" t="s">
        <v>25475</v>
      </c>
      <c r="B7402" s="9" t="s">
        <v>25476</v>
      </c>
      <c r="G7402" s="9" t="s">
        <v>25477</v>
      </c>
      <c r="O7402" s="10">
        <f>IFERROR(__xludf.DUMMYFUNCTION("VALUE(REGEXEXTRACT(A7402, ""\d+""))"),11748.0)</f>
        <v>11748</v>
      </c>
    </row>
    <row r="7403">
      <c r="A7403" s="9" t="s">
        <v>25478</v>
      </c>
      <c r="B7403" s="9" t="s">
        <v>25479</v>
      </c>
      <c r="G7403" s="9" t="s">
        <v>25480</v>
      </c>
      <c r="O7403" s="10">
        <f>IFERROR(__xludf.DUMMYFUNCTION("VALUE(REGEXEXTRACT(A7403, ""\d+""))"),11749.0)</f>
        <v>11749</v>
      </c>
    </row>
    <row r="7404">
      <c r="A7404" s="9" t="s">
        <v>25481</v>
      </c>
      <c r="B7404" s="9" t="s">
        <v>25482</v>
      </c>
      <c r="G7404" s="9" t="s">
        <v>25483</v>
      </c>
      <c r="O7404" s="10">
        <f>IFERROR(__xludf.DUMMYFUNCTION("VALUE(REGEXEXTRACT(A7404, ""\d+""))"),11750.0)</f>
        <v>11750</v>
      </c>
    </row>
    <row r="7405">
      <c r="A7405" s="9" t="s">
        <v>25484</v>
      </c>
      <c r="B7405" s="9" t="s">
        <v>25485</v>
      </c>
      <c r="G7405" s="9" t="s">
        <v>25486</v>
      </c>
      <c r="O7405" s="10">
        <f>IFERROR(__xludf.DUMMYFUNCTION("VALUE(REGEXEXTRACT(A7405, ""\d+""))"),11751.0)</f>
        <v>11751</v>
      </c>
    </row>
    <row r="7406">
      <c r="A7406" s="9" t="s">
        <v>25487</v>
      </c>
      <c r="B7406" s="9" t="s">
        <v>25488</v>
      </c>
      <c r="G7406" s="9" t="s">
        <v>25489</v>
      </c>
      <c r="O7406" s="10">
        <f>IFERROR(__xludf.DUMMYFUNCTION("VALUE(REGEXEXTRACT(A7406, ""\d+""))"),11752.0)</f>
        <v>11752</v>
      </c>
    </row>
    <row r="7407">
      <c r="A7407" s="9" t="s">
        <v>25490</v>
      </c>
      <c r="B7407" s="9" t="s">
        <v>25491</v>
      </c>
      <c r="G7407" s="9" t="s">
        <v>25492</v>
      </c>
      <c r="O7407" s="10">
        <f>IFERROR(__xludf.DUMMYFUNCTION("VALUE(REGEXEXTRACT(A7407, ""\d+""))"),11753.0)</f>
        <v>11753</v>
      </c>
    </row>
    <row r="7408">
      <c r="A7408" s="9" t="s">
        <v>25493</v>
      </c>
      <c r="B7408" s="9" t="s">
        <v>25494</v>
      </c>
      <c r="G7408" s="9" t="s">
        <v>25495</v>
      </c>
      <c r="O7408" s="10">
        <f>IFERROR(__xludf.DUMMYFUNCTION("VALUE(REGEXEXTRACT(A7408, ""\d+""))"),11754.0)</f>
        <v>11754</v>
      </c>
    </row>
    <row r="7409">
      <c r="A7409" s="9" t="s">
        <v>25496</v>
      </c>
      <c r="B7409" s="9" t="s">
        <v>25497</v>
      </c>
      <c r="G7409" s="9" t="s">
        <v>1714</v>
      </c>
      <c r="O7409" s="10">
        <f>IFERROR(__xludf.DUMMYFUNCTION("VALUE(REGEXEXTRACT(A7409, ""\d+""))"),11755.0)</f>
        <v>11755</v>
      </c>
    </row>
    <row r="7410">
      <c r="A7410" s="9" t="s">
        <v>25498</v>
      </c>
      <c r="B7410" s="9" t="s">
        <v>25499</v>
      </c>
      <c r="G7410" s="9" t="s">
        <v>25500</v>
      </c>
      <c r="O7410" s="10">
        <f>IFERROR(__xludf.DUMMYFUNCTION("VALUE(REGEXEXTRACT(A7410, ""\d+""))"),11757.0)</f>
        <v>11757</v>
      </c>
    </row>
    <row r="7411">
      <c r="A7411" s="9" t="s">
        <v>25501</v>
      </c>
      <c r="B7411" s="9" t="s">
        <v>25502</v>
      </c>
      <c r="G7411" s="9" t="s">
        <v>25503</v>
      </c>
      <c r="O7411" s="10">
        <f>IFERROR(__xludf.DUMMYFUNCTION("VALUE(REGEXEXTRACT(A7411, ""\d+""))"),11758.0)</f>
        <v>11758</v>
      </c>
    </row>
    <row r="7412">
      <c r="A7412" s="9" t="s">
        <v>25504</v>
      </c>
      <c r="B7412" s="9" t="s">
        <v>25505</v>
      </c>
      <c r="G7412" s="9" t="s">
        <v>25506</v>
      </c>
      <c r="O7412" s="10">
        <f>IFERROR(__xludf.DUMMYFUNCTION("VALUE(REGEXEXTRACT(A7412, ""\d+""))"),11760.0)</f>
        <v>11760</v>
      </c>
    </row>
    <row r="7413">
      <c r="A7413" s="9" t="s">
        <v>25507</v>
      </c>
      <c r="B7413" s="9" t="s">
        <v>25508</v>
      </c>
      <c r="G7413" s="9" t="s">
        <v>25509</v>
      </c>
      <c r="O7413" s="10">
        <f>IFERROR(__xludf.DUMMYFUNCTION("VALUE(REGEXEXTRACT(A7413, ""\d+""))"),11761.0)</f>
        <v>11761</v>
      </c>
    </row>
    <row r="7414">
      <c r="A7414" s="9" t="s">
        <v>25510</v>
      </c>
      <c r="B7414" s="9" t="s">
        <v>9045</v>
      </c>
      <c r="G7414" s="9" t="s">
        <v>25511</v>
      </c>
      <c r="O7414" s="10">
        <f>IFERROR(__xludf.DUMMYFUNCTION("VALUE(REGEXEXTRACT(A7414, ""\d+""))"),11762.0)</f>
        <v>11762</v>
      </c>
    </row>
    <row r="7415">
      <c r="A7415" s="9" t="s">
        <v>25512</v>
      </c>
      <c r="B7415" s="9" t="s">
        <v>25513</v>
      </c>
      <c r="G7415" s="9" t="s">
        <v>25514</v>
      </c>
      <c r="O7415" s="10">
        <f>IFERROR(__xludf.DUMMYFUNCTION("VALUE(REGEXEXTRACT(A7415, ""\d+""))"),11763.0)</f>
        <v>11763</v>
      </c>
    </row>
    <row r="7416">
      <c r="A7416" s="9" t="s">
        <v>25515</v>
      </c>
      <c r="B7416" s="9" t="s">
        <v>25516</v>
      </c>
      <c r="G7416" s="9" t="s">
        <v>25517</v>
      </c>
      <c r="O7416" s="10">
        <f>IFERROR(__xludf.DUMMYFUNCTION("VALUE(REGEXEXTRACT(A7416, ""\d+""))"),11764.0)</f>
        <v>11764</v>
      </c>
    </row>
    <row r="7417">
      <c r="A7417" s="9" t="s">
        <v>25518</v>
      </c>
      <c r="B7417" s="9" t="s">
        <v>25519</v>
      </c>
      <c r="G7417" s="9" t="s">
        <v>25520</v>
      </c>
      <c r="O7417" s="10">
        <f>IFERROR(__xludf.DUMMYFUNCTION("VALUE(REGEXEXTRACT(A7417, ""\d+""))"),11765.0)</f>
        <v>11765</v>
      </c>
    </row>
    <row r="7418">
      <c r="A7418" s="9" t="s">
        <v>25521</v>
      </c>
      <c r="B7418" s="9" t="s">
        <v>25522</v>
      </c>
      <c r="G7418" s="9" t="s">
        <v>25523</v>
      </c>
      <c r="O7418" s="10">
        <f>IFERROR(__xludf.DUMMYFUNCTION("VALUE(REGEXEXTRACT(A7418, ""\d+""))"),11767.0)</f>
        <v>11767</v>
      </c>
    </row>
    <row r="7419">
      <c r="A7419" s="9" t="s">
        <v>25524</v>
      </c>
      <c r="B7419" s="9" t="s">
        <v>25525</v>
      </c>
      <c r="G7419" s="9" t="s">
        <v>6917</v>
      </c>
      <c r="O7419" s="10">
        <f>IFERROR(__xludf.DUMMYFUNCTION("VALUE(REGEXEXTRACT(A7419, ""\d+""))"),11768.0)</f>
        <v>11768</v>
      </c>
    </row>
    <row r="7420">
      <c r="A7420" s="9" t="s">
        <v>25526</v>
      </c>
      <c r="B7420" s="9" t="s">
        <v>25527</v>
      </c>
      <c r="G7420" s="9" t="s">
        <v>20872</v>
      </c>
      <c r="O7420" s="10">
        <f>IFERROR(__xludf.DUMMYFUNCTION("VALUE(REGEXEXTRACT(A7420, ""\d+""))"),11769.0)</f>
        <v>11769</v>
      </c>
    </row>
    <row r="7421">
      <c r="A7421" s="9" t="s">
        <v>25528</v>
      </c>
      <c r="B7421" s="9" t="s">
        <v>25527</v>
      </c>
      <c r="G7421" s="9" t="s">
        <v>20872</v>
      </c>
      <c r="O7421" s="10">
        <f>IFERROR(__xludf.DUMMYFUNCTION("VALUE(REGEXEXTRACT(A7421, ""\d+""))"),11770.0)</f>
        <v>11770</v>
      </c>
    </row>
    <row r="7422">
      <c r="A7422" s="9" t="s">
        <v>25529</v>
      </c>
      <c r="B7422" s="9" t="s">
        <v>25522</v>
      </c>
      <c r="G7422" s="9" t="s">
        <v>25523</v>
      </c>
      <c r="O7422" s="10">
        <f>IFERROR(__xludf.DUMMYFUNCTION("VALUE(REGEXEXTRACT(A7422, ""\d+""))"),11771.0)</f>
        <v>11771</v>
      </c>
    </row>
    <row r="7423">
      <c r="A7423" s="9" t="s">
        <v>25530</v>
      </c>
      <c r="B7423" s="9" t="s">
        <v>25522</v>
      </c>
      <c r="G7423" s="9" t="s">
        <v>25523</v>
      </c>
      <c r="O7423" s="10">
        <f>IFERROR(__xludf.DUMMYFUNCTION("VALUE(REGEXEXTRACT(A7423, ""\d+""))"),11772.0)</f>
        <v>11772</v>
      </c>
    </row>
    <row r="7424">
      <c r="A7424" s="9" t="s">
        <v>25531</v>
      </c>
      <c r="B7424" s="9" t="s">
        <v>25532</v>
      </c>
      <c r="G7424" s="9" t="s">
        <v>25533</v>
      </c>
      <c r="O7424" s="10">
        <f>IFERROR(__xludf.DUMMYFUNCTION("VALUE(REGEXEXTRACT(A7424, ""\d+""))"),11773.0)</f>
        <v>11773</v>
      </c>
    </row>
    <row r="7425">
      <c r="A7425" s="9" t="s">
        <v>25534</v>
      </c>
      <c r="B7425" s="9" t="s">
        <v>25535</v>
      </c>
      <c r="G7425" s="9" t="s">
        <v>25536</v>
      </c>
      <c r="O7425" s="10">
        <f>IFERROR(__xludf.DUMMYFUNCTION("VALUE(REGEXEXTRACT(A7425, ""\d+""))"),11774.0)</f>
        <v>11774</v>
      </c>
    </row>
    <row r="7426">
      <c r="A7426" s="9" t="s">
        <v>25537</v>
      </c>
      <c r="B7426" s="9" t="s">
        <v>25535</v>
      </c>
      <c r="G7426" s="9" t="s">
        <v>25536</v>
      </c>
      <c r="O7426" s="10">
        <f>IFERROR(__xludf.DUMMYFUNCTION("VALUE(REGEXEXTRACT(A7426, ""\d+""))"),11775.0)</f>
        <v>11775</v>
      </c>
    </row>
    <row r="7427">
      <c r="A7427" s="9" t="s">
        <v>25538</v>
      </c>
      <c r="B7427" s="9" t="s">
        <v>25539</v>
      </c>
      <c r="G7427" s="9" t="s">
        <v>25540</v>
      </c>
      <c r="O7427" s="10">
        <f>IFERROR(__xludf.DUMMYFUNCTION("VALUE(REGEXEXTRACT(A7427, ""\d+""))"),11776.0)</f>
        <v>11776</v>
      </c>
    </row>
    <row r="7428">
      <c r="A7428" s="9" t="s">
        <v>25541</v>
      </c>
      <c r="B7428" s="9" t="s">
        <v>25539</v>
      </c>
      <c r="G7428" s="9" t="s">
        <v>25540</v>
      </c>
      <c r="O7428" s="10">
        <f>IFERROR(__xludf.DUMMYFUNCTION("VALUE(REGEXEXTRACT(A7428, ""\d+""))"),11777.0)</f>
        <v>11777</v>
      </c>
    </row>
    <row r="7429">
      <c r="A7429" s="9" t="s">
        <v>25542</v>
      </c>
      <c r="B7429" s="9" t="s">
        <v>25535</v>
      </c>
      <c r="G7429" s="9" t="s">
        <v>25536</v>
      </c>
      <c r="O7429" s="10">
        <f>IFERROR(__xludf.DUMMYFUNCTION("VALUE(REGEXEXTRACT(A7429, ""\d+""))"),11778.0)</f>
        <v>11778</v>
      </c>
    </row>
    <row r="7430">
      <c r="A7430" s="9" t="s">
        <v>25543</v>
      </c>
      <c r="B7430" s="9" t="s">
        <v>25544</v>
      </c>
      <c r="G7430" s="9" t="s">
        <v>25545</v>
      </c>
      <c r="O7430" s="10">
        <f>IFERROR(__xludf.DUMMYFUNCTION("VALUE(REGEXEXTRACT(A7430, ""\d+""))"),11779.0)</f>
        <v>11779</v>
      </c>
    </row>
    <row r="7431">
      <c r="A7431" s="9" t="s">
        <v>25546</v>
      </c>
      <c r="B7431" s="9" t="s">
        <v>25544</v>
      </c>
      <c r="G7431" s="9" t="s">
        <v>25545</v>
      </c>
      <c r="O7431" s="10">
        <f>IFERROR(__xludf.DUMMYFUNCTION("VALUE(REGEXEXTRACT(A7431, ""\d+""))"),11780.0)</f>
        <v>11780</v>
      </c>
    </row>
    <row r="7432">
      <c r="A7432" s="9" t="s">
        <v>25547</v>
      </c>
      <c r="B7432" s="9" t="s">
        <v>25548</v>
      </c>
      <c r="G7432" s="9" t="s">
        <v>25549</v>
      </c>
      <c r="O7432" s="10">
        <f>IFERROR(__xludf.DUMMYFUNCTION("VALUE(REGEXEXTRACT(A7432, ""\d+""))"),11781.0)</f>
        <v>11781</v>
      </c>
    </row>
    <row r="7433">
      <c r="A7433" s="9" t="s">
        <v>25550</v>
      </c>
      <c r="B7433" s="9" t="s">
        <v>25548</v>
      </c>
      <c r="G7433" s="9" t="s">
        <v>25549</v>
      </c>
      <c r="O7433" s="10">
        <f>IFERROR(__xludf.DUMMYFUNCTION("VALUE(REGEXEXTRACT(A7433, ""\d+""))"),11782.0)</f>
        <v>11782</v>
      </c>
    </row>
    <row r="7434">
      <c r="A7434" s="9" t="s">
        <v>25551</v>
      </c>
      <c r="B7434" s="9" t="s">
        <v>25544</v>
      </c>
      <c r="G7434" s="9" t="s">
        <v>25545</v>
      </c>
      <c r="O7434" s="10">
        <f>IFERROR(__xludf.DUMMYFUNCTION("VALUE(REGEXEXTRACT(A7434, ""\d+""))"),11783.0)</f>
        <v>11783</v>
      </c>
    </row>
    <row r="7435">
      <c r="A7435" s="9" t="s">
        <v>25552</v>
      </c>
      <c r="B7435" s="9" t="s">
        <v>25553</v>
      </c>
      <c r="G7435" s="9" t="s">
        <v>25554</v>
      </c>
      <c r="O7435" s="10">
        <f>IFERROR(__xludf.DUMMYFUNCTION("VALUE(REGEXEXTRACT(A7435, ""\d+""))"),11784.0)</f>
        <v>11784</v>
      </c>
    </row>
    <row r="7436">
      <c r="A7436" s="9" t="s">
        <v>25555</v>
      </c>
      <c r="B7436" s="9" t="s">
        <v>25556</v>
      </c>
      <c r="G7436" s="9" t="s">
        <v>25557</v>
      </c>
      <c r="O7436" s="10">
        <f>IFERROR(__xludf.DUMMYFUNCTION("VALUE(REGEXEXTRACT(A7436, ""\d+""))"),11785.0)</f>
        <v>11785</v>
      </c>
    </row>
    <row r="7437">
      <c r="A7437" s="9" t="s">
        <v>25558</v>
      </c>
      <c r="B7437" s="9" t="s">
        <v>25556</v>
      </c>
      <c r="G7437" s="9" t="s">
        <v>25557</v>
      </c>
      <c r="O7437" s="10">
        <f>IFERROR(__xludf.DUMMYFUNCTION("VALUE(REGEXEXTRACT(A7437, ""\d+""))"),11786.0)</f>
        <v>11786</v>
      </c>
    </row>
    <row r="7438">
      <c r="A7438" s="9" t="s">
        <v>25559</v>
      </c>
      <c r="B7438" s="9" t="s">
        <v>25560</v>
      </c>
      <c r="G7438" s="9" t="s">
        <v>25561</v>
      </c>
      <c r="O7438" s="10">
        <f>IFERROR(__xludf.DUMMYFUNCTION("VALUE(REGEXEXTRACT(A7438, ""\d+""))"),11787.0)</f>
        <v>11787</v>
      </c>
    </row>
    <row r="7439">
      <c r="A7439" s="9" t="s">
        <v>25562</v>
      </c>
      <c r="B7439" s="9" t="s">
        <v>25560</v>
      </c>
      <c r="G7439" s="9" t="s">
        <v>25561</v>
      </c>
      <c r="O7439" s="10">
        <f>IFERROR(__xludf.DUMMYFUNCTION("VALUE(REGEXEXTRACT(A7439, ""\d+""))"),11788.0)</f>
        <v>11788</v>
      </c>
    </row>
    <row r="7440">
      <c r="A7440" s="9" t="s">
        <v>25563</v>
      </c>
      <c r="B7440" s="9" t="s">
        <v>25556</v>
      </c>
      <c r="G7440" s="9" t="s">
        <v>25557</v>
      </c>
      <c r="O7440" s="10">
        <f>IFERROR(__xludf.DUMMYFUNCTION("VALUE(REGEXEXTRACT(A7440, ""\d+""))"),11789.0)</f>
        <v>11789</v>
      </c>
    </row>
    <row r="7441">
      <c r="A7441" s="9" t="s">
        <v>25564</v>
      </c>
      <c r="B7441" s="9" t="s">
        <v>25565</v>
      </c>
      <c r="G7441" s="9" t="s">
        <v>25566</v>
      </c>
      <c r="O7441" s="10">
        <f>IFERROR(__xludf.DUMMYFUNCTION("VALUE(REGEXEXTRACT(A7441, ""\d+""))"),11790.0)</f>
        <v>11790</v>
      </c>
    </row>
    <row r="7442">
      <c r="A7442" s="9" t="s">
        <v>25567</v>
      </c>
      <c r="B7442" s="9" t="s">
        <v>25568</v>
      </c>
      <c r="G7442" s="9" t="s">
        <v>25569</v>
      </c>
      <c r="O7442" s="10">
        <f>IFERROR(__xludf.DUMMYFUNCTION("VALUE(REGEXEXTRACT(A7442, ""\d+""))"),11791.0)</f>
        <v>11791</v>
      </c>
    </row>
    <row r="7443">
      <c r="A7443" s="9" t="s">
        <v>25570</v>
      </c>
      <c r="B7443" s="9" t="s">
        <v>25571</v>
      </c>
      <c r="G7443" s="9" t="s">
        <v>25572</v>
      </c>
      <c r="O7443" s="10">
        <f>IFERROR(__xludf.DUMMYFUNCTION("VALUE(REGEXEXTRACT(A7443, ""\d+""))"),11792.0)</f>
        <v>11792</v>
      </c>
    </row>
    <row r="7444">
      <c r="A7444" s="9" t="s">
        <v>25573</v>
      </c>
      <c r="B7444" s="9" t="s">
        <v>25574</v>
      </c>
      <c r="G7444" s="9" t="s">
        <v>25575</v>
      </c>
      <c r="O7444" s="10">
        <f>IFERROR(__xludf.DUMMYFUNCTION("VALUE(REGEXEXTRACT(A7444, ""\d+""))"),11793.0)</f>
        <v>11793</v>
      </c>
    </row>
    <row r="7445">
      <c r="A7445" s="9" t="s">
        <v>25576</v>
      </c>
      <c r="B7445" s="9" t="s">
        <v>25571</v>
      </c>
      <c r="G7445" s="9" t="s">
        <v>25572</v>
      </c>
      <c r="O7445" s="10">
        <f>IFERROR(__xludf.DUMMYFUNCTION("VALUE(REGEXEXTRACT(A7445, ""\d+""))"),11794.0)</f>
        <v>11794</v>
      </c>
    </row>
    <row r="7446">
      <c r="A7446" s="9" t="s">
        <v>25577</v>
      </c>
      <c r="B7446" s="9" t="s">
        <v>25571</v>
      </c>
      <c r="G7446" s="9" t="s">
        <v>25572</v>
      </c>
      <c r="O7446" s="10">
        <f>IFERROR(__xludf.DUMMYFUNCTION("VALUE(REGEXEXTRACT(A7446, ""\d+""))"),11795.0)</f>
        <v>11795</v>
      </c>
    </row>
    <row r="7447">
      <c r="A7447" s="9" t="s">
        <v>25578</v>
      </c>
      <c r="B7447" s="9" t="s">
        <v>25579</v>
      </c>
      <c r="G7447" s="9" t="s">
        <v>25580</v>
      </c>
      <c r="O7447" s="10">
        <f>IFERROR(__xludf.DUMMYFUNCTION("VALUE(REGEXEXTRACT(A7447, ""\d+""))"),11796.0)</f>
        <v>11796</v>
      </c>
    </row>
    <row r="7448">
      <c r="A7448" s="9" t="s">
        <v>25581</v>
      </c>
      <c r="B7448" s="9" t="s">
        <v>25579</v>
      </c>
      <c r="G7448" s="9" t="s">
        <v>25580</v>
      </c>
      <c r="O7448" s="10">
        <f>IFERROR(__xludf.DUMMYFUNCTION("VALUE(REGEXEXTRACT(A7448, ""\d+""))"),11797.0)</f>
        <v>11797</v>
      </c>
    </row>
    <row r="7449">
      <c r="A7449" s="9" t="s">
        <v>25582</v>
      </c>
      <c r="B7449" s="9" t="s">
        <v>25574</v>
      </c>
      <c r="G7449" s="9" t="s">
        <v>25575</v>
      </c>
      <c r="O7449" s="10">
        <f>IFERROR(__xludf.DUMMYFUNCTION("VALUE(REGEXEXTRACT(A7449, ""\d+""))"),11798.0)</f>
        <v>11798</v>
      </c>
    </row>
    <row r="7450">
      <c r="A7450" s="9" t="s">
        <v>25583</v>
      </c>
      <c r="B7450" s="9" t="s">
        <v>25525</v>
      </c>
      <c r="G7450" s="9" t="s">
        <v>6917</v>
      </c>
      <c r="O7450" s="10">
        <f>IFERROR(__xludf.DUMMYFUNCTION("VALUE(REGEXEXTRACT(A7450, ""\d+""))"),11799.0)</f>
        <v>11799</v>
      </c>
    </row>
    <row r="7451">
      <c r="A7451" s="9" t="s">
        <v>25584</v>
      </c>
      <c r="B7451" s="9" t="s">
        <v>25553</v>
      </c>
      <c r="G7451" s="9" t="s">
        <v>25554</v>
      </c>
      <c r="O7451" s="10">
        <f>IFERROR(__xludf.DUMMYFUNCTION("VALUE(REGEXEXTRACT(A7451, ""\d+""))"),11800.0)</f>
        <v>11800</v>
      </c>
    </row>
    <row r="7452">
      <c r="A7452" s="9" t="s">
        <v>25585</v>
      </c>
      <c r="B7452" s="9" t="s">
        <v>25532</v>
      </c>
      <c r="G7452" s="9" t="s">
        <v>25533</v>
      </c>
      <c r="O7452" s="10">
        <f>IFERROR(__xludf.DUMMYFUNCTION("VALUE(REGEXEXTRACT(A7452, ""\d+""))"),11801.0)</f>
        <v>11801</v>
      </c>
    </row>
    <row r="7453">
      <c r="A7453" s="9" t="s">
        <v>25586</v>
      </c>
      <c r="B7453" s="9" t="s">
        <v>25565</v>
      </c>
      <c r="G7453" s="9" t="s">
        <v>25566</v>
      </c>
      <c r="O7453" s="10">
        <f>IFERROR(__xludf.DUMMYFUNCTION("VALUE(REGEXEXTRACT(A7453, ""\d+""))"),11802.0)</f>
        <v>11802</v>
      </c>
    </row>
    <row r="7454">
      <c r="A7454" s="9" t="s">
        <v>25587</v>
      </c>
      <c r="B7454" s="9" t="s">
        <v>25588</v>
      </c>
      <c r="G7454" s="9" t="s">
        <v>25589</v>
      </c>
      <c r="O7454" s="10">
        <f>IFERROR(__xludf.DUMMYFUNCTION("VALUE(REGEXEXTRACT(A7454, ""\d+""))"),11803.0)</f>
        <v>11803</v>
      </c>
    </row>
    <row r="7455">
      <c r="A7455" s="9" t="s">
        <v>25590</v>
      </c>
      <c r="B7455" s="9" t="s">
        <v>25591</v>
      </c>
      <c r="G7455" s="9" t="s">
        <v>25592</v>
      </c>
      <c r="O7455" s="10">
        <f>IFERROR(__xludf.DUMMYFUNCTION("VALUE(REGEXEXTRACT(A7455, ""\d+""))"),11804.0)</f>
        <v>11804</v>
      </c>
    </row>
    <row r="7456">
      <c r="A7456" s="9" t="s">
        <v>25593</v>
      </c>
      <c r="B7456" s="9" t="s">
        <v>25594</v>
      </c>
      <c r="G7456" s="9" t="s">
        <v>25595</v>
      </c>
      <c r="O7456" s="10">
        <f>IFERROR(__xludf.DUMMYFUNCTION("VALUE(REGEXEXTRACT(A7456, ""\d+""))"),11805.0)</f>
        <v>11805</v>
      </c>
    </row>
    <row r="7457">
      <c r="A7457" s="9" t="s">
        <v>25596</v>
      </c>
      <c r="B7457" s="9" t="s">
        <v>25597</v>
      </c>
      <c r="G7457" s="9" t="s">
        <v>25598</v>
      </c>
      <c r="O7457" s="10">
        <f>IFERROR(__xludf.DUMMYFUNCTION("VALUE(REGEXEXTRACT(A7457, ""\d+""))"),11806.0)</f>
        <v>11806</v>
      </c>
    </row>
    <row r="7458">
      <c r="A7458" s="9" t="s">
        <v>25599</v>
      </c>
      <c r="B7458" s="9" t="s">
        <v>25597</v>
      </c>
      <c r="G7458" s="9" t="s">
        <v>25598</v>
      </c>
      <c r="O7458" s="10">
        <f>IFERROR(__xludf.DUMMYFUNCTION("VALUE(REGEXEXTRACT(A7458, ""\d+""))"),11807.0)</f>
        <v>11807</v>
      </c>
    </row>
    <row r="7459">
      <c r="A7459" s="9" t="s">
        <v>25600</v>
      </c>
      <c r="B7459" s="9" t="s">
        <v>25594</v>
      </c>
      <c r="G7459" s="9" t="s">
        <v>25595</v>
      </c>
      <c r="O7459" s="10">
        <f>IFERROR(__xludf.DUMMYFUNCTION("VALUE(REGEXEXTRACT(A7459, ""\d+""))"),11808.0)</f>
        <v>11808</v>
      </c>
    </row>
    <row r="7460">
      <c r="A7460" s="9" t="s">
        <v>25601</v>
      </c>
      <c r="B7460" s="9" t="s">
        <v>25591</v>
      </c>
      <c r="G7460" s="9" t="s">
        <v>25592</v>
      </c>
      <c r="O7460" s="10">
        <f>IFERROR(__xludf.DUMMYFUNCTION("VALUE(REGEXEXTRACT(A7460, ""\d+""))"),11809.0)</f>
        <v>11809</v>
      </c>
    </row>
    <row r="7461">
      <c r="A7461" s="9" t="s">
        <v>25602</v>
      </c>
      <c r="B7461" s="9" t="s">
        <v>25603</v>
      </c>
      <c r="G7461" s="9" t="s">
        <v>25604</v>
      </c>
      <c r="O7461" s="10">
        <f>IFERROR(__xludf.DUMMYFUNCTION("VALUE(REGEXEXTRACT(A7461, ""\d+""))"),11810.0)</f>
        <v>11810</v>
      </c>
    </row>
    <row r="7462">
      <c r="A7462" s="9" t="s">
        <v>25605</v>
      </c>
      <c r="B7462" s="9" t="s">
        <v>25606</v>
      </c>
      <c r="G7462" s="9" t="s">
        <v>25607</v>
      </c>
      <c r="O7462" s="10">
        <f>IFERROR(__xludf.DUMMYFUNCTION("VALUE(REGEXEXTRACT(A7462, ""\d+""))"),11811.0)</f>
        <v>11811</v>
      </c>
    </row>
    <row r="7463">
      <c r="A7463" s="9" t="s">
        <v>25608</v>
      </c>
      <c r="B7463" s="9" t="s">
        <v>25609</v>
      </c>
      <c r="G7463" s="9" t="s">
        <v>25610</v>
      </c>
      <c r="O7463" s="10">
        <f>IFERROR(__xludf.DUMMYFUNCTION("VALUE(REGEXEXTRACT(A7463, ""\d+""))"),11812.0)</f>
        <v>11812</v>
      </c>
    </row>
    <row r="7464">
      <c r="A7464" s="9" t="s">
        <v>25611</v>
      </c>
      <c r="B7464" s="9" t="s">
        <v>25612</v>
      </c>
      <c r="G7464" s="9" t="s">
        <v>25613</v>
      </c>
      <c r="O7464" s="10">
        <f>IFERROR(__xludf.DUMMYFUNCTION("VALUE(REGEXEXTRACT(A7464, ""\d+""))"),11813.0)</f>
        <v>11813</v>
      </c>
    </row>
    <row r="7465">
      <c r="A7465" s="9" t="s">
        <v>25614</v>
      </c>
      <c r="B7465" s="9" t="s">
        <v>25603</v>
      </c>
      <c r="G7465" s="9" t="s">
        <v>25604</v>
      </c>
      <c r="O7465" s="10">
        <f>IFERROR(__xludf.DUMMYFUNCTION("VALUE(REGEXEXTRACT(A7465, ""\d+""))"),11814.0)</f>
        <v>11814</v>
      </c>
    </row>
    <row r="7466">
      <c r="A7466" s="9" t="s">
        <v>25615</v>
      </c>
      <c r="B7466" s="9" t="s">
        <v>25606</v>
      </c>
      <c r="G7466" s="9" t="s">
        <v>25607</v>
      </c>
      <c r="O7466" s="10">
        <f>IFERROR(__xludf.DUMMYFUNCTION("VALUE(REGEXEXTRACT(A7466, ""\d+""))"),11815.0)</f>
        <v>11815</v>
      </c>
    </row>
    <row r="7467">
      <c r="A7467" s="9" t="s">
        <v>25616</v>
      </c>
      <c r="B7467" s="9" t="s">
        <v>25609</v>
      </c>
      <c r="G7467" s="9" t="s">
        <v>25610</v>
      </c>
      <c r="O7467" s="10">
        <f>IFERROR(__xludf.DUMMYFUNCTION("VALUE(REGEXEXTRACT(A7467, ""\d+""))"),11816.0)</f>
        <v>11816</v>
      </c>
    </row>
    <row r="7468">
      <c r="A7468" s="9" t="s">
        <v>25617</v>
      </c>
      <c r="B7468" s="9" t="s">
        <v>25612</v>
      </c>
      <c r="G7468" s="9" t="s">
        <v>25613</v>
      </c>
      <c r="O7468" s="10">
        <f>IFERROR(__xludf.DUMMYFUNCTION("VALUE(REGEXEXTRACT(A7468, ""\d+""))"),11817.0)</f>
        <v>11817</v>
      </c>
    </row>
    <row r="7469">
      <c r="A7469" s="9" t="s">
        <v>25618</v>
      </c>
      <c r="B7469" s="9" t="s">
        <v>25619</v>
      </c>
      <c r="G7469" s="9" t="s">
        <v>25620</v>
      </c>
      <c r="O7469" s="10">
        <f>IFERROR(__xludf.DUMMYFUNCTION("VALUE(REGEXEXTRACT(A7469, ""\d+""))"),11818.0)</f>
        <v>11818</v>
      </c>
    </row>
    <row r="7470">
      <c r="A7470" s="9" t="s">
        <v>25621</v>
      </c>
      <c r="B7470" s="9" t="s">
        <v>25622</v>
      </c>
      <c r="G7470" s="9" t="s">
        <v>25623</v>
      </c>
      <c r="O7470" s="10">
        <f>IFERROR(__xludf.DUMMYFUNCTION("VALUE(REGEXEXTRACT(A7470, ""\d+""))"),11819.0)</f>
        <v>11819</v>
      </c>
    </row>
    <row r="7471">
      <c r="A7471" s="9" t="s">
        <v>25624</v>
      </c>
      <c r="B7471" s="9" t="s">
        <v>25625</v>
      </c>
      <c r="G7471" s="9" t="s">
        <v>25626</v>
      </c>
      <c r="O7471" s="10">
        <f>IFERROR(__xludf.DUMMYFUNCTION("VALUE(REGEXEXTRACT(A7471, ""\d+""))"),11820.0)</f>
        <v>11820</v>
      </c>
    </row>
    <row r="7472">
      <c r="A7472" s="9" t="s">
        <v>25627</v>
      </c>
      <c r="B7472" s="9" t="s">
        <v>25628</v>
      </c>
      <c r="G7472" s="9" t="s">
        <v>25629</v>
      </c>
      <c r="O7472" s="10">
        <f>IFERROR(__xludf.DUMMYFUNCTION("VALUE(REGEXEXTRACT(A7472, ""\d+""))"),11821.0)</f>
        <v>11821</v>
      </c>
    </row>
    <row r="7473">
      <c r="A7473" s="9" t="s">
        <v>25630</v>
      </c>
      <c r="B7473" s="9" t="s">
        <v>25631</v>
      </c>
      <c r="G7473" s="9" t="s">
        <v>25632</v>
      </c>
      <c r="O7473" s="10">
        <f>IFERROR(__xludf.DUMMYFUNCTION("VALUE(REGEXEXTRACT(A7473, ""\d+""))"),11822.0)</f>
        <v>11822</v>
      </c>
    </row>
    <row r="7474">
      <c r="A7474" s="9" t="s">
        <v>25633</v>
      </c>
      <c r="B7474" s="9" t="s">
        <v>25634</v>
      </c>
      <c r="G7474" s="9" t="s">
        <v>25629</v>
      </c>
      <c r="O7474" s="10">
        <f>IFERROR(__xludf.DUMMYFUNCTION("VALUE(REGEXEXTRACT(A7474, ""\d+""))"),11823.0)</f>
        <v>11823</v>
      </c>
    </row>
    <row r="7475">
      <c r="A7475" s="9" t="s">
        <v>25635</v>
      </c>
      <c r="B7475" s="9" t="s">
        <v>25636</v>
      </c>
      <c r="G7475" s="9" t="s">
        <v>25637</v>
      </c>
      <c r="O7475" s="10">
        <f>IFERROR(__xludf.DUMMYFUNCTION("VALUE(REGEXEXTRACT(A7475, ""\d+""))"),11824.0)</f>
        <v>11824</v>
      </c>
    </row>
    <row r="7476">
      <c r="A7476" s="9" t="s">
        <v>25638</v>
      </c>
      <c r="B7476" s="9" t="s">
        <v>25639</v>
      </c>
      <c r="G7476" s="9" t="s">
        <v>25640</v>
      </c>
      <c r="O7476" s="10">
        <f>IFERROR(__xludf.DUMMYFUNCTION("VALUE(REGEXEXTRACT(A7476, ""\d+""))"),11825.0)</f>
        <v>11825</v>
      </c>
    </row>
    <row r="7477">
      <c r="A7477" s="9" t="s">
        <v>25641</v>
      </c>
      <c r="B7477" s="9" t="s">
        <v>25642</v>
      </c>
      <c r="G7477" s="9" t="s">
        <v>25626</v>
      </c>
      <c r="O7477" s="10">
        <f>IFERROR(__xludf.DUMMYFUNCTION("VALUE(REGEXEXTRACT(A7477, ""\d+""))"),11826.0)</f>
        <v>11826</v>
      </c>
    </row>
    <row r="7478">
      <c r="A7478" s="9" t="s">
        <v>25643</v>
      </c>
      <c r="B7478" s="9" t="s">
        <v>25644</v>
      </c>
      <c r="G7478" s="9" t="s">
        <v>25645</v>
      </c>
      <c r="O7478" s="10">
        <f>IFERROR(__xludf.DUMMYFUNCTION("VALUE(REGEXEXTRACT(A7478, ""\d+""))"),11827.0)</f>
        <v>11827</v>
      </c>
    </row>
    <row r="7479">
      <c r="A7479" s="9" t="s">
        <v>25646</v>
      </c>
      <c r="B7479" s="9" t="s">
        <v>25647</v>
      </c>
      <c r="G7479" s="9" t="s">
        <v>25648</v>
      </c>
      <c r="O7479" s="10">
        <f>IFERROR(__xludf.DUMMYFUNCTION("VALUE(REGEXEXTRACT(A7479, ""\d+""))"),11828.0)</f>
        <v>11828</v>
      </c>
    </row>
    <row r="7480">
      <c r="A7480" s="9" t="s">
        <v>25649</v>
      </c>
      <c r="B7480" s="9" t="s">
        <v>25650</v>
      </c>
      <c r="G7480" s="9" t="s">
        <v>25651</v>
      </c>
      <c r="O7480" s="10">
        <f>IFERROR(__xludf.DUMMYFUNCTION("VALUE(REGEXEXTRACT(A7480, ""\d+""))"),11829.0)</f>
        <v>11829</v>
      </c>
    </row>
    <row r="7481">
      <c r="A7481" s="9" t="s">
        <v>25652</v>
      </c>
      <c r="B7481" s="9" t="s">
        <v>25653</v>
      </c>
      <c r="G7481" s="9" t="s">
        <v>25654</v>
      </c>
      <c r="O7481" s="10">
        <f>IFERROR(__xludf.DUMMYFUNCTION("VALUE(REGEXEXTRACT(A7481, ""\d+""))"),11830.0)</f>
        <v>11830</v>
      </c>
    </row>
    <row r="7482">
      <c r="A7482" s="9" t="s">
        <v>25655</v>
      </c>
      <c r="B7482" s="9" t="s">
        <v>25656</v>
      </c>
      <c r="G7482" s="9" t="s">
        <v>25657</v>
      </c>
      <c r="O7482" s="10">
        <f>IFERROR(__xludf.DUMMYFUNCTION("VALUE(REGEXEXTRACT(A7482, ""\d+""))"),11831.0)</f>
        <v>11831</v>
      </c>
    </row>
    <row r="7483">
      <c r="A7483" s="9" t="s">
        <v>25658</v>
      </c>
      <c r="B7483" s="9" t="s">
        <v>25659</v>
      </c>
      <c r="G7483" s="9" t="s">
        <v>25660</v>
      </c>
      <c r="O7483" s="10">
        <f>IFERROR(__xludf.DUMMYFUNCTION("VALUE(REGEXEXTRACT(A7483, ""\d+""))"),11832.0)</f>
        <v>11832</v>
      </c>
    </row>
    <row r="7484">
      <c r="A7484" s="9" t="s">
        <v>25661</v>
      </c>
      <c r="B7484" s="9" t="s">
        <v>25662</v>
      </c>
      <c r="G7484" s="9" t="s">
        <v>25663</v>
      </c>
      <c r="O7484" s="10">
        <f>IFERROR(__xludf.DUMMYFUNCTION("VALUE(REGEXEXTRACT(A7484, ""\d+""))"),11833.0)</f>
        <v>11833</v>
      </c>
    </row>
    <row r="7485">
      <c r="A7485" s="9" t="s">
        <v>25664</v>
      </c>
      <c r="B7485" s="9" t="s">
        <v>25665</v>
      </c>
      <c r="G7485" s="9" t="s">
        <v>25666</v>
      </c>
      <c r="O7485" s="10">
        <f>IFERROR(__xludf.DUMMYFUNCTION("VALUE(REGEXEXTRACT(A7485, ""\d+""))"),11834.0)</f>
        <v>11834</v>
      </c>
    </row>
    <row r="7486">
      <c r="A7486" s="9" t="s">
        <v>25667</v>
      </c>
      <c r="B7486" s="9" t="s">
        <v>25668</v>
      </c>
      <c r="G7486" s="9" t="s">
        <v>25669</v>
      </c>
      <c r="O7486" s="10">
        <f>IFERROR(__xludf.DUMMYFUNCTION("VALUE(REGEXEXTRACT(A7486, ""\d+""))"),11835.0)</f>
        <v>11835</v>
      </c>
    </row>
    <row r="7487">
      <c r="A7487" s="9" t="s">
        <v>25670</v>
      </c>
      <c r="B7487" s="9" t="s">
        <v>25671</v>
      </c>
      <c r="G7487" s="9" t="s">
        <v>25672</v>
      </c>
      <c r="O7487" s="10">
        <f>IFERROR(__xludf.DUMMYFUNCTION("VALUE(REGEXEXTRACT(A7487, ""\d+""))"),11836.0)</f>
        <v>11836</v>
      </c>
    </row>
    <row r="7488">
      <c r="A7488" s="9" t="s">
        <v>25673</v>
      </c>
      <c r="B7488" s="9" t="s">
        <v>25674</v>
      </c>
      <c r="G7488" s="9" t="s">
        <v>25675</v>
      </c>
      <c r="O7488" s="10">
        <f>IFERROR(__xludf.DUMMYFUNCTION("VALUE(REGEXEXTRACT(A7488, ""\d+""))"),11837.0)</f>
        <v>11837</v>
      </c>
    </row>
    <row r="7489">
      <c r="A7489" s="9" t="s">
        <v>25676</v>
      </c>
      <c r="B7489" s="9" t="s">
        <v>25677</v>
      </c>
      <c r="G7489" s="9" t="s">
        <v>25678</v>
      </c>
      <c r="O7489" s="10">
        <f>IFERROR(__xludf.DUMMYFUNCTION("VALUE(REGEXEXTRACT(A7489, ""\d+""))"),11838.0)</f>
        <v>11838</v>
      </c>
    </row>
    <row r="7490">
      <c r="A7490" s="9" t="s">
        <v>25679</v>
      </c>
      <c r="B7490" s="9" t="s">
        <v>25680</v>
      </c>
      <c r="G7490" s="9" t="s">
        <v>25681</v>
      </c>
      <c r="O7490" s="10">
        <f>IFERROR(__xludf.DUMMYFUNCTION("VALUE(REGEXEXTRACT(A7490, ""\d+""))"),11839.0)</f>
        <v>11839</v>
      </c>
    </row>
    <row r="7491">
      <c r="A7491" s="9" t="s">
        <v>25682</v>
      </c>
      <c r="B7491" s="9" t="s">
        <v>25683</v>
      </c>
      <c r="G7491" s="9" t="s">
        <v>25684</v>
      </c>
      <c r="O7491" s="10">
        <f>IFERROR(__xludf.DUMMYFUNCTION("VALUE(REGEXEXTRACT(A7491, ""\d+""))"),11840.0)</f>
        <v>11840</v>
      </c>
    </row>
    <row r="7492">
      <c r="A7492" s="9" t="s">
        <v>25685</v>
      </c>
      <c r="B7492" s="9" t="s">
        <v>25686</v>
      </c>
      <c r="G7492" s="9" t="s">
        <v>25687</v>
      </c>
      <c r="O7492" s="10">
        <f>IFERROR(__xludf.DUMMYFUNCTION("VALUE(REGEXEXTRACT(A7492, ""\d+""))"),11841.0)</f>
        <v>11841</v>
      </c>
    </row>
    <row r="7493">
      <c r="A7493" s="9" t="s">
        <v>25688</v>
      </c>
      <c r="B7493" s="9" t="s">
        <v>25689</v>
      </c>
      <c r="G7493" s="9" t="s">
        <v>25690</v>
      </c>
      <c r="O7493" s="10">
        <f>IFERROR(__xludf.DUMMYFUNCTION("VALUE(REGEXEXTRACT(A7493, ""\d+""))"),11842.0)</f>
        <v>11842</v>
      </c>
    </row>
    <row r="7494">
      <c r="A7494" s="9" t="s">
        <v>25691</v>
      </c>
      <c r="B7494" s="9" t="s">
        <v>25692</v>
      </c>
      <c r="G7494" s="9" t="s">
        <v>25693</v>
      </c>
      <c r="O7494" s="10">
        <f>IFERROR(__xludf.DUMMYFUNCTION("VALUE(REGEXEXTRACT(A7494, ""\d+""))"),11843.0)</f>
        <v>11843</v>
      </c>
    </row>
    <row r="7495">
      <c r="A7495" s="9" t="s">
        <v>25694</v>
      </c>
      <c r="B7495" s="9" t="s">
        <v>25695</v>
      </c>
      <c r="G7495" s="9" t="s">
        <v>25696</v>
      </c>
      <c r="O7495" s="10">
        <f>IFERROR(__xludf.DUMMYFUNCTION("VALUE(REGEXEXTRACT(A7495, ""\d+""))"),11844.0)</f>
        <v>11844</v>
      </c>
    </row>
    <row r="7496">
      <c r="A7496" s="9" t="s">
        <v>25697</v>
      </c>
      <c r="B7496" s="9" t="s">
        <v>25698</v>
      </c>
      <c r="G7496" s="9" t="s">
        <v>25699</v>
      </c>
      <c r="O7496" s="10">
        <f>IFERROR(__xludf.DUMMYFUNCTION("VALUE(REGEXEXTRACT(A7496, ""\d+""))"),11845.0)</f>
        <v>11845</v>
      </c>
    </row>
    <row r="7497">
      <c r="A7497" s="9" t="s">
        <v>25700</v>
      </c>
      <c r="B7497" s="9" t="s">
        <v>25701</v>
      </c>
      <c r="G7497" s="9" t="s">
        <v>25702</v>
      </c>
      <c r="O7497" s="10">
        <f>IFERROR(__xludf.DUMMYFUNCTION("VALUE(REGEXEXTRACT(A7497, ""\d+""))"),11846.0)</f>
        <v>11846</v>
      </c>
    </row>
    <row r="7498">
      <c r="A7498" s="9" t="s">
        <v>25703</v>
      </c>
      <c r="B7498" s="9" t="s">
        <v>25704</v>
      </c>
      <c r="G7498" s="9" t="s">
        <v>25705</v>
      </c>
      <c r="O7498" s="10">
        <f>IFERROR(__xludf.DUMMYFUNCTION("VALUE(REGEXEXTRACT(A7498, ""\d+""))"),11847.0)</f>
        <v>11847</v>
      </c>
    </row>
    <row r="7499">
      <c r="A7499" s="9" t="s">
        <v>25706</v>
      </c>
      <c r="B7499" s="9" t="s">
        <v>25707</v>
      </c>
      <c r="G7499" s="9" t="s">
        <v>25708</v>
      </c>
      <c r="O7499" s="10">
        <f>IFERROR(__xludf.DUMMYFUNCTION("VALUE(REGEXEXTRACT(A7499, ""\d+""))"),11848.0)</f>
        <v>11848</v>
      </c>
    </row>
    <row r="7500">
      <c r="A7500" s="9" t="s">
        <v>25709</v>
      </c>
      <c r="B7500" s="9" t="s">
        <v>25710</v>
      </c>
      <c r="G7500" s="9" t="s">
        <v>25711</v>
      </c>
      <c r="O7500" s="10">
        <f>IFERROR(__xludf.DUMMYFUNCTION("VALUE(REGEXEXTRACT(A7500, ""\d+""))"),11849.0)</f>
        <v>11849</v>
      </c>
    </row>
    <row r="7501">
      <c r="A7501" s="9" t="s">
        <v>25712</v>
      </c>
      <c r="B7501" s="9" t="s">
        <v>25713</v>
      </c>
      <c r="G7501" s="9" t="s">
        <v>25714</v>
      </c>
      <c r="O7501" s="10">
        <f>IFERROR(__xludf.DUMMYFUNCTION("VALUE(REGEXEXTRACT(A7501, ""\d+""))"),11855.0)</f>
        <v>11855</v>
      </c>
    </row>
    <row r="7502">
      <c r="A7502" s="9" t="s">
        <v>25715</v>
      </c>
      <c r="B7502" s="9" t="s">
        <v>25716</v>
      </c>
      <c r="G7502" s="9" t="s">
        <v>25717</v>
      </c>
      <c r="O7502" s="10">
        <f>IFERROR(__xludf.DUMMYFUNCTION("VALUE(REGEXEXTRACT(A7502, ""\d+""))"),11856.0)</f>
        <v>11856</v>
      </c>
    </row>
    <row r="7503">
      <c r="A7503" s="9" t="s">
        <v>25718</v>
      </c>
      <c r="B7503" s="9" t="s">
        <v>25719</v>
      </c>
      <c r="G7503" s="9" t="s">
        <v>25720</v>
      </c>
      <c r="O7503" s="10">
        <f>IFERROR(__xludf.DUMMYFUNCTION("VALUE(REGEXEXTRACT(A7503, ""\d+""))"),11857.0)</f>
        <v>11857</v>
      </c>
    </row>
    <row r="7504">
      <c r="A7504" s="9" t="s">
        <v>25721</v>
      </c>
      <c r="B7504" s="9" t="s">
        <v>25722</v>
      </c>
      <c r="G7504" s="9" t="s">
        <v>25723</v>
      </c>
      <c r="O7504" s="10">
        <f>IFERROR(__xludf.DUMMYFUNCTION("VALUE(REGEXEXTRACT(A7504, ""\d+""))"),11858.0)</f>
        <v>11858</v>
      </c>
    </row>
    <row r="7505">
      <c r="A7505" s="9" t="s">
        <v>25724</v>
      </c>
      <c r="B7505" s="9" t="s">
        <v>25725</v>
      </c>
      <c r="G7505" s="9" t="s">
        <v>25726</v>
      </c>
      <c r="O7505" s="10">
        <f>IFERROR(__xludf.DUMMYFUNCTION("VALUE(REGEXEXTRACT(A7505, ""\d+""))"),11860.0)</f>
        <v>11860</v>
      </c>
    </row>
    <row r="7506">
      <c r="A7506" s="9" t="s">
        <v>25727</v>
      </c>
      <c r="B7506" s="9" t="s">
        <v>25728</v>
      </c>
      <c r="G7506" s="9" t="s">
        <v>25729</v>
      </c>
      <c r="O7506" s="10">
        <f>IFERROR(__xludf.DUMMYFUNCTION("VALUE(REGEXEXTRACT(A7506, ""\d+""))"),11865.0)</f>
        <v>11865</v>
      </c>
    </row>
    <row r="7507">
      <c r="A7507" s="9" t="s">
        <v>25730</v>
      </c>
      <c r="B7507" s="9" t="s">
        <v>25731</v>
      </c>
      <c r="G7507" s="9" t="s">
        <v>25732</v>
      </c>
      <c r="O7507" s="10">
        <f>IFERROR(__xludf.DUMMYFUNCTION("VALUE(REGEXEXTRACT(A7507, ""\d+""))"),11866.0)</f>
        <v>11866</v>
      </c>
    </row>
    <row r="7508">
      <c r="A7508" s="9" t="s">
        <v>25733</v>
      </c>
      <c r="B7508" s="9" t="s">
        <v>25734</v>
      </c>
      <c r="G7508" s="9" t="s">
        <v>25735</v>
      </c>
      <c r="O7508" s="10">
        <f>IFERROR(__xludf.DUMMYFUNCTION("VALUE(REGEXEXTRACT(A7508, ""\d+""))"),11868.0)</f>
        <v>11868</v>
      </c>
    </row>
    <row r="7509">
      <c r="A7509" s="9" t="s">
        <v>25736</v>
      </c>
      <c r="B7509" s="9" t="s">
        <v>25737</v>
      </c>
      <c r="G7509" s="9" t="s">
        <v>25738</v>
      </c>
      <c r="O7509" s="10">
        <f>IFERROR(__xludf.DUMMYFUNCTION("VALUE(REGEXEXTRACT(A7509, ""\d+""))"),11870.0)</f>
        <v>11870</v>
      </c>
    </row>
    <row r="7510">
      <c r="A7510" s="9" t="s">
        <v>25739</v>
      </c>
      <c r="B7510" s="9" t="s">
        <v>25740</v>
      </c>
      <c r="G7510" s="9" t="s">
        <v>25741</v>
      </c>
      <c r="O7510" s="10">
        <f>IFERROR(__xludf.DUMMYFUNCTION("VALUE(REGEXEXTRACT(A7510, ""\d+""))"),11871.0)</f>
        <v>11871</v>
      </c>
    </row>
    <row r="7511">
      <c r="A7511" s="9" t="s">
        <v>25742</v>
      </c>
      <c r="B7511" s="9" t="s">
        <v>25743</v>
      </c>
      <c r="G7511" s="9" t="s">
        <v>25744</v>
      </c>
      <c r="O7511" s="10">
        <f>IFERROR(__xludf.DUMMYFUNCTION("VALUE(REGEXEXTRACT(A7511, ""\d+""))"),11872.0)</f>
        <v>11872</v>
      </c>
    </row>
    <row r="7512">
      <c r="A7512" s="9" t="s">
        <v>25745</v>
      </c>
      <c r="B7512" s="9" t="s">
        <v>25746</v>
      </c>
      <c r="G7512" s="9" t="s">
        <v>25747</v>
      </c>
      <c r="O7512" s="10">
        <f>IFERROR(__xludf.DUMMYFUNCTION("VALUE(REGEXEXTRACT(A7512, ""\d+""))"),11873.0)</f>
        <v>11873</v>
      </c>
    </row>
    <row r="7513">
      <c r="A7513" s="9" t="s">
        <v>25748</v>
      </c>
      <c r="B7513" s="9" t="s">
        <v>25749</v>
      </c>
      <c r="G7513" s="9" t="s">
        <v>25750</v>
      </c>
      <c r="O7513" s="10">
        <f>IFERROR(__xludf.DUMMYFUNCTION("VALUE(REGEXEXTRACT(A7513, ""\d+""))"),11874.0)</f>
        <v>11874</v>
      </c>
    </row>
    <row r="7514">
      <c r="A7514" s="9" t="s">
        <v>25751</v>
      </c>
      <c r="B7514" s="9" t="s">
        <v>25752</v>
      </c>
      <c r="G7514" s="9" t="s">
        <v>25753</v>
      </c>
      <c r="O7514" s="10">
        <f>IFERROR(__xludf.DUMMYFUNCTION("VALUE(REGEXEXTRACT(A7514, ""\d+""))"),11875.0)</f>
        <v>11875</v>
      </c>
    </row>
    <row r="7515">
      <c r="A7515" s="9" t="s">
        <v>25754</v>
      </c>
      <c r="B7515" s="9" t="s">
        <v>25755</v>
      </c>
      <c r="G7515" s="9" t="s">
        <v>25756</v>
      </c>
      <c r="O7515" s="10">
        <f>IFERROR(__xludf.DUMMYFUNCTION("VALUE(REGEXEXTRACT(A7515, ""\d+""))"),11876.0)</f>
        <v>11876</v>
      </c>
    </row>
    <row r="7516">
      <c r="A7516" s="9" t="s">
        <v>25757</v>
      </c>
      <c r="B7516" s="9" t="s">
        <v>25758</v>
      </c>
      <c r="G7516" s="9" t="s">
        <v>25759</v>
      </c>
      <c r="O7516" s="10">
        <f>IFERROR(__xludf.DUMMYFUNCTION("VALUE(REGEXEXTRACT(A7516, ""\d+""))"),11877.0)</f>
        <v>11877</v>
      </c>
    </row>
    <row r="7517">
      <c r="A7517" s="9" t="s">
        <v>25760</v>
      </c>
      <c r="B7517" s="9" t="s">
        <v>25761</v>
      </c>
      <c r="G7517" s="9" t="s">
        <v>25762</v>
      </c>
      <c r="O7517" s="10">
        <f>IFERROR(__xludf.DUMMYFUNCTION("VALUE(REGEXEXTRACT(A7517, ""\d+""))"),11878.0)</f>
        <v>11878</v>
      </c>
    </row>
    <row r="7518">
      <c r="A7518" s="9" t="s">
        <v>25763</v>
      </c>
      <c r="B7518" s="9" t="s">
        <v>25764</v>
      </c>
      <c r="G7518" s="9" t="s">
        <v>25765</v>
      </c>
      <c r="O7518" s="10">
        <f>IFERROR(__xludf.DUMMYFUNCTION("VALUE(REGEXEXTRACT(A7518, ""\d+""))"),11879.0)</f>
        <v>11879</v>
      </c>
    </row>
    <row r="7519">
      <c r="A7519" s="9" t="s">
        <v>25766</v>
      </c>
      <c r="B7519" s="9" t="s">
        <v>25767</v>
      </c>
      <c r="G7519" s="9" t="s">
        <v>25768</v>
      </c>
      <c r="O7519" s="10">
        <f>IFERROR(__xludf.DUMMYFUNCTION("VALUE(REGEXEXTRACT(A7519, ""\d+""))"),11880.0)</f>
        <v>11880</v>
      </c>
    </row>
    <row r="7520">
      <c r="A7520" s="9" t="s">
        <v>25769</v>
      </c>
      <c r="B7520" s="9" t="s">
        <v>25770</v>
      </c>
      <c r="G7520" s="9" t="s">
        <v>25771</v>
      </c>
      <c r="O7520" s="10">
        <f>IFERROR(__xludf.DUMMYFUNCTION("VALUE(REGEXEXTRACT(A7520, ""\d+""))"),11881.0)</f>
        <v>11881</v>
      </c>
    </row>
    <row r="7521">
      <c r="A7521" s="9" t="s">
        <v>25772</v>
      </c>
      <c r="B7521" s="9" t="s">
        <v>25773</v>
      </c>
      <c r="G7521" s="9" t="s">
        <v>25774</v>
      </c>
      <c r="O7521" s="10">
        <f>IFERROR(__xludf.DUMMYFUNCTION("VALUE(REGEXEXTRACT(A7521, ""\d+""))"),11882.0)</f>
        <v>11882</v>
      </c>
    </row>
    <row r="7522">
      <c r="A7522" s="9" t="s">
        <v>25775</v>
      </c>
      <c r="B7522" s="9" t="s">
        <v>25776</v>
      </c>
      <c r="G7522" s="9" t="s">
        <v>25777</v>
      </c>
      <c r="O7522" s="10">
        <f>IFERROR(__xludf.DUMMYFUNCTION("VALUE(REGEXEXTRACT(A7522, ""\d+""))"),11883.0)</f>
        <v>11883</v>
      </c>
    </row>
    <row r="7523">
      <c r="A7523" s="9" t="s">
        <v>25778</v>
      </c>
      <c r="B7523" s="9" t="s">
        <v>25779</v>
      </c>
      <c r="G7523" s="9" t="s">
        <v>25780</v>
      </c>
      <c r="O7523" s="10">
        <f>IFERROR(__xludf.DUMMYFUNCTION("VALUE(REGEXEXTRACT(A7523, ""\d+""))"),11884.0)</f>
        <v>11884</v>
      </c>
    </row>
    <row r="7524">
      <c r="A7524" s="9" t="s">
        <v>25781</v>
      </c>
      <c r="B7524" s="9" t="s">
        <v>25782</v>
      </c>
      <c r="G7524" s="9" t="s">
        <v>25783</v>
      </c>
      <c r="O7524" s="10">
        <f>IFERROR(__xludf.DUMMYFUNCTION("VALUE(REGEXEXTRACT(A7524, ""\d+""))"),11885.0)</f>
        <v>11885</v>
      </c>
    </row>
    <row r="7525">
      <c r="A7525" s="9" t="s">
        <v>25784</v>
      </c>
      <c r="B7525" s="9" t="s">
        <v>25785</v>
      </c>
      <c r="G7525" s="9" t="s">
        <v>25786</v>
      </c>
      <c r="O7525" s="10">
        <f>IFERROR(__xludf.DUMMYFUNCTION("VALUE(REGEXEXTRACT(A7525, ""\d+""))"),11886.0)</f>
        <v>11886</v>
      </c>
    </row>
    <row r="7526">
      <c r="A7526" s="9" t="s">
        <v>25787</v>
      </c>
      <c r="B7526" s="9" t="s">
        <v>25788</v>
      </c>
      <c r="G7526" s="9" t="s">
        <v>25789</v>
      </c>
      <c r="O7526" s="10">
        <f>IFERROR(__xludf.DUMMYFUNCTION("VALUE(REGEXEXTRACT(A7526, ""\d+""))"),11888.0)</f>
        <v>11888</v>
      </c>
    </row>
    <row r="7527">
      <c r="A7527" s="9" t="s">
        <v>25790</v>
      </c>
      <c r="B7527" s="9" t="s">
        <v>25791</v>
      </c>
      <c r="G7527" s="9" t="s">
        <v>25792</v>
      </c>
      <c r="O7527" s="10">
        <f>IFERROR(__xludf.DUMMYFUNCTION("VALUE(REGEXEXTRACT(A7527, ""\d+""))"),11889.0)</f>
        <v>11889</v>
      </c>
    </row>
    <row r="7528">
      <c r="A7528" s="9" t="s">
        <v>25793</v>
      </c>
      <c r="B7528" s="9" t="s">
        <v>25794</v>
      </c>
      <c r="G7528" s="9" t="s">
        <v>25795</v>
      </c>
      <c r="O7528" s="10">
        <f>IFERROR(__xludf.DUMMYFUNCTION("VALUE(REGEXEXTRACT(A7528, ""\d+""))"),11890.0)</f>
        <v>11890</v>
      </c>
    </row>
    <row r="7529">
      <c r="A7529" s="9" t="s">
        <v>25796</v>
      </c>
      <c r="B7529" s="9" t="s">
        <v>25797</v>
      </c>
      <c r="G7529" s="9" t="s">
        <v>25798</v>
      </c>
      <c r="O7529" s="10">
        <f>IFERROR(__xludf.DUMMYFUNCTION("VALUE(REGEXEXTRACT(A7529, ""\d+""))"),11891.0)</f>
        <v>11891</v>
      </c>
    </row>
    <row r="7530">
      <c r="A7530" s="9" t="s">
        <v>25799</v>
      </c>
      <c r="B7530" s="9" t="s">
        <v>25800</v>
      </c>
      <c r="G7530" s="9" t="s">
        <v>25801</v>
      </c>
      <c r="O7530" s="10">
        <f>IFERROR(__xludf.DUMMYFUNCTION("VALUE(REGEXEXTRACT(A7530, ""\d+""))"),11892.0)</f>
        <v>11892</v>
      </c>
    </row>
    <row r="7531">
      <c r="A7531" s="9" t="s">
        <v>25802</v>
      </c>
      <c r="B7531" s="9" t="s">
        <v>25803</v>
      </c>
      <c r="G7531" s="9" t="s">
        <v>25804</v>
      </c>
      <c r="O7531" s="10">
        <f>IFERROR(__xludf.DUMMYFUNCTION("VALUE(REGEXEXTRACT(A7531, ""\d+""))"),11893.0)</f>
        <v>11893</v>
      </c>
    </row>
    <row r="7532">
      <c r="A7532" s="9" t="s">
        <v>25805</v>
      </c>
      <c r="B7532" s="9" t="s">
        <v>25806</v>
      </c>
      <c r="G7532" s="9" t="s">
        <v>25807</v>
      </c>
      <c r="O7532" s="10">
        <f>IFERROR(__xludf.DUMMYFUNCTION("VALUE(REGEXEXTRACT(A7532, ""\d+""))"),11894.0)</f>
        <v>11894</v>
      </c>
    </row>
    <row r="7533">
      <c r="A7533" s="9" t="s">
        <v>25808</v>
      </c>
      <c r="B7533" s="9" t="s">
        <v>25809</v>
      </c>
      <c r="G7533" s="9" t="s">
        <v>25810</v>
      </c>
      <c r="O7533" s="10">
        <f>IFERROR(__xludf.DUMMYFUNCTION("VALUE(REGEXEXTRACT(A7533, ""\d+""))"),11895.0)</f>
        <v>11895</v>
      </c>
    </row>
    <row r="7534">
      <c r="A7534" s="9" t="s">
        <v>25811</v>
      </c>
      <c r="B7534" s="9" t="s">
        <v>25812</v>
      </c>
      <c r="G7534" s="9" t="s">
        <v>25813</v>
      </c>
      <c r="O7534" s="10">
        <f>IFERROR(__xludf.DUMMYFUNCTION("VALUE(REGEXEXTRACT(A7534, ""\d+""))"),11900.0)</f>
        <v>11900</v>
      </c>
    </row>
    <row r="7535">
      <c r="A7535" s="9" t="s">
        <v>25814</v>
      </c>
      <c r="B7535" s="9" t="s">
        <v>25815</v>
      </c>
      <c r="G7535" s="9" t="s">
        <v>25816</v>
      </c>
      <c r="O7535" s="10">
        <f>IFERROR(__xludf.DUMMYFUNCTION("VALUE(REGEXEXTRACT(A7535, ""\d+""))"),11901.0)</f>
        <v>11901</v>
      </c>
    </row>
    <row r="7536">
      <c r="A7536" s="9" t="s">
        <v>25817</v>
      </c>
      <c r="B7536" s="9" t="s">
        <v>25818</v>
      </c>
      <c r="G7536" s="9" t="s">
        <v>25819</v>
      </c>
      <c r="O7536" s="10">
        <f>IFERROR(__xludf.DUMMYFUNCTION("VALUE(REGEXEXTRACT(A7536, ""\d+""))"),11902.0)</f>
        <v>11902</v>
      </c>
    </row>
    <row r="7537">
      <c r="A7537" s="9" t="s">
        <v>25820</v>
      </c>
      <c r="B7537" s="9" t="s">
        <v>25821</v>
      </c>
      <c r="G7537" s="9" t="s">
        <v>25822</v>
      </c>
      <c r="O7537" s="10">
        <f>IFERROR(__xludf.DUMMYFUNCTION("VALUE(REGEXEXTRACT(A7537, ""\d+""))"),11903.0)</f>
        <v>11903</v>
      </c>
    </row>
    <row r="7538">
      <c r="A7538" s="9" t="s">
        <v>25823</v>
      </c>
      <c r="B7538" s="9" t="s">
        <v>25824</v>
      </c>
      <c r="G7538" s="9" t="s">
        <v>25825</v>
      </c>
      <c r="O7538" s="10">
        <f>IFERROR(__xludf.DUMMYFUNCTION("VALUE(REGEXEXTRACT(A7538, ""\d+""))"),11904.0)</f>
        <v>11904</v>
      </c>
    </row>
    <row r="7539">
      <c r="A7539" s="9" t="s">
        <v>25826</v>
      </c>
      <c r="B7539" s="9" t="s">
        <v>25827</v>
      </c>
      <c r="G7539" s="9" t="s">
        <v>25827</v>
      </c>
      <c r="O7539" s="10">
        <f>IFERROR(__xludf.DUMMYFUNCTION("VALUE(REGEXEXTRACT(A7539, ""\d+""))"),11906.0)</f>
        <v>11906</v>
      </c>
    </row>
    <row r="7540">
      <c r="A7540" s="9" t="s">
        <v>25828</v>
      </c>
      <c r="B7540" s="9" t="s">
        <v>25829</v>
      </c>
      <c r="G7540" s="9" t="s">
        <v>25830</v>
      </c>
      <c r="O7540" s="10">
        <f>IFERROR(__xludf.DUMMYFUNCTION("VALUE(REGEXEXTRACT(A7540, ""\d+""))"),11907.0)</f>
        <v>11907</v>
      </c>
    </row>
    <row r="7541">
      <c r="A7541" s="9" t="s">
        <v>25831</v>
      </c>
      <c r="B7541" s="9" t="s">
        <v>25832</v>
      </c>
      <c r="G7541" s="9" t="s">
        <v>25833</v>
      </c>
      <c r="O7541" s="10">
        <f>IFERROR(__xludf.DUMMYFUNCTION("VALUE(REGEXEXTRACT(A7541, ""\d+""))"),11908.0)</f>
        <v>11908</v>
      </c>
    </row>
    <row r="7542">
      <c r="A7542" s="9" t="s">
        <v>25834</v>
      </c>
      <c r="B7542" s="9" t="s">
        <v>25835</v>
      </c>
      <c r="G7542" s="9" t="s">
        <v>25835</v>
      </c>
      <c r="O7542" s="10">
        <f>IFERROR(__xludf.DUMMYFUNCTION("VALUE(REGEXEXTRACT(A7542, ""\d+""))"),11910.0)</f>
        <v>11910</v>
      </c>
    </row>
    <row r="7543">
      <c r="A7543" s="9" t="s">
        <v>25836</v>
      </c>
      <c r="B7543" s="9" t="s">
        <v>25837</v>
      </c>
      <c r="G7543" s="9" t="s">
        <v>25838</v>
      </c>
      <c r="O7543" s="10">
        <f>IFERROR(__xludf.DUMMYFUNCTION("VALUE(REGEXEXTRACT(A7543, ""\d+""))"),11911.0)</f>
        <v>11911</v>
      </c>
    </row>
    <row r="7544">
      <c r="A7544" s="9" t="s">
        <v>25839</v>
      </c>
      <c r="B7544" s="9" t="s">
        <v>25840</v>
      </c>
      <c r="G7544" s="9" t="s">
        <v>25841</v>
      </c>
      <c r="O7544" s="10">
        <f>IFERROR(__xludf.DUMMYFUNCTION("VALUE(REGEXEXTRACT(A7544, ""\d+""))"),11912.0)</f>
        <v>11912</v>
      </c>
    </row>
    <row r="7545">
      <c r="A7545" s="9" t="s">
        <v>25842</v>
      </c>
      <c r="B7545" s="9" t="s">
        <v>25843</v>
      </c>
      <c r="G7545" s="9" t="s">
        <v>25844</v>
      </c>
      <c r="O7545" s="10">
        <f>IFERROR(__xludf.DUMMYFUNCTION("VALUE(REGEXEXTRACT(A7545, ""\d+""))"),11913.0)</f>
        <v>11913</v>
      </c>
    </row>
    <row r="7546">
      <c r="A7546" s="9" t="s">
        <v>25845</v>
      </c>
      <c r="B7546" s="9" t="s">
        <v>25846</v>
      </c>
      <c r="G7546" s="9" t="s">
        <v>25847</v>
      </c>
      <c r="O7546" s="10">
        <f>IFERROR(__xludf.DUMMYFUNCTION("VALUE(REGEXEXTRACT(A7546, ""\d+""))"),11914.0)</f>
        <v>11914</v>
      </c>
    </row>
    <row r="7547">
      <c r="A7547" s="9" t="s">
        <v>25848</v>
      </c>
      <c r="B7547" s="9" t="s">
        <v>25849</v>
      </c>
      <c r="G7547" s="9" t="s">
        <v>25850</v>
      </c>
      <c r="O7547" s="10">
        <f>IFERROR(__xludf.DUMMYFUNCTION("VALUE(REGEXEXTRACT(A7547, ""\d+""))"),11915.0)</f>
        <v>11915</v>
      </c>
    </row>
    <row r="7548">
      <c r="A7548" s="9" t="s">
        <v>25851</v>
      </c>
      <c r="B7548" s="9" t="s">
        <v>25852</v>
      </c>
      <c r="G7548" s="9" t="s">
        <v>25853</v>
      </c>
      <c r="O7548" s="10">
        <f>IFERROR(__xludf.DUMMYFUNCTION("VALUE(REGEXEXTRACT(A7548, ""\d+""))"),11916.0)</f>
        <v>11916</v>
      </c>
    </row>
    <row r="7549">
      <c r="A7549" s="9" t="s">
        <v>25854</v>
      </c>
      <c r="B7549" s="9" t="s">
        <v>25855</v>
      </c>
      <c r="G7549" s="9" t="s">
        <v>25856</v>
      </c>
      <c r="O7549" s="10">
        <f>IFERROR(__xludf.DUMMYFUNCTION("VALUE(REGEXEXTRACT(A7549, ""\d+""))"),11917.0)</f>
        <v>11917</v>
      </c>
    </row>
    <row r="7550">
      <c r="A7550" s="9" t="s">
        <v>25857</v>
      </c>
      <c r="B7550" s="9" t="s">
        <v>25858</v>
      </c>
      <c r="G7550" s="9" t="s">
        <v>25859</v>
      </c>
      <c r="O7550" s="10">
        <f>IFERROR(__xludf.DUMMYFUNCTION("VALUE(REGEXEXTRACT(A7550, ""\d+""))"),11918.0)</f>
        <v>11918</v>
      </c>
    </row>
    <row r="7551">
      <c r="A7551" s="9" t="s">
        <v>25860</v>
      </c>
      <c r="B7551" s="9" t="s">
        <v>25861</v>
      </c>
      <c r="G7551" s="9" t="s">
        <v>25862</v>
      </c>
      <c r="O7551" s="10">
        <f>IFERROR(__xludf.DUMMYFUNCTION("VALUE(REGEXEXTRACT(A7551, ""\d+""))"),11919.0)</f>
        <v>11919</v>
      </c>
    </row>
    <row r="7552">
      <c r="A7552" s="9" t="s">
        <v>25863</v>
      </c>
      <c r="B7552" s="9" t="s">
        <v>25864</v>
      </c>
      <c r="G7552" s="9" t="s">
        <v>25865</v>
      </c>
      <c r="O7552" s="10">
        <f>IFERROR(__xludf.DUMMYFUNCTION("VALUE(REGEXEXTRACT(A7552, ""\d+""))"),11920.0)</f>
        <v>11920</v>
      </c>
    </row>
    <row r="7553">
      <c r="A7553" s="9" t="s">
        <v>25866</v>
      </c>
      <c r="B7553" s="9" t="s">
        <v>25867</v>
      </c>
      <c r="G7553" s="9" t="s">
        <v>25868</v>
      </c>
      <c r="O7553" s="10">
        <f>IFERROR(__xludf.DUMMYFUNCTION("VALUE(REGEXEXTRACT(A7553, ""\d+""))"),11921.0)</f>
        <v>11921</v>
      </c>
    </row>
    <row r="7554">
      <c r="A7554" s="9" t="s">
        <v>25869</v>
      </c>
      <c r="B7554" s="9" t="s">
        <v>25870</v>
      </c>
      <c r="G7554" s="9" t="s">
        <v>25871</v>
      </c>
      <c r="O7554" s="10">
        <f>IFERROR(__xludf.DUMMYFUNCTION("VALUE(REGEXEXTRACT(A7554, ""\d+""))"),11922.0)</f>
        <v>11922</v>
      </c>
    </row>
    <row r="7555">
      <c r="A7555" s="9" t="s">
        <v>25872</v>
      </c>
      <c r="B7555" s="9" t="s">
        <v>25873</v>
      </c>
      <c r="G7555" s="9" t="s">
        <v>25874</v>
      </c>
      <c r="O7555" s="10">
        <f>IFERROR(__xludf.DUMMYFUNCTION("VALUE(REGEXEXTRACT(A7555, ""\d+""))"),11923.0)</f>
        <v>11923</v>
      </c>
    </row>
    <row r="7556">
      <c r="A7556" s="9" t="s">
        <v>25875</v>
      </c>
      <c r="B7556" s="9" t="s">
        <v>25876</v>
      </c>
      <c r="G7556" s="9" t="s">
        <v>25877</v>
      </c>
      <c r="O7556" s="10">
        <f>IFERROR(__xludf.DUMMYFUNCTION("VALUE(REGEXEXTRACT(A7556, ""\d+""))"),11924.0)</f>
        <v>11924</v>
      </c>
    </row>
    <row r="7557">
      <c r="A7557" s="9" t="s">
        <v>25878</v>
      </c>
      <c r="B7557" s="9" t="s">
        <v>25879</v>
      </c>
      <c r="G7557" s="9" t="s">
        <v>25880</v>
      </c>
      <c r="O7557" s="10">
        <f>IFERROR(__xludf.DUMMYFUNCTION("VALUE(REGEXEXTRACT(A7557, ""\d+""))"),11925.0)</f>
        <v>11925</v>
      </c>
    </row>
    <row r="7558">
      <c r="A7558" s="9" t="s">
        <v>25881</v>
      </c>
      <c r="B7558" s="9" t="s">
        <v>25882</v>
      </c>
      <c r="G7558" s="9" t="s">
        <v>25883</v>
      </c>
      <c r="O7558" s="10">
        <f>IFERROR(__xludf.DUMMYFUNCTION("VALUE(REGEXEXTRACT(A7558, ""\d+""))"),11926.0)</f>
        <v>11926</v>
      </c>
    </row>
    <row r="7559">
      <c r="A7559" s="9" t="s">
        <v>25884</v>
      </c>
      <c r="B7559" s="9" t="s">
        <v>25885</v>
      </c>
      <c r="G7559" s="9" t="s">
        <v>25886</v>
      </c>
      <c r="O7559" s="10">
        <f>IFERROR(__xludf.DUMMYFUNCTION("VALUE(REGEXEXTRACT(A7559, ""\d+""))"),11927.0)</f>
        <v>11927</v>
      </c>
    </row>
    <row r="7560">
      <c r="A7560" s="9" t="s">
        <v>25887</v>
      </c>
      <c r="B7560" s="9" t="s">
        <v>25888</v>
      </c>
      <c r="G7560" s="9" t="s">
        <v>25889</v>
      </c>
      <c r="O7560" s="10">
        <f>IFERROR(__xludf.DUMMYFUNCTION("VALUE(REGEXEXTRACT(A7560, ""\d+""))"),11928.0)</f>
        <v>11928</v>
      </c>
    </row>
    <row r="7561">
      <c r="A7561" s="9" t="s">
        <v>25890</v>
      </c>
      <c r="B7561" s="9" t="s">
        <v>25891</v>
      </c>
      <c r="G7561" s="9" t="s">
        <v>25892</v>
      </c>
      <c r="O7561" s="10">
        <f>IFERROR(__xludf.DUMMYFUNCTION("VALUE(REGEXEXTRACT(A7561, ""\d+""))"),11929.0)</f>
        <v>11929</v>
      </c>
    </row>
    <row r="7562">
      <c r="A7562" s="9" t="s">
        <v>25893</v>
      </c>
      <c r="B7562" s="9" t="s">
        <v>25894</v>
      </c>
      <c r="G7562" s="9" t="s">
        <v>25895</v>
      </c>
      <c r="O7562" s="10">
        <f>IFERROR(__xludf.DUMMYFUNCTION("VALUE(REGEXEXTRACT(A7562, ""\d+""))"),11930.0)</f>
        <v>11930</v>
      </c>
    </row>
    <row r="7563">
      <c r="A7563" s="9" t="s">
        <v>25896</v>
      </c>
      <c r="B7563" s="9" t="s">
        <v>25897</v>
      </c>
      <c r="G7563" s="9" t="s">
        <v>25898</v>
      </c>
      <c r="O7563" s="10">
        <f>IFERROR(__xludf.DUMMYFUNCTION("VALUE(REGEXEXTRACT(A7563, ""\d+""))"),11931.0)</f>
        <v>11931</v>
      </c>
    </row>
    <row r="7564">
      <c r="A7564" s="9" t="s">
        <v>25899</v>
      </c>
      <c r="B7564" s="9" t="s">
        <v>25900</v>
      </c>
      <c r="G7564" s="9" t="s">
        <v>25901</v>
      </c>
      <c r="O7564" s="10">
        <f>IFERROR(__xludf.DUMMYFUNCTION("VALUE(REGEXEXTRACT(A7564, ""\d+""))"),11932.0)</f>
        <v>11932</v>
      </c>
    </row>
    <row r="7565">
      <c r="A7565" s="9" t="s">
        <v>25902</v>
      </c>
      <c r="B7565" s="9" t="s">
        <v>25903</v>
      </c>
      <c r="G7565" s="9" t="s">
        <v>25904</v>
      </c>
      <c r="O7565" s="10">
        <f>IFERROR(__xludf.DUMMYFUNCTION("VALUE(REGEXEXTRACT(A7565, ""\d+""))"),11933.0)</f>
        <v>11933</v>
      </c>
    </row>
    <row r="7566">
      <c r="A7566" s="9" t="s">
        <v>25905</v>
      </c>
      <c r="B7566" s="9" t="s">
        <v>25906</v>
      </c>
      <c r="G7566" s="9" t="s">
        <v>25907</v>
      </c>
      <c r="O7566" s="10">
        <f>IFERROR(__xludf.DUMMYFUNCTION("VALUE(REGEXEXTRACT(A7566, ""\d+""))"),11934.0)</f>
        <v>11934</v>
      </c>
    </row>
    <row r="7567">
      <c r="A7567" s="9" t="s">
        <v>25908</v>
      </c>
      <c r="B7567" s="9" t="s">
        <v>25909</v>
      </c>
      <c r="G7567" s="9" t="s">
        <v>25910</v>
      </c>
      <c r="O7567" s="10">
        <f>IFERROR(__xludf.DUMMYFUNCTION("VALUE(REGEXEXTRACT(A7567, ""\d+""))"),11935.0)</f>
        <v>11935</v>
      </c>
    </row>
    <row r="7568">
      <c r="A7568" s="9" t="s">
        <v>25911</v>
      </c>
      <c r="B7568" s="9" t="s">
        <v>25912</v>
      </c>
      <c r="G7568" s="9" t="s">
        <v>25913</v>
      </c>
      <c r="O7568" s="10">
        <f>IFERROR(__xludf.DUMMYFUNCTION("VALUE(REGEXEXTRACT(A7568, ""\d+""))"),11936.0)</f>
        <v>11936</v>
      </c>
    </row>
    <row r="7569">
      <c r="A7569" s="9" t="s">
        <v>25914</v>
      </c>
      <c r="B7569" s="9" t="s">
        <v>25915</v>
      </c>
      <c r="G7569" s="9" t="s">
        <v>25916</v>
      </c>
      <c r="O7569" s="10">
        <f>IFERROR(__xludf.DUMMYFUNCTION("VALUE(REGEXEXTRACT(A7569, ""\d+""))"),11937.0)</f>
        <v>11937</v>
      </c>
    </row>
    <row r="7570">
      <c r="A7570" s="9" t="s">
        <v>25917</v>
      </c>
      <c r="B7570" s="9" t="s">
        <v>25918</v>
      </c>
      <c r="G7570" s="9" t="s">
        <v>25919</v>
      </c>
      <c r="O7570" s="10">
        <f>IFERROR(__xludf.DUMMYFUNCTION("VALUE(REGEXEXTRACT(A7570, ""\d+""))"),11939.0)</f>
        <v>11939</v>
      </c>
    </row>
    <row r="7571">
      <c r="A7571" s="9" t="s">
        <v>25920</v>
      </c>
      <c r="B7571" s="9" t="s">
        <v>25921</v>
      </c>
      <c r="G7571" s="9" t="s">
        <v>25922</v>
      </c>
      <c r="O7571" s="10">
        <f>IFERROR(__xludf.DUMMYFUNCTION("VALUE(REGEXEXTRACT(A7571, ""\d+""))"),11940.0)</f>
        <v>11940</v>
      </c>
    </row>
    <row r="7572">
      <c r="A7572" s="9" t="s">
        <v>25923</v>
      </c>
      <c r="B7572" s="9" t="s">
        <v>25924</v>
      </c>
      <c r="G7572" s="9" t="s">
        <v>25925</v>
      </c>
      <c r="O7572" s="10">
        <f>IFERROR(__xludf.DUMMYFUNCTION("VALUE(REGEXEXTRACT(A7572, ""\d+""))"),11941.0)</f>
        <v>11941</v>
      </c>
    </row>
    <row r="7573">
      <c r="A7573" s="9" t="s">
        <v>25926</v>
      </c>
      <c r="B7573" s="9" t="s">
        <v>25927</v>
      </c>
      <c r="G7573" s="9" t="s">
        <v>25928</v>
      </c>
      <c r="O7573" s="10">
        <f>IFERROR(__xludf.DUMMYFUNCTION("VALUE(REGEXEXTRACT(A7573, ""\d+""))"),11942.0)</f>
        <v>11942</v>
      </c>
    </row>
    <row r="7574">
      <c r="A7574" s="9" t="s">
        <v>25929</v>
      </c>
      <c r="B7574" s="9" t="s">
        <v>25930</v>
      </c>
      <c r="G7574" s="9" t="s">
        <v>25931</v>
      </c>
      <c r="O7574" s="10">
        <f>IFERROR(__xludf.DUMMYFUNCTION("VALUE(REGEXEXTRACT(A7574, ""\d+""))"),11943.0)</f>
        <v>11943</v>
      </c>
    </row>
    <row r="7575">
      <c r="A7575" s="9" t="s">
        <v>25932</v>
      </c>
      <c r="B7575" s="9" t="s">
        <v>25933</v>
      </c>
      <c r="G7575" s="9" t="s">
        <v>25934</v>
      </c>
      <c r="O7575" s="10">
        <f>IFERROR(__xludf.DUMMYFUNCTION("VALUE(REGEXEXTRACT(A7575, ""\d+""))"),11944.0)</f>
        <v>11944</v>
      </c>
    </row>
    <row r="7576">
      <c r="A7576" s="9" t="s">
        <v>25935</v>
      </c>
      <c r="B7576" s="9" t="s">
        <v>25936</v>
      </c>
      <c r="G7576" s="9" t="s">
        <v>25937</v>
      </c>
      <c r="O7576" s="10">
        <f>IFERROR(__xludf.DUMMYFUNCTION("VALUE(REGEXEXTRACT(A7576, ""\d+""))"),11945.0)</f>
        <v>11945</v>
      </c>
    </row>
    <row r="7577">
      <c r="A7577" s="9" t="s">
        <v>25938</v>
      </c>
      <c r="B7577" s="9" t="s">
        <v>25939</v>
      </c>
      <c r="G7577" s="9" t="s">
        <v>25940</v>
      </c>
      <c r="O7577" s="10">
        <f>IFERROR(__xludf.DUMMYFUNCTION("VALUE(REGEXEXTRACT(A7577, ""\d+""))"),11946.0)</f>
        <v>11946</v>
      </c>
    </row>
    <row r="7578">
      <c r="A7578" s="9" t="s">
        <v>25941</v>
      </c>
      <c r="B7578" s="9" t="s">
        <v>25942</v>
      </c>
      <c r="G7578" s="9" t="s">
        <v>25943</v>
      </c>
      <c r="O7578" s="10">
        <f>IFERROR(__xludf.DUMMYFUNCTION("VALUE(REGEXEXTRACT(A7578, ""\d+""))"),11947.0)</f>
        <v>11947</v>
      </c>
    </row>
    <row r="7579">
      <c r="A7579" s="9" t="s">
        <v>25944</v>
      </c>
      <c r="B7579" s="9" t="s">
        <v>25945</v>
      </c>
      <c r="G7579" s="9" t="s">
        <v>25946</v>
      </c>
      <c r="O7579" s="10">
        <f>IFERROR(__xludf.DUMMYFUNCTION("VALUE(REGEXEXTRACT(A7579, ""\d+""))"),11948.0)</f>
        <v>11948</v>
      </c>
    </row>
    <row r="7580">
      <c r="A7580" s="9" t="s">
        <v>25947</v>
      </c>
      <c r="B7580" s="9" t="s">
        <v>25948</v>
      </c>
      <c r="G7580" s="9" t="s">
        <v>25949</v>
      </c>
      <c r="O7580" s="10">
        <f>IFERROR(__xludf.DUMMYFUNCTION("VALUE(REGEXEXTRACT(A7580, ""\d+""))"),11949.0)</f>
        <v>11949</v>
      </c>
    </row>
    <row r="7581">
      <c r="A7581" s="9" t="s">
        <v>25950</v>
      </c>
      <c r="B7581" s="9" t="s">
        <v>25951</v>
      </c>
      <c r="G7581" s="9" t="s">
        <v>25952</v>
      </c>
      <c r="O7581" s="10">
        <f>IFERROR(__xludf.DUMMYFUNCTION("VALUE(REGEXEXTRACT(A7581, ""\d+""))"),11950.0)</f>
        <v>11950</v>
      </c>
    </row>
    <row r="7582">
      <c r="A7582" s="9" t="s">
        <v>25953</v>
      </c>
      <c r="B7582" s="9" t="s">
        <v>25954</v>
      </c>
      <c r="G7582" s="9" t="s">
        <v>25955</v>
      </c>
      <c r="O7582" s="10">
        <f>IFERROR(__xludf.DUMMYFUNCTION("VALUE(REGEXEXTRACT(A7582, ""\d+""))"),11951.0)</f>
        <v>11951</v>
      </c>
    </row>
    <row r="7583">
      <c r="A7583" s="9" t="s">
        <v>25956</v>
      </c>
      <c r="B7583" s="9" t="s">
        <v>25957</v>
      </c>
      <c r="G7583" s="9" t="s">
        <v>25958</v>
      </c>
      <c r="O7583" s="10">
        <f>IFERROR(__xludf.DUMMYFUNCTION("VALUE(REGEXEXTRACT(A7583, ""\d+""))"),11952.0)</f>
        <v>11952</v>
      </c>
    </row>
    <row r="7584">
      <c r="A7584" s="9" t="s">
        <v>25959</v>
      </c>
      <c r="B7584" s="9" t="s">
        <v>25960</v>
      </c>
      <c r="G7584" s="9" t="s">
        <v>25961</v>
      </c>
      <c r="O7584" s="10">
        <f>IFERROR(__xludf.DUMMYFUNCTION("VALUE(REGEXEXTRACT(A7584, ""\d+""))"),11953.0)</f>
        <v>11953</v>
      </c>
    </row>
    <row r="7585">
      <c r="A7585" s="9" t="s">
        <v>25962</v>
      </c>
      <c r="B7585" s="9" t="s">
        <v>25963</v>
      </c>
      <c r="G7585" s="9" t="s">
        <v>25964</v>
      </c>
      <c r="O7585" s="10">
        <f>IFERROR(__xludf.DUMMYFUNCTION("VALUE(REGEXEXTRACT(A7585, ""\d+""))"),11954.0)</f>
        <v>11954</v>
      </c>
    </row>
    <row r="7586">
      <c r="A7586" s="9" t="s">
        <v>25965</v>
      </c>
      <c r="B7586" s="9" t="s">
        <v>25966</v>
      </c>
      <c r="G7586" s="9" t="s">
        <v>25967</v>
      </c>
      <c r="O7586" s="10">
        <f>IFERROR(__xludf.DUMMYFUNCTION("VALUE(REGEXEXTRACT(A7586, ""\d+""))"),11955.0)</f>
        <v>11955</v>
      </c>
    </row>
    <row r="7587">
      <c r="A7587" s="9" t="s">
        <v>25968</v>
      </c>
      <c r="B7587" s="9" t="s">
        <v>25969</v>
      </c>
      <c r="G7587" s="9" t="s">
        <v>25970</v>
      </c>
      <c r="O7587" s="10">
        <f>IFERROR(__xludf.DUMMYFUNCTION("VALUE(REGEXEXTRACT(A7587, ""\d+""))"),11956.0)</f>
        <v>11956</v>
      </c>
    </row>
    <row r="7588">
      <c r="A7588" s="9" t="s">
        <v>25971</v>
      </c>
      <c r="B7588" s="9" t="s">
        <v>25972</v>
      </c>
      <c r="G7588" s="9" t="s">
        <v>25973</v>
      </c>
      <c r="O7588" s="10">
        <f>IFERROR(__xludf.DUMMYFUNCTION("VALUE(REGEXEXTRACT(A7588, ""\d+""))"),11957.0)</f>
        <v>11957</v>
      </c>
    </row>
    <row r="7589">
      <c r="A7589" s="9" t="s">
        <v>25974</v>
      </c>
      <c r="B7589" s="9" t="s">
        <v>25975</v>
      </c>
      <c r="G7589" s="9" t="s">
        <v>25976</v>
      </c>
      <c r="O7589" s="10">
        <f>IFERROR(__xludf.DUMMYFUNCTION("VALUE(REGEXEXTRACT(A7589, ""\d+""))"),11958.0)</f>
        <v>11958</v>
      </c>
    </row>
    <row r="7590">
      <c r="A7590" s="9" t="s">
        <v>25977</v>
      </c>
      <c r="B7590" s="9" t="s">
        <v>25978</v>
      </c>
      <c r="G7590" s="9" t="s">
        <v>25979</v>
      </c>
      <c r="O7590" s="10">
        <f>IFERROR(__xludf.DUMMYFUNCTION("VALUE(REGEXEXTRACT(A7590, ""\d+""))"),11959.0)</f>
        <v>11959</v>
      </c>
    </row>
    <row r="7591">
      <c r="A7591" s="9" t="s">
        <v>25980</v>
      </c>
      <c r="B7591" s="9" t="s">
        <v>25981</v>
      </c>
      <c r="G7591" s="9" t="s">
        <v>25981</v>
      </c>
      <c r="O7591" s="10">
        <f>IFERROR(__xludf.DUMMYFUNCTION("VALUE(REGEXEXTRACT(A7591, ""\d+""))"),11960.0)</f>
        <v>11960</v>
      </c>
    </row>
    <row r="7592">
      <c r="A7592" s="9" t="s">
        <v>25982</v>
      </c>
      <c r="B7592" s="9" t="s">
        <v>25983</v>
      </c>
      <c r="G7592" s="9" t="s">
        <v>25984</v>
      </c>
      <c r="O7592" s="10">
        <f>IFERROR(__xludf.DUMMYFUNCTION("VALUE(REGEXEXTRACT(A7592, ""\d+""))"),11961.0)</f>
        <v>11961</v>
      </c>
    </row>
    <row r="7593">
      <c r="A7593" s="9" t="s">
        <v>25985</v>
      </c>
      <c r="B7593" s="9" t="s">
        <v>25986</v>
      </c>
      <c r="G7593" s="9" t="s">
        <v>25987</v>
      </c>
      <c r="O7593" s="10">
        <f>IFERROR(__xludf.DUMMYFUNCTION("VALUE(REGEXEXTRACT(A7593, ""\d+""))"),11968.0)</f>
        <v>11968</v>
      </c>
    </row>
    <row r="7594">
      <c r="A7594" s="9" t="s">
        <v>25988</v>
      </c>
      <c r="B7594" s="9" t="s">
        <v>25989</v>
      </c>
      <c r="G7594" s="9" t="s">
        <v>25990</v>
      </c>
      <c r="O7594" s="10">
        <f>IFERROR(__xludf.DUMMYFUNCTION("VALUE(REGEXEXTRACT(A7594, ""\d+""))"),11969.0)</f>
        <v>11969</v>
      </c>
    </row>
    <row r="7595">
      <c r="A7595" s="9" t="s">
        <v>25991</v>
      </c>
      <c r="B7595" s="9" t="s">
        <v>25992</v>
      </c>
      <c r="G7595" s="9" t="s">
        <v>25993</v>
      </c>
      <c r="O7595" s="10">
        <f>IFERROR(__xludf.DUMMYFUNCTION("VALUE(REGEXEXTRACT(A7595, ""\d+""))"),11970.0)</f>
        <v>11970</v>
      </c>
    </row>
    <row r="7596">
      <c r="A7596" s="9" t="s">
        <v>25994</v>
      </c>
      <c r="B7596" s="9" t="s">
        <v>25995</v>
      </c>
      <c r="G7596" s="9" t="s">
        <v>25996</v>
      </c>
      <c r="O7596" s="10">
        <f>IFERROR(__xludf.DUMMYFUNCTION("VALUE(REGEXEXTRACT(A7596, ""\d+""))"),11971.0)</f>
        <v>11971</v>
      </c>
    </row>
    <row r="7597">
      <c r="A7597" s="9" t="s">
        <v>25997</v>
      </c>
      <c r="B7597" s="9" t="s">
        <v>25998</v>
      </c>
      <c r="G7597" s="9" t="s">
        <v>25999</v>
      </c>
      <c r="O7597" s="10">
        <f>IFERROR(__xludf.DUMMYFUNCTION("VALUE(REGEXEXTRACT(A7597, ""\d+""))"),11972.0)</f>
        <v>11972</v>
      </c>
    </row>
    <row r="7598">
      <c r="A7598" s="9" t="s">
        <v>26000</v>
      </c>
      <c r="B7598" s="9" t="s">
        <v>26001</v>
      </c>
      <c r="G7598" s="9" t="s">
        <v>26002</v>
      </c>
      <c r="O7598" s="10">
        <f>IFERROR(__xludf.DUMMYFUNCTION("VALUE(REGEXEXTRACT(A7598, ""\d+""))"),11973.0)</f>
        <v>11973</v>
      </c>
    </row>
    <row r="7599">
      <c r="A7599" s="9" t="s">
        <v>26003</v>
      </c>
      <c r="B7599" s="9" t="s">
        <v>26004</v>
      </c>
      <c r="G7599" s="9" t="s">
        <v>26005</v>
      </c>
      <c r="O7599" s="10">
        <f>IFERROR(__xludf.DUMMYFUNCTION("VALUE(REGEXEXTRACT(A7599, ""\d+""))"),11974.0)</f>
        <v>11974</v>
      </c>
    </row>
    <row r="7600">
      <c r="A7600" s="9" t="s">
        <v>26006</v>
      </c>
      <c r="B7600" s="9" t="s">
        <v>26007</v>
      </c>
      <c r="G7600" s="9" t="s">
        <v>26008</v>
      </c>
      <c r="O7600" s="10">
        <f>IFERROR(__xludf.DUMMYFUNCTION("VALUE(REGEXEXTRACT(A7600, ""\d+""))"),11975.0)</f>
        <v>11975</v>
      </c>
    </row>
    <row r="7601">
      <c r="A7601" s="9" t="s">
        <v>26009</v>
      </c>
      <c r="B7601" s="9" t="s">
        <v>26010</v>
      </c>
      <c r="G7601" s="9" t="s">
        <v>26011</v>
      </c>
      <c r="O7601" s="10">
        <f>IFERROR(__xludf.DUMMYFUNCTION("VALUE(REGEXEXTRACT(A7601, ""\d+""))"),11976.0)</f>
        <v>11976</v>
      </c>
    </row>
    <row r="7602">
      <c r="A7602" s="9" t="s">
        <v>26012</v>
      </c>
      <c r="B7602" s="9" t="s">
        <v>26013</v>
      </c>
      <c r="G7602" s="9" t="s">
        <v>26014</v>
      </c>
      <c r="O7602" s="10">
        <f>IFERROR(__xludf.DUMMYFUNCTION("VALUE(REGEXEXTRACT(A7602, ""\d+""))"),11977.0)</f>
        <v>11977</v>
      </c>
    </row>
    <row r="7603">
      <c r="A7603" s="9" t="s">
        <v>26015</v>
      </c>
      <c r="B7603" s="9" t="s">
        <v>26016</v>
      </c>
      <c r="G7603" s="9" t="s">
        <v>26017</v>
      </c>
      <c r="O7603" s="10">
        <f>IFERROR(__xludf.DUMMYFUNCTION("VALUE(REGEXEXTRACT(A7603, ""\d+""))"),11978.0)</f>
        <v>11978</v>
      </c>
    </row>
    <row r="7604">
      <c r="A7604" s="9" t="s">
        <v>26018</v>
      </c>
      <c r="B7604" s="9" t="s">
        <v>26019</v>
      </c>
      <c r="G7604" s="9" t="s">
        <v>26020</v>
      </c>
      <c r="O7604" s="10">
        <f>IFERROR(__xludf.DUMMYFUNCTION("VALUE(REGEXEXTRACT(A7604, ""\d+""))"),11979.0)</f>
        <v>11979</v>
      </c>
    </row>
    <row r="7605">
      <c r="A7605" s="9" t="s">
        <v>26021</v>
      </c>
      <c r="B7605" s="9" t="s">
        <v>26022</v>
      </c>
      <c r="G7605" s="9" t="s">
        <v>26023</v>
      </c>
      <c r="O7605" s="10">
        <f>IFERROR(__xludf.DUMMYFUNCTION("VALUE(REGEXEXTRACT(A7605, ""\d+""))"),11980.0)</f>
        <v>11980</v>
      </c>
    </row>
    <row r="7606">
      <c r="A7606" s="9" t="s">
        <v>26024</v>
      </c>
      <c r="B7606" s="9" t="s">
        <v>26025</v>
      </c>
      <c r="G7606" s="9" t="s">
        <v>26026</v>
      </c>
      <c r="O7606" s="10">
        <f>IFERROR(__xludf.DUMMYFUNCTION("VALUE(REGEXEXTRACT(A7606, ""\d+""))"),11981.0)</f>
        <v>11981</v>
      </c>
    </row>
    <row r="7607">
      <c r="A7607" s="9" t="s">
        <v>26027</v>
      </c>
      <c r="B7607" s="9" t="s">
        <v>26028</v>
      </c>
      <c r="G7607" s="9" t="s">
        <v>26029</v>
      </c>
      <c r="O7607" s="10">
        <f>IFERROR(__xludf.DUMMYFUNCTION("VALUE(REGEXEXTRACT(A7607, ""\d+""))"),11982.0)</f>
        <v>11982</v>
      </c>
    </row>
    <row r="7608">
      <c r="A7608" s="9" t="s">
        <v>26030</v>
      </c>
      <c r="B7608" s="9" t="s">
        <v>26031</v>
      </c>
      <c r="G7608" s="9" t="s">
        <v>26032</v>
      </c>
      <c r="O7608" s="10">
        <f>IFERROR(__xludf.DUMMYFUNCTION("VALUE(REGEXEXTRACT(A7608, ""\d+""))"),11983.0)</f>
        <v>11983</v>
      </c>
    </row>
    <row r="7609">
      <c r="A7609" s="9" t="s">
        <v>26033</v>
      </c>
      <c r="B7609" s="9" t="s">
        <v>26034</v>
      </c>
      <c r="G7609" s="9" t="s">
        <v>26035</v>
      </c>
      <c r="O7609" s="10">
        <f>IFERROR(__xludf.DUMMYFUNCTION("VALUE(REGEXEXTRACT(A7609, ""\d+""))"),11985.0)</f>
        <v>11985</v>
      </c>
    </row>
    <row r="7610">
      <c r="A7610" s="9" t="s">
        <v>26036</v>
      </c>
      <c r="B7610" s="9" t="s">
        <v>26037</v>
      </c>
      <c r="G7610" s="9" t="s">
        <v>26038</v>
      </c>
      <c r="O7610" s="10">
        <f>IFERROR(__xludf.DUMMYFUNCTION("VALUE(REGEXEXTRACT(A7610, ""\d+""))"),11986.0)</f>
        <v>11986</v>
      </c>
    </row>
    <row r="7611">
      <c r="A7611" s="9" t="s">
        <v>26039</v>
      </c>
      <c r="B7611" s="9" t="s">
        <v>26040</v>
      </c>
      <c r="G7611" s="9" t="s">
        <v>26041</v>
      </c>
      <c r="O7611" s="10">
        <f>IFERROR(__xludf.DUMMYFUNCTION("VALUE(REGEXEXTRACT(A7611, ""\d+""))"),11996.0)</f>
        <v>11996</v>
      </c>
    </row>
    <row r="7612">
      <c r="A7612" s="9" t="s">
        <v>26042</v>
      </c>
      <c r="B7612" s="9" t="s">
        <v>26043</v>
      </c>
      <c r="G7612" s="9" t="s">
        <v>26044</v>
      </c>
      <c r="O7612" s="10">
        <f>IFERROR(__xludf.DUMMYFUNCTION("VALUE(REGEXEXTRACT(A7612, ""\d+""))"),11997.0)</f>
        <v>11997</v>
      </c>
    </row>
    <row r="7613">
      <c r="A7613" s="9" t="s">
        <v>26045</v>
      </c>
      <c r="B7613" s="9" t="s">
        <v>26046</v>
      </c>
      <c r="G7613" s="9" t="s">
        <v>26047</v>
      </c>
      <c r="O7613" s="10">
        <f>IFERROR(__xludf.DUMMYFUNCTION("VALUE(REGEXEXTRACT(A7613, ""\d+""))"),11998.0)</f>
        <v>11998</v>
      </c>
    </row>
    <row r="7614">
      <c r="A7614" s="9" t="s">
        <v>26048</v>
      </c>
      <c r="B7614" s="9" t="s">
        <v>26049</v>
      </c>
      <c r="G7614" s="9" t="s">
        <v>26050</v>
      </c>
      <c r="O7614" s="10">
        <f>IFERROR(__xludf.DUMMYFUNCTION("VALUE(REGEXEXTRACT(A7614, ""\d+""))"),11999.0)</f>
        <v>11999</v>
      </c>
    </row>
    <row r="7615">
      <c r="A7615" s="9" t="s">
        <v>26051</v>
      </c>
      <c r="B7615" s="9" t="s">
        <v>26052</v>
      </c>
      <c r="G7615" s="9" t="s">
        <v>26053</v>
      </c>
      <c r="O7615" s="10">
        <f>IFERROR(__xludf.DUMMYFUNCTION("VALUE(REGEXEXTRACT(A7615, ""\d+""))"),12000.0)</f>
        <v>12000</v>
      </c>
    </row>
    <row r="7616">
      <c r="A7616" s="9" t="s">
        <v>26054</v>
      </c>
      <c r="B7616" s="9" t="s">
        <v>26055</v>
      </c>
      <c r="G7616" s="9" t="s">
        <v>26056</v>
      </c>
      <c r="O7616" s="10">
        <f>IFERROR(__xludf.DUMMYFUNCTION("VALUE(REGEXEXTRACT(A7616, ""\d+""))"),12001.0)</f>
        <v>12001</v>
      </c>
    </row>
    <row r="7617">
      <c r="A7617" s="9" t="s">
        <v>26057</v>
      </c>
      <c r="B7617" s="9" t="s">
        <v>26058</v>
      </c>
      <c r="G7617" s="9" t="s">
        <v>26059</v>
      </c>
      <c r="O7617" s="10">
        <f>IFERROR(__xludf.DUMMYFUNCTION("VALUE(REGEXEXTRACT(A7617, ""\d+""))"),12002.0)</f>
        <v>12002</v>
      </c>
    </row>
    <row r="7618">
      <c r="A7618" s="9" t="s">
        <v>26060</v>
      </c>
      <c r="B7618" s="9" t="s">
        <v>26061</v>
      </c>
      <c r="G7618" s="9" t="s">
        <v>26062</v>
      </c>
      <c r="O7618" s="10">
        <f>IFERROR(__xludf.DUMMYFUNCTION("VALUE(REGEXEXTRACT(A7618, ""\d+""))"),12003.0)</f>
        <v>12003</v>
      </c>
    </row>
    <row r="7619">
      <c r="A7619" s="9" t="s">
        <v>26063</v>
      </c>
      <c r="B7619" s="9" t="s">
        <v>26064</v>
      </c>
      <c r="G7619" s="9" t="s">
        <v>26065</v>
      </c>
      <c r="O7619" s="10">
        <f>IFERROR(__xludf.DUMMYFUNCTION("VALUE(REGEXEXTRACT(A7619, ""\d+""))"),12004.0)</f>
        <v>12004</v>
      </c>
    </row>
    <row r="7620">
      <c r="A7620" s="9" t="s">
        <v>26066</v>
      </c>
      <c r="B7620" s="9" t="s">
        <v>26067</v>
      </c>
      <c r="G7620" s="9" t="s">
        <v>26068</v>
      </c>
      <c r="O7620" s="10">
        <f>IFERROR(__xludf.DUMMYFUNCTION("VALUE(REGEXEXTRACT(A7620, ""\d+""))"),12007.0)</f>
        <v>12007</v>
      </c>
    </row>
    <row r="7621">
      <c r="A7621" s="9" t="s">
        <v>26069</v>
      </c>
      <c r="B7621" s="9" t="s">
        <v>26070</v>
      </c>
      <c r="G7621" s="9" t="s">
        <v>26071</v>
      </c>
      <c r="O7621" s="10">
        <f>IFERROR(__xludf.DUMMYFUNCTION("VALUE(REGEXEXTRACT(A7621, ""\d+""))"),12008.0)</f>
        <v>12008</v>
      </c>
    </row>
    <row r="7622">
      <c r="A7622" s="9" t="s">
        <v>26072</v>
      </c>
      <c r="B7622" s="9" t="s">
        <v>26073</v>
      </c>
      <c r="G7622" s="9" t="s">
        <v>26074</v>
      </c>
      <c r="O7622" s="10">
        <f>IFERROR(__xludf.DUMMYFUNCTION("VALUE(REGEXEXTRACT(A7622, ""\d+""))"),12009.0)</f>
        <v>12009</v>
      </c>
    </row>
    <row r="7623">
      <c r="A7623" s="9" t="s">
        <v>26075</v>
      </c>
      <c r="B7623" s="9" t="s">
        <v>26076</v>
      </c>
      <c r="G7623" s="9" t="s">
        <v>26077</v>
      </c>
      <c r="O7623" s="10">
        <f>IFERROR(__xludf.DUMMYFUNCTION("VALUE(REGEXEXTRACT(A7623, ""\d+""))"),12010.0)</f>
        <v>12010</v>
      </c>
    </row>
    <row r="7624">
      <c r="A7624" s="9" t="s">
        <v>26078</v>
      </c>
      <c r="B7624" s="9" t="s">
        <v>26079</v>
      </c>
      <c r="G7624" s="9" t="s">
        <v>26080</v>
      </c>
      <c r="O7624" s="10">
        <f>IFERROR(__xludf.DUMMYFUNCTION("VALUE(REGEXEXTRACT(A7624, ""\d+""))"),12011.0)</f>
        <v>12011</v>
      </c>
    </row>
    <row r="7625">
      <c r="A7625" s="9" t="s">
        <v>26081</v>
      </c>
      <c r="B7625" s="9" t="s">
        <v>26082</v>
      </c>
      <c r="G7625" s="9" t="s">
        <v>26083</v>
      </c>
      <c r="O7625" s="10">
        <f>IFERROR(__xludf.DUMMYFUNCTION("VALUE(REGEXEXTRACT(A7625, ""\d+""))"),12012.0)</f>
        <v>12012</v>
      </c>
    </row>
    <row r="7626">
      <c r="A7626" s="9" t="s">
        <v>26084</v>
      </c>
      <c r="B7626" s="9" t="s">
        <v>26085</v>
      </c>
      <c r="G7626" s="9" t="s">
        <v>26086</v>
      </c>
      <c r="O7626" s="10">
        <f>IFERROR(__xludf.DUMMYFUNCTION("VALUE(REGEXEXTRACT(A7626, ""\d+""))"),12013.0)</f>
        <v>12013</v>
      </c>
    </row>
    <row r="7627">
      <c r="A7627" s="9" t="s">
        <v>26087</v>
      </c>
      <c r="B7627" s="9" t="s">
        <v>26088</v>
      </c>
      <c r="G7627" s="9" t="s">
        <v>26089</v>
      </c>
      <c r="O7627" s="10">
        <f>IFERROR(__xludf.DUMMYFUNCTION("VALUE(REGEXEXTRACT(A7627, ""\d+""))"),12014.0)</f>
        <v>12014</v>
      </c>
    </row>
    <row r="7628">
      <c r="A7628" s="9" t="s">
        <v>26090</v>
      </c>
      <c r="B7628" s="9" t="s">
        <v>26091</v>
      </c>
      <c r="G7628" s="9" t="s">
        <v>26092</v>
      </c>
      <c r="O7628" s="10">
        <f>IFERROR(__xludf.DUMMYFUNCTION("VALUE(REGEXEXTRACT(A7628, ""\d+""))"),12015.0)</f>
        <v>12015</v>
      </c>
    </row>
    <row r="7629">
      <c r="A7629" s="9" t="s">
        <v>26093</v>
      </c>
      <c r="B7629" s="9" t="s">
        <v>26094</v>
      </c>
      <c r="G7629" s="9" t="s">
        <v>26095</v>
      </c>
      <c r="O7629" s="10">
        <f>IFERROR(__xludf.DUMMYFUNCTION("VALUE(REGEXEXTRACT(A7629, ""\d+""))"),12016.0)</f>
        <v>12016</v>
      </c>
    </row>
    <row r="7630">
      <c r="A7630" s="9" t="s">
        <v>26096</v>
      </c>
      <c r="B7630" s="9" t="s">
        <v>26097</v>
      </c>
      <c r="G7630" s="9" t="s">
        <v>26098</v>
      </c>
      <c r="O7630" s="10">
        <f>IFERROR(__xludf.DUMMYFUNCTION("VALUE(REGEXEXTRACT(A7630, ""\d+""))"),12017.0)</f>
        <v>12017</v>
      </c>
    </row>
    <row r="7631">
      <c r="A7631" s="9" t="s">
        <v>26099</v>
      </c>
      <c r="B7631" s="9" t="s">
        <v>26100</v>
      </c>
      <c r="G7631" s="9" t="s">
        <v>26101</v>
      </c>
      <c r="O7631" s="10">
        <f>IFERROR(__xludf.DUMMYFUNCTION("VALUE(REGEXEXTRACT(A7631, ""\d+""))"),12018.0)</f>
        <v>12018</v>
      </c>
    </row>
    <row r="7632">
      <c r="A7632" s="9" t="s">
        <v>26102</v>
      </c>
      <c r="B7632" s="9" t="s">
        <v>26103</v>
      </c>
      <c r="G7632" s="9" t="s">
        <v>26104</v>
      </c>
      <c r="O7632" s="10">
        <f>IFERROR(__xludf.DUMMYFUNCTION("VALUE(REGEXEXTRACT(A7632, ""\d+""))"),12019.0)</f>
        <v>12019</v>
      </c>
    </row>
    <row r="7633">
      <c r="A7633" s="9" t="s">
        <v>26105</v>
      </c>
      <c r="B7633" s="9" t="s">
        <v>26106</v>
      </c>
      <c r="G7633" s="9" t="s">
        <v>26107</v>
      </c>
      <c r="O7633" s="10">
        <f>IFERROR(__xludf.DUMMYFUNCTION("VALUE(REGEXEXTRACT(A7633, ""\d+""))"),12020.0)</f>
        <v>12020</v>
      </c>
    </row>
    <row r="7634">
      <c r="A7634" s="9" t="s">
        <v>26108</v>
      </c>
      <c r="B7634" s="9" t="s">
        <v>26109</v>
      </c>
      <c r="G7634" s="9" t="s">
        <v>26110</v>
      </c>
      <c r="O7634" s="10">
        <f>IFERROR(__xludf.DUMMYFUNCTION("VALUE(REGEXEXTRACT(A7634, ""\d+""))"),12021.0)</f>
        <v>12021</v>
      </c>
    </row>
    <row r="7635">
      <c r="A7635" s="9" t="s">
        <v>26111</v>
      </c>
      <c r="B7635" s="9" t="s">
        <v>26112</v>
      </c>
      <c r="G7635" s="9" t="s">
        <v>26113</v>
      </c>
      <c r="O7635" s="10">
        <f>IFERROR(__xludf.DUMMYFUNCTION("VALUE(REGEXEXTRACT(A7635, ""\d+""))"),12022.0)</f>
        <v>12022</v>
      </c>
    </row>
    <row r="7636">
      <c r="A7636" s="9" t="s">
        <v>26114</v>
      </c>
      <c r="B7636" s="9" t="s">
        <v>26115</v>
      </c>
      <c r="G7636" s="9" t="s">
        <v>26116</v>
      </c>
      <c r="O7636" s="10">
        <f>IFERROR(__xludf.DUMMYFUNCTION("VALUE(REGEXEXTRACT(A7636, ""\d+""))"),12023.0)</f>
        <v>12023</v>
      </c>
    </row>
    <row r="7637">
      <c r="A7637" s="9" t="s">
        <v>26117</v>
      </c>
      <c r="B7637" s="9" t="s">
        <v>26118</v>
      </c>
      <c r="G7637" s="9" t="s">
        <v>26119</v>
      </c>
      <c r="O7637" s="10">
        <f>IFERROR(__xludf.DUMMYFUNCTION("VALUE(REGEXEXTRACT(A7637, ""\d+""))"),12024.0)</f>
        <v>12024</v>
      </c>
    </row>
    <row r="7638">
      <c r="A7638" s="9" t="s">
        <v>26120</v>
      </c>
      <c r="B7638" s="9" t="s">
        <v>26121</v>
      </c>
      <c r="G7638" s="9" t="s">
        <v>26122</v>
      </c>
      <c r="O7638" s="10">
        <f>IFERROR(__xludf.DUMMYFUNCTION("VALUE(REGEXEXTRACT(A7638, ""\d+""))"),12025.0)</f>
        <v>12025</v>
      </c>
    </row>
    <row r="7639">
      <c r="A7639" s="9" t="s">
        <v>26123</v>
      </c>
      <c r="B7639" s="9" t="s">
        <v>26124</v>
      </c>
      <c r="G7639" s="9" t="s">
        <v>26125</v>
      </c>
      <c r="O7639" s="10">
        <f>IFERROR(__xludf.DUMMYFUNCTION("VALUE(REGEXEXTRACT(A7639, ""\d+""))"),12026.0)</f>
        <v>12026</v>
      </c>
    </row>
    <row r="7640">
      <c r="A7640" s="9" t="s">
        <v>26126</v>
      </c>
      <c r="B7640" s="9" t="s">
        <v>26127</v>
      </c>
      <c r="G7640" s="9" t="s">
        <v>26128</v>
      </c>
      <c r="O7640" s="10">
        <f>IFERROR(__xludf.DUMMYFUNCTION("VALUE(REGEXEXTRACT(A7640, ""\d+""))"),12027.0)</f>
        <v>12027</v>
      </c>
    </row>
    <row r="7641">
      <c r="A7641" s="9" t="s">
        <v>26129</v>
      </c>
      <c r="B7641" s="9" t="s">
        <v>26130</v>
      </c>
      <c r="G7641" s="9" t="s">
        <v>26131</v>
      </c>
      <c r="O7641" s="10">
        <f>IFERROR(__xludf.DUMMYFUNCTION("VALUE(REGEXEXTRACT(A7641, ""\d+""))"),12028.0)</f>
        <v>12028</v>
      </c>
    </row>
    <row r="7642">
      <c r="A7642" s="9" t="s">
        <v>26132</v>
      </c>
      <c r="B7642" s="9" t="s">
        <v>26133</v>
      </c>
      <c r="G7642" s="9" t="s">
        <v>26134</v>
      </c>
      <c r="O7642" s="10">
        <f>IFERROR(__xludf.DUMMYFUNCTION("VALUE(REGEXEXTRACT(A7642, ""\d+""))"),12029.0)</f>
        <v>12029</v>
      </c>
    </row>
    <row r="7643">
      <c r="A7643" s="9" t="s">
        <v>26135</v>
      </c>
      <c r="B7643" s="9" t="s">
        <v>26136</v>
      </c>
      <c r="G7643" s="9" t="s">
        <v>26137</v>
      </c>
      <c r="O7643" s="10">
        <f>IFERROR(__xludf.DUMMYFUNCTION("VALUE(REGEXEXTRACT(A7643, ""\d+""))"),12030.0)</f>
        <v>12030</v>
      </c>
    </row>
    <row r="7644">
      <c r="A7644" s="9" t="s">
        <v>26138</v>
      </c>
      <c r="B7644" s="9" t="s">
        <v>26139</v>
      </c>
      <c r="G7644" s="9" t="s">
        <v>26140</v>
      </c>
      <c r="O7644" s="10">
        <f>IFERROR(__xludf.DUMMYFUNCTION("VALUE(REGEXEXTRACT(A7644, ""\d+""))"),12031.0)</f>
        <v>12031</v>
      </c>
    </row>
    <row r="7645">
      <c r="A7645" s="9" t="s">
        <v>26141</v>
      </c>
      <c r="B7645" s="9" t="s">
        <v>26142</v>
      </c>
      <c r="G7645" s="9" t="s">
        <v>26143</v>
      </c>
      <c r="O7645" s="10">
        <f>IFERROR(__xludf.DUMMYFUNCTION("VALUE(REGEXEXTRACT(A7645, ""\d+""))"),12032.0)</f>
        <v>12032</v>
      </c>
    </row>
    <row r="7646">
      <c r="A7646" s="9" t="s">
        <v>26144</v>
      </c>
      <c r="B7646" s="9" t="s">
        <v>26145</v>
      </c>
      <c r="G7646" s="9" t="s">
        <v>26146</v>
      </c>
      <c r="O7646" s="10">
        <f>IFERROR(__xludf.DUMMYFUNCTION("VALUE(REGEXEXTRACT(A7646, ""\d+""))"),12033.0)</f>
        <v>12033</v>
      </c>
    </row>
    <row r="7647">
      <c r="A7647" s="9" t="s">
        <v>26147</v>
      </c>
      <c r="B7647" s="9" t="s">
        <v>26148</v>
      </c>
      <c r="G7647" s="9" t="s">
        <v>26149</v>
      </c>
      <c r="O7647" s="10">
        <f>IFERROR(__xludf.DUMMYFUNCTION("VALUE(REGEXEXTRACT(A7647, ""\d+""))"),12034.0)</f>
        <v>12034</v>
      </c>
    </row>
    <row r="7648">
      <c r="A7648" s="9" t="s">
        <v>26150</v>
      </c>
      <c r="B7648" s="9" t="s">
        <v>26151</v>
      </c>
      <c r="G7648" s="9" t="s">
        <v>26152</v>
      </c>
      <c r="O7648" s="10">
        <f>IFERROR(__xludf.DUMMYFUNCTION("VALUE(REGEXEXTRACT(A7648, ""\d+""))"),12035.0)</f>
        <v>12035</v>
      </c>
    </row>
    <row r="7649">
      <c r="A7649" s="9" t="s">
        <v>26153</v>
      </c>
      <c r="B7649" s="9" t="s">
        <v>26154</v>
      </c>
      <c r="G7649" s="9" t="s">
        <v>26155</v>
      </c>
      <c r="O7649" s="10">
        <f>IFERROR(__xludf.DUMMYFUNCTION("VALUE(REGEXEXTRACT(A7649, ""\d+""))"),12036.0)</f>
        <v>12036</v>
      </c>
    </row>
    <row r="7650">
      <c r="A7650" s="9" t="s">
        <v>26156</v>
      </c>
      <c r="B7650" s="9" t="s">
        <v>26157</v>
      </c>
      <c r="G7650" s="9" t="s">
        <v>26158</v>
      </c>
      <c r="O7650" s="10">
        <f>IFERROR(__xludf.DUMMYFUNCTION("VALUE(REGEXEXTRACT(A7650, ""\d+""))"),12037.0)</f>
        <v>12037</v>
      </c>
    </row>
    <row r="7651">
      <c r="A7651" s="9" t="s">
        <v>26159</v>
      </c>
      <c r="B7651" s="9" t="s">
        <v>26160</v>
      </c>
      <c r="G7651" s="9" t="s">
        <v>26161</v>
      </c>
      <c r="O7651" s="10">
        <f>IFERROR(__xludf.DUMMYFUNCTION("VALUE(REGEXEXTRACT(A7651, ""\d+""))"),12038.0)</f>
        <v>12038</v>
      </c>
    </row>
    <row r="7652">
      <c r="A7652" s="9" t="s">
        <v>26162</v>
      </c>
      <c r="B7652" s="9" t="s">
        <v>26163</v>
      </c>
      <c r="G7652" s="9" t="s">
        <v>26164</v>
      </c>
      <c r="O7652" s="10">
        <f>IFERROR(__xludf.DUMMYFUNCTION("VALUE(REGEXEXTRACT(A7652, ""\d+""))"),12039.0)</f>
        <v>12039</v>
      </c>
    </row>
    <row r="7653">
      <c r="A7653" s="9" t="s">
        <v>26165</v>
      </c>
      <c r="B7653" s="9" t="s">
        <v>26166</v>
      </c>
      <c r="G7653" s="9" t="s">
        <v>26167</v>
      </c>
      <c r="O7653" s="10">
        <f>IFERROR(__xludf.DUMMYFUNCTION("VALUE(REGEXEXTRACT(A7653, ""\d+""))"),12040.0)</f>
        <v>12040</v>
      </c>
    </row>
    <row r="7654">
      <c r="A7654" s="9" t="s">
        <v>26168</v>
      </c>
      <c r="B7654" s="9" t="s">
        <v>26169</v>
      </c>
      <c r="G7654" s="9" t="s">
        <v>26170</v>
      </c>
      <c r="O7654" s="10">
        <f>IFERROR(__xludf.DUMMYFUNCTION("VALUE(REGEXEXTRACT(A7654, ""\d+""))"),12041.0)</f>
        <v>12041</v>
      </c>
    </row>
    <row r="7655">
      <c r="A7655" s="9" t="s">
        <v>26171</v>
      </c>
      <c r="B7655" s="9" t="s">
        <v>26172</v>
      </c>
      <c r="G7655" s="9" t="s">
        <v>26173</v>
      </c>
      <c r="O7655" s="10">
        <f>IFERROR(__xludf.DUMMYFUNCTION("VALUE(REGEXEXTRACT(A7655, ""\d+""))"),12042.0)</f>
        <v>12042</v>
      </c>
    </row>
    <row r="7656">
      <c r="A7656" s="9" t="s">
        <v>26174</v>
      </c>
      <c r="B7656" s="9" t="s">
        <v>26175</v>
      </c>
      <c r="G7656" s="9" t="s">
        <v>26176</v>
      </c>
      <c r="O7656" s="10">
        <f>IFERROR(__xludf.DUMMYFUNCTION("VALUE(REGEXEXTRACT(A7656, ""\d+""))"),12045.0)</f>
        <v>12045</v>
      </c>
    </row>
    <row r="7657">
      <c r="A7657" s="9" t="s">
        <v>26177</v>
      </c>
      <c r="B7657" s="9" t="s">
        <v>26178</v>
      </c>
      <c r="G7657" s="9" t="s">
        <v>26176</v>
      </c>
      <c r="O7657" s="10">
        <f>IFERROR(__xludf.DUMMYFUNCTION("VALUE(REGEXEXTRACT(A7657, ""\d+""))"),12046.0)</f>
        <v>12046</v>
      </c>
    </row>
    <row r="7658">
      <c r="A7658" s="9" t="s">
        <v>26179</v>
      </c>
      <c r="B7658" s="9" t="s">
        <v>26180</v>
      </c>
      <c r="G7658" s="9" t="s">
        <v>26181</v>
      </c>
      <c r="O7658" s="10">
        <f>IFERROR(__xludf.DUMMYFUNCTION("VALUE(REGEXEXTRACT(A7658, ""\d+""))"),12055.0)</f>
        <v>12055</v>
      </c>
    </row>
    <row r="7659">
      <c r="A7659" s="9" t="s">
        <v>26182</v>
      </c>
      <c r="B7659" s="9" t="s">
        <v>26183</v>
      </c>
      <c r="G7659" s="9" t="s">
        <v>26184</v>
      </c>
      <c r="O7659" s="10">
        <f>IFERROR(__xludf.DUMMYFUNCTION("VALUE(REGEXEXTRACT(A7659, ""\d+""))"),12056.0)</f>
        <v>12056</v>
      </c>
    </row>
    <row r="7660">
      <c r="A7660" s="9" t="s">
        <v>26185</v>
      </c>
      <c r="B7660" s="9" t="s">
        <v>26186</v>
      </c>
      <c r="G7660" s="9" t="s">
        <v>26187</v>
      </c>
      <c r="O7660" s="10">
        <f>IFERROR(__xludf.DUMMYFUNCTION("VALUE(REGEXEXTRACT(A7660, ""\d+""))"),12058.0)</f>
        <v>12058</v>
      </c>
    </row>
    <row r="7661">
      <c r="A7661" s="9" t="s">
        <v>26188</v>
      </c>
      <c r="B7661" s="9" t="s">
        <v>26189</v>
      </c>
      <c r="G7661" s="9" t="s">
        <v>26190</v>
      </c>
      <c r="O7661" s="10">
        <f>IFERROR(__xludf.DUMMYFUNCTION("VALUE(REGEXEXTRACT(A7661, ""\d+""))"),12059.0)</f>
        <v>12059</v>
      </c>
    </row>
    <row r="7662">
      <c r="A7662" s="9" t="s">
        <v>26191</v>
      </c>
      <c r="B7662" s="9" t="s">
        <v>26192</v>
      </c>
      <c r="G7662" s="9" t="s">
        <v>26193</v>
      </c>
      <c r="O7662" s="10">
        <f>IFERROR(__xludf.DUMMYFUNCTION("VALUE(REGEXEXTRACT(A7662, ""\d+""))"),12060.0)</f>
        <v>12060</v>
      </c>
    </row>
    <row r="7663">
      <c r="A7663" s="9" t="s">
        <v>26194</v>
      </c>
      <c r="B7663" s="9" t="s">
        <v>26195</v>
      </c>
      <c r="G7663" s="9" t="s">
        <v>26196</v>
      </c>
      <c r="O7663" s="10">
        <f>IFERROR(__xludf.DUMMYFUNCTION("VALUE(REGEXEXTRACT(A7663, ""\d+""))"),12061.0)</f>
        <v>12061</v>
      </c>
    </row>
    <row r="7664">
      <c r="A7664" s="9" t="s">
        <v>26197</v>
      </c>
      <c r="B7664" s="9" t="s">
        <v>26198</v>
      </c>
      <c r="G7664" s="9" t="s">
        <v>26199</v>
      </c>
      <c r="O7664" s="10">
        <f>IFERROR(__xludf.DUMMYFUNCTION("VALUE(REGEXEXTRACT(A7664, ""\d+""))"),12062.0)</f>
        <v>12062</v>
      </c>
    </row>
    <row r="7665">
      <c r="A7665" s="9" t="s">
        <v>26200</v>
      </c>
      <c r="B7665" s="9" t="s">
        <v>26201</v>
      </c>
      <c r="G7665" s="9" t="s">
        <v>26202</v>
      </c>
      <c r="O7665" s="10">
        <f>IFERROR(__xludf.DUMMYFUNCTION("VALUE(REGEXEXTRACT(A7665, ""\d+""))"),12063.0)</f>
        <v>12063</v>
      </c>
    </row>
    <row r="7666">
      <c r="A7666" s="9" t="s">
        <v>26203</v>
      </c>
      <c r="B7666" s="9" t="s">
        <v>26204</v>
      </c>
      <c r="G7666" s="9" t="s">
        <v>26205</v>
      </c>
      <c r="O7666" s="10">
        <f>IFERROR(__xludf.DUMMYFUNCTION("VALUE(REGEXEXTRACT(A7666, ""\d+""))"),12064.0)</f>
        <v>12064</v>
      </c>
    </row>
    <row r="7667">
      <c r="A7667" s="9" t="s">
        <v>26206</v>
      </c>
      <c r="B7667" s="9" t="s">
        <v>26207</v>
      </c>
      <c r="G7667" s="9" t="s">
        <v>26208</v>
      </c>
      <c r="O7667" s="10">
        <f>IFERROR(__xludf.DUMMYFUNCTION("VALUE(REGEXEXTRACT(A7667, ""\d+""))"),12065.0)</f>
        <v>12065</v>
      </c>
    </row>
    <row r="7668">
      <c r="A7668" s="9" t="s">
        <v>26209</v>
      </c>
      <c r="B7668" s="9" t="s">
        <v>26210</v>
      </c>
      <c r="G7668" s="9" t="s">
        <v>26211</v>
      </c>
      <c r="O7668" s="10">
        <f>IFERROR(__xludf.DUMMYFUNCTION("VALUE(REGEXEXTRACT(A7668, ""\d+""))"),12066.0)</f>
        <v>12066</v>
      </c>
    </row>
    <row r="7669">
      <c r="A7669" s="9" t="s">
        <v>26212</v>
      </c>
      <c r="B7669" s="9" t="s">
        <v>26213</v>
      </c>
      <c r="G7669" s="9" t="s">
        <v>26214</v>
      </c>
      <c r="O7669" s="10">
        <f>IFERROR(__xludf.DUMMYFUNCTION("VALUE(REGEXEXTRACT(A7669, ""\d+""))"),12067.0)</f>
        <v>12067</v>
      </c>
    </row>
    <row r="7670">
      <c r="A7670" s="9" t="s">
        <v>26215</v>
      </c>
      <c r="B7670" s="9" t="s">
        <v>26216</v>
      </c>
      <c r="G7670" s="9" t="s">
        <v>26217</v>
      </c>
      <c r="O7670" s="10">
        <f>IFERROR(__xludf.DUMMYFUNCTION("VALUE(REGEXEXTRACT(A7670, ""\d+""))"),12068.0)</f>
        <v>12068</v>
      </c>
    </row>
    <row r="7671">
      <c r="A7671" s="9" t="s">
        <v>26218</v>
      </c>
      <c r="B7671" s="9" t="s">
        <v>26219</v>
      </c>
      <c r="G7671" s="9" t="s">
        <v>26220</v>
      </c>
      <c r="O7671" s="10">
        <f>IFERROR(__xludf.DUMMYFUNCTION("VALUE(REGEXEXTRACT(A7671, ""\d+""))"),12069.0)</f>
        <v>12069</v>
      </c>
    </row>
    <row r="7672">
      <c r="A7672" s="9" t="s">
        <v>26221</v>
      </c>
      <c r="B7672" s="9" t="s">
        <v>26222</v>
      </c>
      <c r="G7672" s="9" t="s">
        <v>26223</v>
      </c>
      <c r="O7672" s="10">
        <f>IFERROR(__xludf.DUMMYFUNCTION("VALUE(REGEXEXTRACT(A7672, ""\d+""))"),12070.0)</f>
        <v>12070</v>
      </c>
    </row>
    <row r="7673">
      <c r="A7673" s="9" t="s">
        <v>26224</v>
      </c>
      <c r="B7673" s="9" t="s">
        <v>26225</v>
      </c>
      <c r="G7673" s="9" t="s">
        <v>26226</v>
      </c>
      <c r="O7673" s="10">
        <f>IFERROR(__xludf.DUMMYFUNCTION("VALUE(REGEXEXTRACT(A7673, ""\d+""))"),12071.0)</f>
        <v>12071</v>
      </c>
    </row>
    <row r="7674">
      <c r="A7674" s="9" t="s">
        <v>26227</v>
      </c>
      <c r="B7674" s="9" t="s">
        <v>26228</v>
      </c>
      <c r="G7674" s="9" t="s">
        <v>26229</v>
      </c>
      <c r="O7674" s="10">
        <f>IFERROR(__xludf.DUMMYFUNCTION("VALUE(REGEXEXTRACT(A7674, ""\d+""))"),12072.0)</f>
        <v>12072</v>
      </c>
    </row>
    <row r="7675">
      <c r="A7675" s="9" t="s">
        <v>26230</v>
      </c>
      <c r="B7675" s="9" t="s">
        <v>26231</v>
      </c>
      <c r="G7675" s="9" t="s">
        <v>26232</v>
      </c>
      <c r="O7675" s="10">
        <f>IFERROR(__xludf.DUMMYFUNCTION("VALUE(REGEXEXTRACT(A7675, ""\d+""))"),12073.0)</f>
        <v>12073</v>
      </c>
    </row>
    <row r="7676">
      <c r="A7676" s="9" t="s">
        <v>26233</v>
      </c>
      <c r="B7676" s="9" t="s">
        <v>26234</v>
      </c>
      <c r="G7676" s="9" t="s">
        <v>26235</v>
      </c>
      <c r="O7676" s="10">
        <f>IFERROR(__xludf.DUMMYFUNCTION("VALUE(REGEXEXTRACT(A7676, ""\d+""))"),12074.0)</f>
        <v>12074</v>
      </c>
    </row>
    <row r="7677">
      <c r="A7677" s="9" t="s">
        <v>26236</v>
      </c>
      <c r="B7677" s="9" t="s">
        <v>26237</v>
      </c>
      <c r="G7677" s="9" t="s">
        <v>26238</v>
      </c>
      <c r="O7677" s="10">
        <f>IFERROR(__xludf.DUMMYFUNCTION("VALUE(REGEXEXTRACT(A7677, ""\d+""))"),12075.0)</f>
        <v>12075</v>
      </c>
    </row>
    <row r="7678">
      <c r="A7678" s="9" t="s">
        <v>26239</v>
      </c>
      <c r="B7678" s="9" t="s">
        <v>26240</v>
      </c>
      <c r="G7678" s="9" t="s">
        <v>26241</v>
      </c>
      <c r="O7678" s="10">
        <f>IFERROR(__xludf.DUMMYFUNCTION("VALUE(REGEXEXTRACT(A7678, ""\d+""))"),12076.0)</f>
        <v>12076</v>
      </c>
    </row>
    <row r="7679">
      <c r="A7679" s="9" t="s">
        <v>26242</v>
      </c>
      <c r="B7679" s="9" t="s">
        <v>26243</v>
      </c>
      <c r="G7679" s="9" t="s">
        <v>26244</v>
      </c>
      <c r="O7679" s="10">
        <f>IFERROR(__xludf.DUMMYFUNCTION("VALUE(REGEXEXTRACT(A7679, ""\d+""))"),12078.0)</f>
        <v>12078</v>
      </c>
    </row>
    <row r="7680">
      <c r="A7680" s="9" t="s">
        <v>26245</v>
      </c>
      <c r="B7680" s="9" t="s">
        <v>26246</v>
      </c>
      <c r="G7680" s="9" t="s">
        <v>26247</v>
      </c>
      <c r="O7680" s="10">
        <f>IFERROR(__xludf.DUMMYFUNCTION("VALUE(REGEXEXTRACT(A7680, ""\d+""))"),12079.0)</f>
        <v>12079</v>
      </c>
    </row>
    <row r="7681">
      <c r="A7681" s="9" t="s">
        <v>26248</v>
      </c>
      <c r="B7681" s="9" t="s">
        <v>26249</v>
      </c>
      <c r="G7681" s="9" t="s">
        <v>26250</v>
      </c>
      <c r="O7681" s="10">
        <f>IFERROR(__xludf.DUMMYFUNCTION("VALUE(REGEXEXTRACT(A7681, ""\d+""))"),12080.0)</f>
        <v>12080</v>
      </c>
    </row>
    <row r="7682">
      <c r="A7682" s="9" t="s">
        <v>26251</v>
      </c>
      <c r="B7682" s="9" t="s">
        <v>26252</v>
      </c>
      <c r="G7682" s="9" t="s">
        <v>26253</v>
      </c>
      <c r="O7682" s="10">
        <f>IFERROR(__xludf.DUMMYFUNCTION("VALUE(REGEXEXTRACT(A7682, ""\d+""))"),12081.0)</f>
        <v>12081</v>
      </c>
    </row>
    <row r="7683">
      <c r="A7683" s="9" t="s">
        <v>26254</v>
      </c>
      <c r="B7683" s="9" t="s">
        <v>26255</v>
      </c>
      <c r="G7683" s="9" t="s">
        <v>26256</v>
      </c>
      <c r="O7683" s="10">
        <f>IFERROR(__xludf.DUMMYFUNCTION("VALUE(REGEXEXTRACT(A7683, ""\d+""))"),12082.0)</f>
        <v>12082</v>
      </c>
    </row>
    <row r="7684">
      <c r="A7684" s="9" t="s">
        <v>26257</v>
      </c>
      <c r="B7684" s="9" t="s">
        <v>26258</v>
      </c>
      <c r="G7684" s="9" t="s">
        <v>26259</v>
      </c>
      <c r="O7684" s="10">
        <f>IFERROR(__xludf.DUMMYFUNCTION("VALUE(REGEXEXTRACT(A7684, ""\d+""))"),12083.0)</f>
        <v>12083</v>
      </c>
    </row>
    <row r="7685">
      <c r="A7685" s="9" t="s">
        <v>26260</v>
      </c>
      <c r="B7685" s="9" t="s">
        <v>26261</v>
      </c>
      <c r="G7685" s="9" t="s">
        <v>26262</v>
      </c>
      <c r="O7685" s="10">
        <f>IFERROR(__xludf.DUMMYFUNCTION("VALUE(REGEXEXTRACT(A7685, ""\d+""))"),12084.0)</f>
        <v>12084</v>
      </c>
    </row>
    <row r="7686">
      <c r="A7686" s="9" t="s">
        <v>26263</v>
      </c>
      <c r="B7686" s="9" t="s">
        <v>26264</v>
      </c>
      <c r="G7686" s="9" t="s">
        <v>26265</v>
      </c>
      <c r="O7686" s="10">
        <f>IFERROR(__xludf.DUMMYFUNCTION("VALUE(REGEXEXTRACT(A7686, ""\d+""))"),12085.0)</f>
        <v>12085</v>
      </c>
    </row>
    <row r="7687">
      <c r="A7687" s="9" t="s">
        <v>26266</v>
      </c>
      <c r="B7687" s="9" t="s">
        <v>26267</v>
      </c>
      <c r="G7687" s="9" t="s">
        <v>26268</v>
      </c>
      <c r="O7687" s="10">
        <f>IFERROR(__xludf.DUMMYFUNCTION("VALUE(REGEXEXTRACT(A7687, ""\d+""))"),12086.0)</f>
        <v>12086</v>
      </c>
    </row>
    <row r="7688">
      <c r="A7688" s="9" t="s">
        <v>26269</v>
      </c>
      <c r="B7688" s="9" t="s">
        <v>26270</v>
      </c>
      <c r="G7688" s="9" t="s">
        <v>26271</v>
      </c>
      <c r="O7688" s="10">
        <f>IFERROR(__xludf.DUMMYFUNCTION("VALUE(REGEXEXTRACT(A7688, ""\d+""))"),12087.0)</f>
        <v>12087</v>
      </c>
    </row>
    <row r="7689">
      <c r="A7689" s="9" t="s">
        <v>26272</v>
      </c>
      <c r="B7689" s="9" t="s">
        <v>26273</v>
      </c>
      <c r="G7689" s="9" t="s">
        <v>26274</v>
      </c>
      <c r="O7689" s="10">
        <f>IFERROR(__xludf.DUMMYFUNCTION("VALUE(REGEXEXTRACT(A7689, ""\d+""))"),12088.0)</f>
        <v>12088</v>
      </c>
    </row>
    <row r="7690">
      <c r="A7690" s="9" t="s">
        <v>26275</v>
      </c>
      <c r="B7690" s="9" t="s">
        <v>26276</v>
      </c>
      <c r="G7690" s="9" t="s">
        <v>26277</v>
      </c>
      <c r="O7690" s="10">
        <f>IFERROR(__xludf.DUMMYFUNCTION("VALUE(REGEXEXTRACT(A7690, ""\d+""))"),12089.0)</f>
        <v>12089</v>
      </c>
    </row>
    <row r="7691">
      <c r="A7691" s="9" t="s">
        <v>26278</v>
      </c>
      <c r="B7691" s="9" t="s">
        <v>26279</v>
      </c>
      <c r="G7691" s="9" t="s">
        <v>26280</v>
      </c>
      <c r="O7691" s="10">
        <f>IFERROR(__xludf.DUMMYFUNCTION("VALUE(REGEXEXTRACT(A7691, ""\d+""))"),12090.0)</f>
        <v>12090</v>
      </c>
    </row>
    <row r="7692">
      <c r="A7692" s="9" t="s">
        <v>26281</v>
      </c>
      <c r="B7692" s="9" t="s">
        <v>26282</v>
      </c>
      <c r="G7692" s="9" t="s">
        <v>26283</v>
      </c>
      <c r="O7692" s="10">
        <f>IFERROR(__xludf.DUMMYFUNCTION("VALUE(REGEXEXTRACT(A7692, ""\d+""))"),12091.0)</f>
        <v>12091</v>
      </c>
    </row>
    <row r="7693">
      <c r="A7693" s="9" t="s">
        <v>26284</v>
      </c>
      <c r="B7693" s="9" t="s">
        <v>26285</v>
      </c>
      <c r="G7693" s="9" t="s">
        <v>26286</v>
      </c>
      <c r="O7693" s="10">
        <f>IFERROR(__xludf.DUMMYFUNCTION("VALUE(REGEXEXTRACT(A7693, ""\d+""))"),12092.0)</f>
        <v>12092</v>
      </c>
    </row>
    <row r="7694">
      <c r="A7694" s="9" t="s">
        <v>26287</v>
      </c>
      <c r="B7694" s="9" t="s">
        <v>26288</v>
      </c>
      <c r="G7694" s="9" t="s">
        <v>26289</v>
      </c>
      <c r="O7694" s="10">
        <f>IFERROR(__xludf.DUMMYFUNCTION("VALUE(REGEXEXTRACT(A7694, ""\d+""))"),12093.0)</f>
        <v>12093</v>
      </c>
    </row>
    <row r="7695">
      <c r="A7695" s="9" t="s">
        <v>26290</v>
      </c>
      <c r="B7695" s="9" t="s">
        <v>26291</v>
      </c>
      <c r="G7695" s="9" t="s">
        <v>26292</v>
      </c>
      <c r="O7695" s="10">
        <f>IFERROR(__xludf.DUMMYFUNCTION("VALUE(REGEXEXTRACT(A7695, ""\d+""))"),12094.0)</f>
        <v>12094</v>
      </c>
    </row>
    <row r="7696">
      <c r="A7696" s="9" t="s">
        <v>26293</v>
      </c>
      <c r="B7696" s="9" t="s">
        <v>26294</v>
      </c>
      <c r="G7696" s="9" t="s">
        <v>26295</v>
      </c>
      <c r="O7696" s="10">
        <f>IFERROR(__xludf.DUMMYFUNCTION("VALUE(REGEXEXTRACT(A7696, ""\d+""))"),12095.0)</f>
        <v>12095</v>
      </c>
    </row>
    <row r="7697">
      <c r="A7697" s="9" t="s">
        <v>26296</v>
      </c>
      <c r="B7697" s="9" t="s">
        <v>26297</v>
      </c>
      <c r="G7697" s="9" t="s">
        <v>26298</v>
      </c>
      <c r="O7697" s="10">
        <f>IFERROR(__xludf.DUMMYFUNCTION("VALUE(REGEXEXTRACT(A7697, ""\d+""))"),12096.0)</f>
        <v>12096</v>
      </c>
    </row>
    <row r="7698">
      <c r="A7698" s="9" t="s">
        <v>26299</v>
      </c>
      <c r="B7698" s="9" t="s">
        <v>26300</v>
      </c>
      <c r="G7698" s="9" t="s">
        <v>26301</v>
      </c>
      <c r="O7698" s="10">
        <f>IFERROR(__xludf.DUMMYFUNCTION("VALUE(REGEXEXTRACT(A7698, ""\d+""))"),12097.0)</f>
        <v>12097</v>
      </c>
    </row>
    <row r="7699">
      <c r="A7699" s="9" t="s">
        <v>26302</v>
      </c>
      <c r="B7699" s="9" t="s">
        <v>26303</v>
      </c>
      <c r="G7699" s="9" t="s">
        <v>26304</v>
      </c>
      <c r="O7699" s="10">
        <f>IFERROR(__xludf.DUMMYFUNCTION("VALUE(REGEXEXTRACT(A7699, ""\d+""))"),12098.0)</f>
        <v>12098</v>
      </c>
    </row>
    <row r="7700">
      <c r="A7700" s="9" t="s">
        <v>26305</v>
      </c>
      <c r="B7700" s="9" t="s">
        <v>26306</v>
      </c>
      <c r="G7700" s="9" t="s">
        <v>26307</v>
      </c>
      <c r="O7700" s="10">
        <f>IFERROR(__xludf.DUMMYFUNCTION("VALUE(REGEXEXTRACT(A7700, ""\d+""))"),12099.0)</f>
        <v>12099</v>
      </c>
    </row>
    <row r="7701">
      <c r="A7701" s="9" t="s">
        <v>26308</v>
      </c>
      <c r="B7701" s="9" t="s">
        <v>26309</v>
      </c>
      <c r="G7701" s="9" t="s">
        <v>26310</v>
      </c>
      <c r="O7701" s="10">
        <f>IFERROR(__xludf.DUMMYFUNCTION("VALUE(REGEXEXTRACT(A7701, ""\d+""))"),12100.0)</f>
        <v>12100</v>
      </c>
    </row>
    <row r="7702">
      <c r="A7702" s="9" t="s">
        <v>26311</v>
      </c>
      <c r="B7702" s="9" t="s">
        <v>26312</v>
      </c>
      <c r="G7702" s="9" t="s">
        <v>26313</v>
      </c>
      <c r="O7702" s="10">
        <f>IFERROR(__xludf.DUMMYFUNCTION("VALUE(REGEXEXTRACT(A7702, ""\d+""))"),12101.0)</f>
        <v>12101</v>
      </c>
    </row>
    <row r="7703">
      <c r="A7703" s="9" t="s">
        <v>26314</v>
      </c>
      <c r="B7703" s="9" t="s">
        <v>26315</v>
      </c>
      <c r="G7703" s="9" t="s">
        <v>26316</v>
      </c>
      <c r="O7703" s="10">
        <f>IFERROR(__xludf.DUMMYFUNCTION("VALUE(REGEXEXTRACT(A7703, ""\d+""))"),12102.0)</f>
        <v>12102</v>
      </c>
    </row>
    <row r="7704">
      <c r="A7704" s="9" t="s">
        <v>26317</v>
      </c>
      <c r="B7704" s="9" t="s">
        <v>26318</v>
      </c>
      <c r="G7704" s="9" t="s">
        <v>26319</v>
      </c>
      <c r="O7704" s="10">
        <f>IFERROR(__xludf.DUMMYFUNCTION("VALUE(REGEXEXTRACT(A7704, ""\d+""))"),12103.0)</f>
        <v>12103</v>
      </c>
    </row>
    <row r="7705">
      <c r="A7705" s="9" t="s">
        <v>26320</v>
      </c>
      <c r="B7705" s="9" t="s">
        <v>26321</v>
      </c>
      <c r="G7705" s="9" t="s">
        <v>26322</v>
      </c>
      <c r="O7705" s="10">
        <f>IFERROR(__xludf.DUMMYFUNCTION("VALUE(REGEXEXTRACT(A7705, ""\d+""))"),12104.0)</f>
        <v>12104</v>
      </c>
    </row>
    <row r="7706">
      <c r="A7706" s="9" t="s">
        <v>26323</v>
      </c>
      <c r="B7706" s="9" t="s">
        <v>26324</v>
      </c>
      <c r="G7706" s="9" t="s">
        <v>26325</v>
      </c>
      <c r="O7706" s="10">
        <f>IFERROR(__xludf.DUMMYFUNCTION("VALUE(REGEXEXTRACT(A7706, ""\d+""))"),12105.0)</f>
        <v>12105</v>
      </c>
    </row>
    <row r="7707">
      <c r="A7707" s="9" t="s">
        <v>26326</v>
      </c>
      <c r="B7707" s="9" t="s">
        <v>26327</v>
      </c>
      <c r="G7707" s="9" t="s">
        <v>26328</v>
      </c>
      <c r="O7707" s="10">
        <f>IFERROR(__xludf.DUMMYFUNCTION("VALUE(REGEXEXTRACT(A7707, ""\d+""))"),12106.0)</f>
        <v>12106</v>
      </c>
    </row>
    <row r="7708">
      <c r="A7708" s="9" t="s">
        <v>26329</v>
      </c>
      <c r="B7708" s="9" t="s">
        <v>26330</v>
      </c>
      <c r="G7708" s="9" t="s">
        <v>26331</v>
      </c>
      <c r="O7708" s="10">
        <f>IFERROR(__xludf.DUMMYFUNCTION("VALUE(REGEXEXTRACT(A7708, ""\d+""))"),12107.0)</f>
        <v>12107</v>
      </c>
    </row>
    <row r="7709">
      <c r="A7709" s="9" t="s">
        <v>26332</v>
      </c>
      <c r="B7709" s="9" t="s">
        <v>26333</v>
      </c>
      <c r="G7709" s="9" t="s">
        <v>26334</v>
      </c>
      <c r="O7709" s="10">
        <f>IFERROR(__xludf.DUMMYFUNCTION("VALUE(REGEXEXTRACT(A7709, ""\d+""))"),12108.0)</f>
        <v>12108</v>
      </c>
    </row>
    <row r="7710">
      <c r="A7710" s="9" t="s">
        <v>26335</v>
      </c>
      <c r="B7710" s="9" t="s">
        <v>26336</v>
      </c>
      <c r="G7710" s="9" t="s">
        <v>26325</v>
      </c>
      <c r="O7710" s="10">
        <f>IFERROR(__xludf.DUMMYFUNCTION("VALUE(REGEXEXTRACT(A7710, ""\d+""))"),12109.0)</f>
        <v>12109</v>
      </c>
    </row>
    <row r="7711">
      <c r="A7711" s="9" t="s">
        <v>26337</v>
      </c>
      <c r="B7711" s="9" t="s">
        <v>26338</v>
      </c>
      <c r="G7711" s="9" t="s">
        <v>26339</v>
      </c>
      <c r="O7711" s="10">
        <f>IFERROR(__xludf.DUMMYFUNCTION("VALUE(REGEXEXTRACT(A7711, ""\d+""))"),12110.0)</f>
        <v>12110</v>
      </c>
    </row>
    <row r="7712">
      <c r="A7712" s="9" t="s">
        <v>26340</v>
      </c>
      <c r="B7712" s="9" t="s">
        <v>26341</v>
      </c>
      <c r="G7712" s="9" t="s">
        <v>26342</v>
      </c>
      <c r="O7712" s="10">
        <f>IFERROR(__xludf.DUMMYFUNCTION("VALUE(REGEXEXTRACT(A7712, ""\d+""))"),12111.0)</f>
        <v>12111</v>
      </c>
    </row>
    <row r="7713">
      <c r="A7713" s="9" t="s">
        <v>26343</v>
      </c>
      <c r="B7713" s="9" t="s">
        <v>26344</v>
      </c>
      <c r="G7713" s="9" t="s">
        <v>26345</v>
      </c>
      <c r="O7713" s="10">
        <f>IFERROR(__xludf.DUMMYFUNCTION("VALUE(REGEXEXTRACT(A7713, ""\d+""))"),12112.0)</f>
        <v>12112</v>
      </c>
    </row>
    <row r="7714">
      <c r="A7714" s="9" t="s">
        <v>26346</v>
      </c>
      <c r="B7714" s="9" t="s">
        <v>26347</v>
      </c>
      <c r="G7714" s="9" t="s">
        <v>26348</v>
      </c>
      <c r="O7714" s="10">
        <f>IFERROR(__xludf.DUMMYFUNCTION("VALUE(REGEXEXTRACT(A7714, ""\d+""))"),12113.0)</f>
        <v>12113</v>
      </c>
    </row>
    <row r="7715">
      <c r="A7715" s="9" t="s">
        <v>26349</v>
      </c>
      <c r="B7715" s="9" t="s">
        <v>26350</v>
      </c>
      <c r="G7715" s="9" t="s">
        <v>26351</v>
      </c>
      <c r="O7715" s="10">
        <f>IFERROR(__xludf.DUMMYFUNCTION("VALUE(REGEXEXTRACT(A7715, ""\d+""))"),12114.0)</f>
        <v>12114</v>
      </c>
    </row>
    <row r="7716">
      <c r="A7716" s="9" t="s">
        <v>26352</v>
      </c>
      <c r="B7716" s="9" t="s">
        <v>26353</v>
      </c>
      <c r="G7716" s="9" t="s">
        <v>26354</v>
      </c>
      <c r="O7716" s="10">
        <f>IFERROR(__xludf.DUMMYFUNCTION("VALUE(REGEXEXTRACT(A7716, ""\d+""))"),12115.0)</f>
        <v>12115</v>
      </c>
    </row>
    <row r="7717">
      <c r="A7717" s="9" t="s">
        <v>26355</v>
      </c>
      <c r="B7717" s="9" t="s">
        <v>26356</v>
      </c>
      <c r="G7717" s="9" t="s">
        <v>26357</v>
      </c>
      <c r="O7717" s="10">
        <f>IFERROR(__xludf.DUMMYFUNCTION("VALUE(REGEXEXTRACT(A7717, ""\d+""))"),12118.0)</f>
        <v>12118</v>
      </c>
    </row>
    <row r="7718">
      <c r="A7718" s="9" t="s">
        <v>26358</v>
      </c>
      <c r="B7718" s="9" t="s">
        <v>26359</v>
      </c>
      <c r="G7718" s="9" t="s">
        <v>26360</v>
      </c>
      <c r="O7718" s="10">
        <f>IFERROR(__xludf.DUMMYFUNCTION("VALUE(REGEXEXTRACT(A7718, ""\d+""))"),12119.0)</f>
        <v>12119</v>
      </c>
    </row>
    <row r="7719">
      <c r="A7719" s="9" t="s">
        <v>26361</v>
      </c>
      <c r="B7719" s="9" t="s">
        <v>26362</v>
      </c>
      <c r="G7719" s="9" t="s">
        <v>26363</v>
      </c>
      <c r="O7719" s="10">
        <f>IFERROR(__xludf.DUMMYFUNCTION("VALUE(REGEXEXTRACT(A7719, ""\d+""))"),12124.0)</f>
        <v>12124</v>
      </c>
    </row>
    <row r="7720">
      <c r="A7720" s="9" t="s">
        <v>26364</v>
      </c>
      <c r="B7720" s="9" t="s">
        <v>26365</v>
      </c>
      <c r="G7720" s="9" t="s">
        <v>26366</v>
      </c>
      <c r="O7720" s="10">
        <f>IFERROR(__xludf.DUMMYFUNCTION("VALUE(REGEXEXTRACT(A7720, ""\d+""))"),12125.0)</f>
        <v>12125</v>
      </c>
    </row>
    <row r="7721">
      <c r="A7721" s="9" t="s">
        <v>26367</v>
      </c>
      <c r="B7721" s="9" t="s">
        <v>26368</v>
      </c>
      <c r="G7721" s="9" t="s">
        <v>26369</v>
      </c>
      <c r="O7721" s="10">
        <f>IFERROR(__xludf.DUMMYFUNCTION("VALUE(REGEXEXTRACT(A7721, ""\d+""))"),12126.0)</f>
        <v>12126</v>
      </c>
    </row>
    <row r="7722">
      <c r="A7722" s="9" t="s">
        <v>26370</v>
      </c>
      <c r="B7722" s="9" t="s">
        <v>26371</v>
      </c>
      <c r="G7722" s="9" t="s">
        <v>26372</v>
      </c>
      <c r="O7722" s="10">
        <f>IFERROR(__xludf.DUMMYFUNCTION("VALUE(REGEXEXTRACT(A7722, ""\d+""))"),12127.0)</f>
        <v>12127</v>
      </c>
    </row>
    <row r="7723">
      <c r="A7723" s="9" t="s">
        <v>26373</v>
      </c>
      <c r="B7723" s="9" t="s">
        <v>26374</v>
      </c>
      <c r="G7723" s="9" t="s">
        <v>26375</v>
      </c>
      <c r="O7723" s="10">
        <f>IFERROR(__xludf.DUMMYFUNCTION("VALUE(REGEXEXTRACT(A7723, ""\d+""))"),12128.0)</f>
        <v>12128</v>
      </c>
    </row>
    <row r="7724">
      <c r="A7724" s="9" t="s">
        <v>26376</v>
      </c>
      <c r="B7724" s="9" t="s">
        <v>26377</v>
      </c>
      <c r="G7724" s="9" t="s">
        <v>26378</v>
      </c>
      <c r="O7724" s="10">
        <f>IFERROR(__xludf.DUMMYFUNCTION("VALUE(REGEXEXTRACT(A7724, ""\d+""))"),12129.0)</f>
        <v>12129</v>
      </c>
    </row>
    <row r="7725">
      <c r="A7725" s="9" t="s">
        <v>26379</v>
      </c>
      <c r="B7725" s="9" t="s">
        <v>26380</v>
      </c>
      <c r="G7725" s="9" t="s">
        <v>26381</v>
      </c>
      <c r="O7725" s="10">
        <f>IFERROR(__xludf.DUMMYFUNCTION("VALUE(REGEXEXTRACT(A7725, ""\d+""))"),12130.0)</f>
        <v>12130</v>
      </c>
    </row>
    <row r="7726">
      <c r="A7726" s="9" t="s">
        <v>26382</v>
      </c>
      <c r="B7726" s="9" t="s">
        <v>26383</v>
      </c>
      <c r="G7726" s="9" t="s">
        <v>26384</v>
      </c>
      <c r="O7726" s="10">
        <f>IFERROR(__xludf.DUMMYFUNCTION("VALUE(REGEXEXTRACT(A7726, ""\d+""))"),12131.0)</f>
        <v>12131</v>
      </c>
    </row>
    <row r="7727">
      <c r="A7727" s="9" t="s">
        <v>26385</v>
      </c>
      <c r="B7727" s="9" t="s">
        <v>26386</v>
      </c>
      <c r="G7727" s="9" t="s">
        <v>26387</v>
      </c>
      <c r="O7727" s="10">
        <f>IFERROR(__xludf.DUMMYFUNCTION("VALUE(REGEXEXTRACT(A7727, ""\d+""))"),12134.0)</f>
        <v>12134</v>
      </c>
    </row>
    <row r="7728">
      <c r="A7728" s="9" t="s">
        <v>26388</v>
      </c>
      <c r="B7728" s="9" t="s">
        <v>26389</v>
      </c>
      <c r="G7728" s="9" t="s">
        <v>26390</v>
      </c>
      <c r="O7728" s="10">
        <f>IFERROR(__xludf.DUMMYFUNCTION("VALUE(REGEXEXTRACT(A7728, ""\d+""))"),12135.0)</f>
        <v>12135</v>
      </c>
    </row>
    <row r="7729">
      <c r="A7729" s="9" t="s">
        <v>26391</v>
      </c>
      <c r="B7729" s="9" t="s">
        <v>26392</v>
      </c>
      <c r="G7729" s="9" t="s">
        <v>26393</v>
      </c>
      <c r="O7729" s="10">
        <f>IFERROR(__xludf.DUMMYFUNCTION("VALUE(REGEXEXTRACT(A7729, ""\d+""))"),12136.0)</f>
        <v>12136</v>
      </c>
    </row>
    <row r="7730">
      <c r="A7730" s="9" t="s">
        <v>26394</v>
      </c>
      <c r="B7730" s="9" t="s">
        <v>26395</v>
      </c>
      <c r="G7730" s="9" t="s">
        <v>26396</v>
      </c>
      <c r="O7730" s="10">
        <f>IFERROR(__xludf.DUMMYFUNCTION("VALUE(REGEXEXTRACT(A7730, ""\d+""))"),12137.0)</f>
        <v>12137</v>
      </c>
    </row>
    <row r="7731">
      <c r="A7731" s="9" t="s">
        <v>26397</v>
      </c>
      <c r="B7731" s="9" t="s">
        <v>26398</v>
      </c>
      <c r="G7731" s="9" t="s">
        <v>26399</v>
      </c>
      <c r="O7731" s="10">
        <f>IFERROR(__xludf.DUMMYFUNCTION("VALUE(REGEXEXTRACT(A7731, ""\d+""))"),12138.0)</f>
        <v>12138</v>
      </c>
    </row>
    <row r="7732">
      <c r="A7732" s="9" t="s">
        <v>26400</v>
      </c>
      <c r="B7732" s="9" t="s">
        <v>26401</v>
      </c>
      <c r="G7732" s="9" t="s">
        <v>26402</v>
      </c>
      <c r="O7732" s="10">
        <f>IFERROR(__xludf.DUMMYFUNCTION("VALUE(REGEXEXTRACT(A7732, ""\d+""))"),12139.0)</f>
        <v>12139</v>
      </c>
    </row>
    <row r="7733">
      <c r="A7733" s="9" t="s">
        <v>26403</v>
      </c>
      <c r="B7733" s="9" t="s">
        <v>26404</v>
      </c>
      <c r="G7733" s="9" t="s">
        <v>26405</v>
      </c>
      <c r="O7733" s="10">
        <f>IFERROR(__xludf.DUMMYFUNCTION("VALUE(REGEXEXTRACT(A7733, ""\d+""))"),12140.0)</f>
        <v>12140</v>
      </c>
    </row>
    <row r="7734">
      <c r="A7734" s="9" t="s">
        <v>26406</v>
      </c>
      <c r="B7734" s="9" t="s">
        <v>26407</v>
      </c>
      <c r="G7734" s="9" t="s">
        <v>26408</v>
      </c>
      <c r="O7734" s="10">
        <f>IFERROR(__xludf.DUMMYFUNCTION("VALUE(REGEXEXTRACT(A7734, ""\d+""))"),12141.0)</f>
        <v>12141</v>
      </c>
    </row>
    <row r="7735">
      <c r="A7735" s="9" t="s">
        <v>26409</v>
      </c>
      <c r="B7735" s="9" t="s">
        <v>26410</v>
      </c>
      <c r="G7735" s="9" t="s">
        <v>26411</v>
      </c>
      <c r="O7735" s="10">
        <f>IFERROR(__xludf.DUMMYFUNCTION("VALUE(REGEXEXTRACT(A7735, ""\d+""))"),12142.0)</f>
        <v>12142</v>
      </c>
    </row>
    <row r="7736">
      <c r="A7736" s="9" t="s">
        <v>26412</v>
      </c>
      <c r="B7736" s="9" t="s">
        <v>26413</v>
      </c>
      <c r="G7736" s="9" t="s">
        <v>26414</v>
      </c>
      <c r="O7736" s="10">
        <f>IFERROR(__xludf.DUMMYFUNCTION("VALUE(REGEXEXTRACT(A7736, ""\d+""))"),12143.0)</f>
        <v>12143</v>
      </c>
    </row>
    <row r="7737">
      <c r="A7737" s="9" t="s">
        <v>26415</v>
      </c>
      <c r="B7737" s="9" t="s">
        <v>26416</v>
      </c>
      <c r="G7737" s="9" t="s">
        <v>26417</v>
      </c>
      <c r="O7737" s="10">
        <f>IFERROR(__xludf.DUMMYFUNCTION("VALUE(REGEXEXTRACT(A7737, ""\d+""))"),12144.0)</f>
        <v>12144</v>
      </c>
    </row>
    <row r="7738">
      <c r="A7738" s="9" t="s">
        <v>26418</v>
      </c>
      <c r="B7738" s="9" t="s">
        <v>26419</v>
      </c>
      <c r="G7738" s="9" t="s">
        <v>26420</v>
      </c>
      <c r="O7738" s="10">
        <f>IFERROR(__xludf.DUMMYFUNCTION("VALUE(REGEXEXTRACT(A7738, ""\d+""))"),12145.0)</f>
        <v>12145</v>
      </c>
    </row>
    <row r="7739">
      <c r="A7739" s="9" t="s">
        <v>26421</v>
      </c>
      <c r="B7739" s="9" t="s">
        <v>26422</v>
      </c>
      <c r="G7739" s="9" t="s">
        <v>26423</v>
      </c>
      <c r="O7739" s="10">
        <f>IFERROR(__xludf.DUMMYFUNCTION("VALUE(REGEXEXTRACT(A7739, ""\d+""))"),12146.0)</f>
        <v>12146</v>
      </c>
    </row>
    <row r="7740">
      <c r="A7740" s="9" t="s">
        <v>26424</v>
      </c>
      <c r="B7740" s="9" t="s">
        <v>26425</v>
      </c>
      <c r="G7740" s="9" t="s">
        <v>26426</v>
      </c>
      <c r="O7740" s="10">
        <f>IFERROR(__xludf.DUMMYFUNCTION("VALUE(REGEXEXTRACT(A7740, ""\d+""))"),12147.0)</f>
        <v>12147</v>
      </c>
    </row>
    <row r="7741">
      <c r="A7741" s="9" t="s">
        <v>26427</v>
      </c>
      <c r="B7741" s="9" t="s">
        <v>26428</v>
      </c>
      <c r="G7741" s="9" t="s">
        <v>26429</v>
      </c>
      <c r="O7741" s="10">
        <f>IFERROR(__xludf.DUMMYFUNCTION("VALUE(REGEXEXTRACT(A7741, ""\d+""))"),12148.0)</f>
        <v>12148</v>
      </c>
    </row>
    <row r="7742">
      <c r="A7742" s="9" t="s">
        <v>26430</v>
      </c>
      <c r="B7742" s="9" t="s">
        <v>26431</v>
      </c>
      <c r="G7742" s="9" t="s">
        <v>26432</v>
      </c>
      <c r="O7742" s="10">
        <f>IFERROR(__xludf.DUMMYFUNCTION("VALUE(REGEXEXTRACT(A7742, ""\d+""))"),12149.0)</f>
        <v>12149</v>
      </c>
    </row>
    <row r="7743">
      <c r="A7743" s="9" t="s">
        <v>26433</v>
      </c>
      <c r="B7743" s="9" t="s">
        <v>26434</v>
      </c>
      <c r="G7743" s="9" t="s">
        <v>26435</v>
      </c>
      <c r="O7743" s="10">
        <f>IFERROR(__xludf.DUMMYFUNCTION("VALUE(REGEXEXTRACT(A7743, ""\d+""))"),12150.0)</f>
        <v>12150</v>
      </c>
    </row>
    <row r="7744">
      <c r="A7744" s="9" t="s">
        <v>26436</v>
      </c>
      <c r="B7744" s="9" t="s">
        <v>26437</v>
      </c>
      <c r="G7744" s="9" t="s">
        <v>26438</v>
      </c>
      <c r="O7744" s="10">
        <f>IFERROR(__xludf.DUMMYFUNCTION("VALUE(REGEXEXTRACT(A7744, ""\d+""))"),12151.0)</f>
        <v>12151</v>
      </c>
    </row>
    <row r="7745">
      <c r="A7745" s="9" t="s">
        <v>26439</v>
      </c>
      <c r="B7745" s="9" t="s">
        <v>26440</v>
      </c>
      <c r="G7745" s="9" t="s">
        <v>26441</v>
      </c>
      <c r="O7745" s="10">
        <f>IFERROR(__xludf.DUMMYFUNCTION("VALUE(REGEXEXTRACT(A7745, ""\d+""))"),12152.0)</f>
        <v>12152</v>
      </c>
    </row>
    <row r="7746">
      <c r="A7746" s="9" t="s">
        <v>26442</v>
      </c>
      <c r="B7746" s="9" t="s">
        <v>26443</v>
      </c>
      <c r="G7746" s="9" t="s">
        <v>26444</v>
      </c>
      <c r="O7746" s="10">
        <f>IFERROR(__xludf.DUMMYFUNCTION("VALUE(REGEXEXTRACT(A7746, ""\d+""))"),12153.0)</f>
        <v>12153</v>
      </c>
    </row>
    <row r="7747">
      <c r="A7747" s="9" t="s">
        <v>26445</v>
      </c>
      <c r="B7747" s="9" t="s">
        <v>26446</v>
      </c>
      <c r="G7747" s="9" t="s">
        <v>26447</v>
      </c>
      <c r="O7747" s="10">
        <f>IFERROR(__xludf.DUMMYFUNCTION("VALUE(REGEXEXTRACT(A7747, ""\d+""))"),12154.0)</f>
        <v>12154</v>
      </c>
    </row>
    <row r="7748">
      <c r="A7748" s="9" t="s">
        <v>26448</v>
      </c>
      <c r="B7748" s="9" t="s">
        <v>26449</v>
      </c>
      <c r="G7748" s="9" t="s">
        <v>26450</v>
      </c>
      <c r="O7748" s="10">
        <f>IFERROR(__xludf.DUMMYFUNCTION("VALUE(REGEXEXTRACT(A7748, ""\d+""))"),12155.0)</f>
        <v>12155</v>
      </c>
    </row>
    <row r="7749">
      <c r="A7749" s="9" t="s">
        <v>26451</v>
      </c>
      <c r="B7749" s="9" t="s">
        <v>26452</v>
      </c>
      <c r="G7749" s="9" t="s">
        <v>26453</v>
      </c>
      <c r="O7749" s="10">
        <f>IFERROR(__xludf.DUMMYFUNCTION("VALUE(REGEXEXTRACT(A7749, ""\d+""))"),12156.0)</f>
        <v>12156</v>
      </c>
    </row>
    <row r="7750">
      <c r="A7750" s="9" t="s">
        <v>26454</v>
      </c>
      <c r="B7750" s="9" t="s">
        <v>26455</v>
      </c>
      <c r="G7750" s="9" t="s">
        <v>26456</v>
      </c>
      <c r="O7750" s="10">
        <f>IFERROR(__xludf.DUMMYFUNCTION("VALUE(REGEXEXTRACT(A7750, ""\d+""))"),12157.0)</f>
        <v>12157</v>
      </c>
    </row>
    <row r="7751">
      <c r="A7751" s="9" t="s">
        <v>26457</v>
      </c>
      <c r="B7751" s="9" t="s">
        <v>26458</v>
      </c>
      <c r="G7751" s="9" t="s">
        <v>26459</v>
      </c>
      <c r="O7751" s="10">
        <f>IFERROR(__xludf.DUMMYFUNCTION("VALUE(REGEXEXTRACT(A7751, ""\d+""))"),12158.0)</f>
        <v>12158</v>
      </c>
    </row>
    <row r="7752">
      <c r="A7752" s="9" t="s">
        <v>26460</v>
      </c>
      <c r="B7752" s="9" t="s">
        <v>26461</v>
      </c>
      <c r="G7752" s="9" t="s">
        <v>26462</v>
      </c>
      <c r="O7752" s="10">
        <f>IFERROR(__xludf.DUMMYFUNCTION("VALUE(REGEXEXTRACT(A7752, ""\d+""))"),12159.0)</f>
        <v>12159</v>
      </c>
    </row>
    <row r="7753">
      <c r="A7753" s="9" t="s">
        <v>26463</v>
      </c>
      <c r="B7753" s="9" t="s">
        <v>26464</v>
      </c>
      <c r="G7753" s="9" t="s">
        <v>26465</v>
      </c>
      <c r="O7753" s="10">
        <f>IFERROR(__xludf.DUMMYFUNCTION("VALUE(REGEXEXTRACT(A7753, ""\d+""))"),12160.0)</f>
        <v>12160</v>
      </c>
    </row>
    <row r="7754">
      <c r="A7754" s="9" t="s">
        <v>26466</v>
      </c>
      <c r="B7754" s="9" t="s">
        <v>26467</v>
      </c>
      <c r="G7754" s="9" t="s">
        <v>26468</v>
      </c>
      <c r="O7754" s="10">
        <f>IFERROR(__xludf.DUMMYFUNCTION("VALUE(REGEXEXTRACT(A7754, ""\d+""))"),12161.0)</f>
        <v>12161</v>
      </c>
    </row>
    <row r="7755">
      <c r="A7755" s="9" t="s">
        <v>26469</v>
      </c>
      <c r="B7755" s="9" t="s">
        <v>26470</v>
      </c>
      <c r="G7755" s="9" t="s">
        <v>26471</v>
      </c>
      <c r="O7755" s="10">
        <f>IFERROR(__xludf.DUMMYFUNCTION("VALUE(REGEXEXTRACT(A7755, ""\d+""))"),12162.0)</f>
        <v>12162</v>
      </c>
    </row>
    <row r="7756">
      <c r="A7756" s="9" t="s">
        <v>26472</v>
      </c>
      <c r="B7756" s="9" t="s">
        <v>26473</v>
      </c>
      <c r="G7756" s="9" t="s">
        <v>26474</v>
      </c>
      <c r="O7756" s="10">
        <f>IFERROR(__xludf.DUMMYFUNCTION("VALUE(REGEXEXTRACT(A7756, ""\d+""))"),12164.0)</f>
        <v>12164</v>
      </c>
    </row>
    <row r="7757">
      <c r="A7757" s="9" t="s">
        <v>26475</v>
      </c>
      <c r="B7757" s="9" t="s">
        <v>26476</v>
      </c>
      <c r="G7757" s="9" t="s">
        <v>26477</v>
      </c>
      <c r="O7757" s="10">
        <f>IFERROR(__xludf.DUMMYFUNCTION("VALUE(REGEXEXTRACT(A7757, ""\d+""))"),12165.0)</f>
        <v>12165</v>
      </c>
    </row>
    <row r="7758">
      <c r="A7758" s="9" t="s">
        <v>26478</v>
      </c>
      <c r="B7758" s="9" t="s">
        <v>26479</v>
      </c>
      <c r="G7758" s="9" t="s">
        <v>26480</v>
      </c>
      <c r="O7758" s="10">
        <f>IFERROR(__xludf.DUMMYFUNCTION("VALUE(REGEXEXTRACT(A7758, ""\d+""))"),12166.0)</f>
        <v>12166</v>
      </c>
    </row>
    <row r="7759">
      <c r="A7759" s="9" t="s">
        <v>26481</v>
      </c>
      <c r="B7759" s="9" t="s">
        <v>26482</v>
      </c>
      <c r="G7759" s="9" t="s">
        <v>26483</v>
      </c>
      <c r="O7759" s="10">
        <f>IFERROR(__xludf.DUMMYFUNCTION("VALUE(REGEXEXTRACT(A7759, ""\d+""))"),12167.0)</f>
        <v>12167</v>
      </c>
    </row>
    <row r="7760">
      <c r="A7760" s="9" t="s">
        <v>26484</v>
      </c>
      <c r="B7760" s="9" t="s">
        <v>26485</v>
      </c>
      <c r="G7760" s="9" t="s">
        <v>26486</v>
      </c>
      <c r="O7760" s="10">
        <f>IFERROR(__xludf.DUMMYFUNCTION("VALUE(REGEXEXTRACT(A7760, ""\d+""))"),12168.0)</f>
        <v>12168</v>
      </c>
    </row>
    <row r="7761">
      <c r="A7761" s="9" t="s">
        <v>26487</v>
      </c>
      <c r="B7761" s="9" t="s">
        <v>26488</v>
      </c>
      <c r="G7761" s="9" t="s">
        <v>26488</v>
      </c>
      <c r="O7761" s="10">
        <f>IFERROR(__xludf.DUMMYFUNCTION("VALUE(REGEXEXTRACT(A7761, ""\d+""))"),12169.0)</f>
        <v>12169</v>
      </c>
    </row>
    <row r="7762">
      <c r="A7762" s="9" t="s">
        <v>26489</v>
      </c>
      <c r="B7762" s="9" t="s">
        <v>26490</v>
      </c>
      <c r="G7762" s="9" t="s">
        <v>26491</v>
      </c>
      <c r="O7762" s="10">
        <f>IFERROR(__xludf.DUMMYFUNCTION("VALUE(REGEXEXTRACT(A7762, ""\d+""))"),12170.0)</f>
        <v>12170</v>
      </c>
    </row>
    <row r="7763">
      <c r="A7763" s="9" t="s">
        <v>26492</v>
      </c>
      <c r="B7763" s="9" t="s">
        <v>26493</v>
      </c>
      <c r="G7763" s="9" t="s">
        <v>26494</v>
      </c>
      <c r="O7763" s="10">
        <f>IFERROR(__xludf.DUMMYFUNCTION("VALUE(REGEXEXTRACT(A7763, ""\d+""))"),12171.0)</f>
        <v>12171</v>
      </c>
    </row>
    <row r="7764">
      <c r="A7764" s="9" t="s">
        <v>26495</v>
      </c>
      <c r="B7764" s="9" t="s">
        <v>26496</v>
      </c>
      <c r="G7764" s="9" t="s">
        <v>26497</v>
      </c>
      <c r="O7764" s="10">
        <f>IFERROR(__xludf.DUMMYFUNCTION("VALUE(REGEXEXTRACT(A7764, ""\d+""))"),12172.0)</f>
        <v>12172</v>
      </c>
    </row>
    <row r="7765">
      <c r="A7765" s="9" t="s">
        <v>26498</v>
      </c>
      <c r="B7765" s="9" t="s">
        <v>26499</v>
      </c>
      <c r="G7765" s="9" t="s">
        <v>26500</v>
      </c>
      <c r="O7765" s="10">
        <f>IFERROR(__xludf.DUMMYFUNCTION("VALUE(REGEXEXTRACT(A7765, ""\d+""))"),12173.0)</f>
        <v>12173</v>
      </c>
    </row>
    <row r="7766">
      <c r="A7766" s="9" t="s">
        <v>26501</v>
      </c>
      <c r="B7766" s="9" t="s">
        <v>26502</v>
      </c>
      <c r="G7766" s="9" t="s">
        <v>26503</v>
      </c>
      <c r="O7766" s="10">
        <f>IFERROR(__xludf.DUMMYFUNCTION("VALUE(REGEXEXTRACT(A7766, ""\d+""))"),12174.0)</f>
        <v>12174</v>
      </c>
    </row>
    <row r="7767">
      <c r="A7767" s="9" t="s">
        <v>26504</v>
      </c>
      <c r="B7767" s="9" t="s">
        <v>26505</v>
      </c>
      <c r="G7767" s="9" t="s">
        <v>26506</v>
      </c>
      <c r="O7767" s="10">
        <f>IFERROR(__xludf.DUMMYFUNCTION("VALUE(REGEXEXTRACT(A7767, ""\d+""))"),12175.0)</f>
        <v>12175</v>
      </c>
    </row>
    <row r="7768">
      <c r="A7768" s="9" t="s">
        <v>26507</v>
      </c>
      <c r="B7768" s="9" t="s">
        <v>26508</v>
      </c>
      <c r="G7768" s="9" t="s">
        <v>26509</v>
      </c>
      <c r="O7768" s="10">
        <f>IFERROR(__xludf.DUMMYFUNCTION("VALUE(REGEXEXTRACT(A7768, ""\d+""))"),12176.0)</f>
        <v>12176</v>
      </c>
    </row>
    <row r="7769">
      <c r="A7769" s="9" t="s">
        <v>26510</v>
      </c>
      <c r="B7769" s="9" t="s">
        <v>26511</v>
      </c>
      <c r="G7769" s="9" t="s">
        <v>26512</v>
      </c>
      <c r="O7769" s="10">
        <f>IFERROR(__xludf.DUMMYFUNCTION("VALUE(REGEXEXTRACT(A7769, ""\d+""))"),12177.0)</f>
        <v>12177</v>
      </c>
    </row>
    <row r="7770">
      <c r="A7770" s="9" t="s">
        <v>26513</v>
      </c>
      <c r="B7770" s="9" t="s">
        <v>26514</v>
      </c>
      <c r="G7770" s="9" t="s">
        <v>26515</v>
      </c>
      <c r="O7770" s="10">
        <f>IFERROR(__xludf.DUMMYFUNCTION("VALUE(REGEXEXTRACT(A7770, ""\d+""))"),12178.0)</f>
        <v>12178</v>
      </c>
    </row>
    <row r="7771">
      <c r="A7771" s="9" t="s">
        <v>26516</v>
      </c>
      <c r="B7771" s="9" t="s">
        <v>26517</v>
      </c>
      <c r="G7771" s="9" t="s">
        <v>22072</v>
      </c>
      <c r="O7771" s="10">
        <f>IFERROR(__xludf.DUMMYFUNCTION("VALUE(REGEXEXTRACT(A7771, ""\d+""))"),12179.0)</f>
        <v>12179</v>
      </c>
    </row>
    <row r="7772">
      <c r="A7772" s="9" t="s">
        <v>26518</v>
      </c>
      <c r="B7772" s="9" t="s">
        <v>26519</v>
      </c>
      <c r="G7772" s="9" t="s">
        <v>26520</v>
      </c>
      <c r="O7772" s="10">
        <f>IFERROR(__xludf.DUMMYFUNCTION("VALUE(REGEXEXTRACT(A7772, ""\d+""))"),12180.0)</f>
        <v>12180</v>
      </c>
    </row>
    <row r="7773">
      <c r="A7773" s="9" t="s">
        <v>26521</v>
      </c>
      <c r="B7773" s="9" t="s">
        <v>26522</v>
      </c>
      <c r="G7773" s="9" t="s">
        <v>26523</v>
      </c>
      <c r="O7773" s="10">
        <f>IFERROR(__xludf.DUMMYFUNCTION("VALUE(REGEXEXTRACT(A7773, ""\d+""))"),12181.0)</f>
        <v>12181</v>
      </c>
    </row>
    <row r="7774">
      <c r="A7774" s="9" t="s">
        <v>26524</v>
      </c>
      <c r="B7774" s="9" t="s">
        <v>26525</v>
      </c>
      <c r="G7774" s="9" t="s">
        <v>26526</v>
      </c>
      <c r="O7774" s="10">
        <f>IFERROR(__xludf.DUMMYFUNCTION("VALUE(REGEXEXTRACT(A7774, ""\d+""))"),12182.0)</f>
        <v>12182</v>
      </c>
    </row>
    <row r="7775">
      <c r="A7775" s="9" t="s">
        <v>26527</v>
      </c>
      <c r="B7775" s="9" t="s">
        <v>26528</v>
      </c>
      <c r="G7775" s="9" t="s">
        <v>26529</v>
      </c>
      <c r="O7775" s="10">
        <f>IFERROR(__xludf.DUMMYFUNCTION("VALUE(REGEXEXTRACT(A7775, ""\d+""))"),12183.0)</f>
        <v>12183</v>
      </c>
    </row>
    <row r="7776">
      <c r="A7776" s="9" t="s">
        <v>26530</v>
      </c>
      <c r="B7776" s="9" t="s">
        <v>26531</v>
      </c>
      <c r="G7776" s="9" t="s">
        <v>26532</v>
      </c>
      <c r="O7776" s="10">
        <f>IFERROR(__xludf.DUMMYFUNCTION("VALUE(REGEXEXTRACT(A7776, ""\d+""))"),12184.0)</f>
        <v>12184</v>
      </c>
    </row>
    <row r="7777">
      <c r="A7777" s="9" t="s">
        <v>26533</v>
      </c>
      <c r="B7777" s="9" t="s">
        <v>26534</v>
      </c>
      <c r="G7777" s="9" t="s">
        <v>26535</v>
      </c>
      <c r="O7777" s="10">
        <f>IFERROR(__xludf.DUMMYFUNCTION("VALUE(REGEXEXTRACT(A7777, ""\d+""))"),12185.0)</f>
        <v>12185</v>
      </c>
    </row>
    <row r="7778">
      <c r="A7778" s="9" t="s">
        <v>26536</v>
      </c>
      <c r="B7778" s="9" t="s">
        <v>26537</v>
      </c>
      <c r="G7778" s="9" t="s">
        <v>26538</v>
      </c>
      <c r="O7778" s="10">
        <f>IFERROR(__xludf.DUMMYFUNCTION("VALUE(REGEXEXTRACT(A7778, ""\d+""))"),12186.0)</f>
        <v>12186</v>
      </c>
    </row>
    <row r="7779">
      <c r="A7779" s="9" t="s">
        <v>26539</v>
      </c>
      <c r="B7779" s="9" t="s">
        <v>26540</v>
      </c>
      <c r="G7779" s="9" t="s">
        <v>26541</v>
      </c>
      <c r="O7779" s="10">
        <f>IFERROR(__xludf.DUMMYFUNCTION("VALUE(REGEXEXTRACT(A7779, ""\d+""))"),12187.0)</f>
        <v>12187</v>
      </c>
    </row>
    <row r="7780">
      <c r="A7780" s="9" t="s">
        <v>26542</v>
      </c>
      <c r="B7780" s="9" t="s">
        <v>26543</v>
      </c>
      <c r="G7780" s="9" t="s">
        <v>26544</v>
      </c>
      <c r="O7780" s="10">
        <f>IFERROR(__xludf.DUMMYFUNCTION("VALUE(REGEXEXTRACT(A7780, ""\d+""))"),12188.0)</f>
        <v>12188</v>
      </c>
    </row>
    <row r="7781">
      <c r="A7781" s="9" t="s">
        <v>26545</v>
      </c>
      <c r="B7781" s="9" t="s">
        <v>26546</v>
      </c>
      <c r="G7781" s="9" t="s">
        <v>26547</v>
      </c>
      <c r="O7781" s="10">
        <f>IFERROR(__xludf.DUMMYFUNCTION("VALUE(REGEXEXTRACT(A7781, ""\d+""))"),12189.0)</f>
        <v>12189</v>
      </c>
    </row>
    <row r="7782">
      <c r="A7782" s="9" t="s">
        <v>26548</v>
      </c>
      <c r="B7782" s="9" t="s">
        <v>26549</v>
      </c>
      <c r="G7782" s="9" t="s">
        <v>26550</v>
      </c>
      <c r="O7782" s="10">
        <f>IFERROR(__xludf.DUMMYFUNCTION("VALUE(REGEXEXTRACT(A7782, ""\d+""))"),12190.0)</f>
        <v>12190</v>
      </c>
    </row>
    <row r="7783">
      <c r="A7783" s="9" t="s">
        <v>26551</v>
      </c>
      <c r="B7783" s="9" t="s">
        <v>26552</v>
      </c>
      <c r="G7783" s="9" t="s">
        <v>26553</v>
      </c>
      <c r="O7783" s="10">
        <f>IFERROR(__xludf.DUMMYFUNCTION("VALUE(REGEXEXTRACT(A7783, ""\d+""))"),12191.0)</f>
        <v>12191</v>
      </c>
    </row>
    <row r="7784">
      <c r="A7784" s="9" t="s">
        <v>26554</v>
      </c>
      <c r="B7784" s="9" t="s">
        <v>26555</v>
      </c>
      <c r="G7784" s="9" t="s">
        <v>26556</v>
      </c>
      <c r="O7784" s="10">
        <f>IFERROR(__xludf.DUMMYFUNCTION("VALUE(REGEXEXTRACT(A7784, ""\d+""))"),12192.0)</f>
        <v>12192</v>
      </c>
    </row>
    <row r="7785">
      <c r="A7785" s="9" t="s">
        <v>26557</v>
      </c>
      <c r="B7785" s="9" t="s">
        <v>26558</v>
      </c>
      <c r="G7785" s="9" t="s">
        <v>26559</v>
      </c>
      <c r="O7785" s="10">
        <f>IFERROR(__xludf.DUMMYFUNCTION("VALUE(REGEXEXTRACT(A7785, ""\d+""))"),12193.0)</f>
        <v>12193</v>
      </c>
    </row>
    <row r="7786">
      <c r="A7786" s="9" t="s">
        <v>26560</v>
      </c>
      <c r="B7786" s="9" t="s">
        <v>26561</v>
      </c>
      <c r="G7786" s="9" t="s">
        <v>26562</v>
      </c>
      <c r="O7786" s="10">
        <f>IFERROR(__xludf.DUMMYFUNCTION("VALUE(REGEXEXTRACT(A7786, ""\d+""))"),12194.0)</f>
        <v>12194</v>
      </c>
    </row>
    <row r="7787">
      <c r="A7787" s="9" t="s">
        <v>26563</v>
      </c>
      <c r="B7787" s="9" t="s">
        <v>26564</v>
      </c>
      <c r="G7787" s="9" t="s">
        <v>26565</v>
      </c>
      <c r="O7787" s="10">
        <f>IFERROR(__xludf.DUMMYFUNCTION("VALUE(REGEXEXTRACT(A7787, ""\d+""))"),12195.0)</f>
        <v>12195</v>
      </c>
    </row>
    <row r="7788">
      <c r="A7788" s="9" t="s">
        <v>26566</v>
      </c>
      <c r="B7788" s="9" t="s">
        <v>26567</v>
      </c>
      <c r="G7788" s="9" t="s">
        <v>26568</v>
      </c>
      <c r="O7788" s="10">
        <f>IFERROR(__xludf.DUMMYFUNCTION("VALUE(REGEXEXTRACT(A7788, ""\d+""))"),12196.0)</f>
        <v>12196</v>
      </c>
    </row>
    <row r="7789">
      <c r="A7789" s="9" t="s">
        <v>26569</v>
      </c>
      <c r="B7789" s="9" t="s">
        <v>26570</v>
      </c>
      <c r="G7789" s="9" t="s">
        <v>26571</v>
      </c>
      <c r="O7789" s="10">
        <f>IFERROR(__xludf.DUMMYFUNCTION("VALUE(REGEXEXTRACT(A7789, ""\d+""))"),12197.0)</f>
        <v>12197</v>
      </c>
    </row>
    <row r="7790">
      <c r="A7790" s="9" t="s">
        <v>26572</v>
      </c>
      <c r="B7790" s="9" t="s">
        <v>26573</v>
      </c>
      <c r="G7790" s="9" t="s">
        <v>26574</v>
      </c>
      <c r="O7790" s="10">
        <f>IFERROR(__xludf.DUMMYFUNCTION("VALUE(REGEXEXTRACT(A7790, ""\d+""))"),12199.0)</f>
        <v>12199</v>
      </c>
    </row>
    <row r="7791">
      <c r="A7791" s="9" t="s">
        <v>26575</v>
      </c>
      <c r="B7791" s="9" t="s">
        <v>26576</v>
      </c>
      <c r="G7791" s="9" t="s">
        <v>26577</v>
      </c>
      <c r="O7791" s="10">
        <f>IFERROR(__xludf.DUMMYFUNCTION("VALUE(REGEXEXTRACT(A7791, ""\d+""))"),12200.0)</f>
        <v>12200</v>
      </c>
    </row>
    <row r="7792">
      <c r="A7792" s="9" t="s">
        <v>26578</v>
      </c>
      <c r="B7792" s="9" t="s">
        <v>26579</v>
      </c>
      <c r="G7792" s="9" t="s">
        <v>26579</v>
      </c>
      <c r="O7792" s="10">
        <f>IFERROR(__xludf.DUMMYFUNCTION("VALUE(REGEXEXTRACT(A7792, ""\d+""))"),12201.0)</f>
        <v>12201</v>
      </c>
    </row>
    <row r="7793">
      <c r="A7793" s="9" t="s">
        <v>26580</v>
      </c>
      <c r="B7793" s="9" t="s">
        <v>26581</v>
      </c>
      <c r="G7793" s="9" t="s">
        <v>26581</v>
      </c>
      <c r="O7793" s="10">
        <f>IFERROR(__xludf.DUMMYFUNCTION("VALUE(REGEXEXTRACT(A7793, ""\d+""))"),12202.0)</f>
        <v>12202</v>
      </c>
    </row>
    <row r="7794">
      <c r="A7794" s="9" t="s">
        <v>26582</v>
      </c>
      <c r="B7794" s="9" t="s">
        <v>26583</v>
      </c>
      <c r="G7794" s="9" t="s">
        <v>26584</v>
      </c>
      <c r="O7794" s="10">
        <f>IFERROR(__xludf.DUMMYFUNCTION("VALUE(REGEXEXTRACT(A7794, ""\d+""))"),12203.0)</f>
        <v>12203</v>
      </c>
    </row>
    <row r="7795">
      <c r="A7795" s="9" t="s">
        <v>26585</v>
      </c>
      <c r="B7795" s="9" t="s">
        <v>26586</v>
      </c>
      <c r="G7795" s="9" t="s">
        <v>26587</v>
      </c>
      <c r="O7795" s="10">
        <f>IFERROR(__xludf.DUMMYFUNCTION("VALUE(REGEXEXTRACT(A7795, ""\d+""))"),12204.0)</f>
        <v>12204</v>
      </c>
    </row>
    <row r="7796">
      <c r="A7796" s="9" t="s">
        <v>26588</v>
      </c>
      <c r="B7796" s="9" t="s">
        <v>26589</v>
      </c>
      <c r="G7796" s="9" t="s">
        <v>26590</v>
      </c>
      <c r="O7796" s="10">
        <f>IFERROR(__xludf.DUMMYFUNCTION("VALUE(REGEXEXTRACT(A7796, ""\d+""))"),12205.0)</f>
        <v>12205</v>
      </c>
    </row>
    <row r="7797">
      <c r="A7797" s="9" t="s">
        <v>26591</v>
      </c>
      <c r="B7797" s="9" t="s">
        <v>26592</v>
      </c>
      <c r="G7797" s="9" t="s">
        <v>26593</v>
      </c>
      <c r="O7797" s="10">
        <f>IFERROR(__xludf.DUMMYFUNCTION("VALUE(REGEXEXTRACT(A7797, ""\d+""))"),12206.0)</f>
        <v>12206</v>
      </c>
    </row>
    <row r="7798">
      <c r="A7798" s="9" t="s">
        <v>26594</v>
      </c>
      <c r="B7798" s="9" t="s">
        <v>26595</v>
      </c>
      <c r="G7798" s="9" t="s">
        <v>26596</v>
      </c>
      <c r="O7798" s="10">
        <f>IFERROR(__xludf.DUMMYFUNCTION("VALUE(REGEXEXTRACT(A7798, ""\d+""))"),12207.0)</f>
        <v>12207</v>
      </c>
    </row>
    <row r="7799">
      <c r="A7799" s="9" t="s">
        <v>26597</v>
      </c>
      <c r="B7799" s="9" t="s">
        <v>26598</v>
      </c>
      <c r="G7799" s="9" t="s">
        <v>26599</v>
      </c>
      <c r="O7799" s="10">
        <f>IFERROR(__xludf.DUMMYFUNCTION("VALUE(REGEXEXTRACT(A7799, ""\d+""))"),12208.0)</f>
        <v>12208</v>
      </c>
    </row>
    <row r="7800">
      <c r="A7800" s="9" t="s">
        <v>26600</v>
      </c>
      <c r="B7800" s="9" t="s">
        <v>26601</v>
      </c>
      <c r="G7800" s="9" t="s">
        <v>26602</v>
      </c>
      <c r="O7800" s="10">
        <f>IFERROR(__xludf.DUMMYFUNCTION("VALUE(REGEXEXTRACT(A7800, ""\d+""))"),12209.0)</f>
        <v>12209</v>
      </c>
    </row>
    <row r="7801">
      <c r="A7801" s="9" t="s">
        <v>26603</v>
      </c>
      <c r="B7801" s="9" t="s">
        <v>26604</v>
      </c>
      <c r="G7801" s="9" t="s">
        <v>26605</v>
      </c>
      <c r="O7801" s="10">
        <f>IFERROR(__xludf.DUMMYFUNCTION("VALUE(REGEXEXTRACT(A7801, ""\d+""))"),12210.0)</f>
        <v>12210</v>
      </c>
    </row>
    <row r="7802">
      <c r="A7802" s="9" t="s">
        <v>26606</v>
      </c>
      <c r="B7802" s="9" t="s">
        <v>26607</v>
      </c>
      <c r="G7802" s="9" t="s">
        <v>26608</v>
      </c>
      <c r="O7802" s="10">
        <f>IFERROR(__xludf.DUMMYFUNCTION("VALUE(REGEXEXTRACT(A7802, ""\d+""))"),12211.0)</f>
        <v>12211</v>
      </c>
    </row>
    <row r="7803">
      <c r="A7803" s="9" t="s">
        <v>26609</v>
      </c>
      <c r="B7803" s="9" t="s">
        <v>26610</v>
      </c>
      <c r="G7803" s="9" t="s">
        <v>26611</v>
      </c>
      <c r="O7803" s="10">
        <f>IFERROR(__xludf.DUMMYFUNCTION("VALUE(REGEXEXTRACT(A7803, ""\d+""))"),12212.0)</f>
        <v>12212</v>
      </c>
    </row>
    <row r="7804">
      <c r="A7804" s="9" t="s">
        <v>26612</v>
      </c>
      <c r="B7804" s="9" t="s">
        <v>26613</v>
      </c>
      <c r="G7804" s="9" t="s">
        <v>26614</v>
      </c>
      <c r="O7804" s="10">
        <f>IFERROR(__xludf.DUMMYFUNCTION("VALUE(REGEXEXTRACT(A7804, ""\d+""))"),12213.0)</f>
        <v>12213</v>
      </c>
    </row>
    <row r="7805">
      <c r="A7805" s="9" t="s">
        <v>26615</v>
      </c>
      <c r="B7805" s="9" t="s">
        <v>26616</v>
      </c>
      <c r="G7805" s="9" t="s">
        <v>26617</v>
      </c>
      <c r="O7805" s="10">
        <f>IFERROR(__xludf.DUMMYFUNCTION("VALUE(REGEXEXTRACT(A7805, ""\d+""))"),12214.0)</f>
        <v>12214</v>
      </c>
    </row>
    <row r="7806">
      <c r="A7806" s="9" t="s">
        <v>26618</v>
      </c>
      <c r="B7806" s="9" t="s">
        <v>26619</v>
      </c>
      <c r="G7806" s="9" t="s">
        <v>26620</v>
      </c>
      <c r="O7806" s="10">
        <f>IFERROR(__xludf.DUMMYFUNCTION("VALUE(REGEXEXTRACT(A7806, ""\d+""))"),12215.0)</f>
        <v>12215</v>
      </c>
    </row>
    <row r="7807">
      <c r="A7807" s="9" t="s">
        <v>26621</v>
      </c>
      <c r="B7807" s="9" t="s">
        <v>26622</v>
      </c>
      <c r="G7807" s="9" t="s">
        <v>26623</v>
      </c>
      <c r="O7807" s="10">
        <f>IFERROR(__xludf.DUMMYFUNCTION("VALUE(REGEXEXTRACT(A7807, ""\d+""))"),12216.0)</f>
        <v>12216</v>
      </c>
    </row>
    <row r="7808">
      <c r="A7808" s="9" t="s">
        <v>26624</v>
      </c>
      <c r="B7808" s="9" t="s">
        <v>26625</v>
      </c>
      <c r="G7808" s="9" t="s">
        <v>26626</v>
      </c>
      <c r="O7808" s="10">
        <f>IFERROR(__xludf.DUMMYFUNCTION("VALUE(REGEXEXTRACT(A7808, ""\d+""))"),12217.0)</f>
        <v>12217</v>
      </c>
    </row>
    <row r="7809">
      <c r="A7809" s="9" t="s">
        <v>26627</v>
      </c>
      <c r="B7809" s="9" t="s">
        <v>26628</v>
      </c>
      <c r="G7809" s="9" t="s">
        <v>26629</v>
      </c>
      <c r="O7809" s="10">
        <f>IFERROR(__xludf.DUMMYFUNCTION("VALUE(REGEXEXTRACT(A7809, ""\d+""))"),12218.0)</f>
        <v>12218</v>
      </c>
    </row>
    <row r="7810">
      <c r="A7810" s="9" t="s">
        <v>26630</v>
      </c>
      <c r="B7810" s="9" t="s">
        <v>26631</v>
      </c>
      <c r="G7810" s="9" t="s">
        <v>26632</v>
      </c>
      <c r="O7810" s="10">
        <f>IFERROR(__xludf.DUMMYFUNCTION("VALUE(REGEXEXTRACT(A7810, ""\d+""))"),12219.0)</f>
        <v>12219</v>
      </c>
    </row>
    <row r="7811">
      <c r="A7811" s="9" t="s">
        <v>26633</v>
      </c>
      <c r="B7811" s="9" t="s">
        <v>26634</v>
      </c>
      <c r="G7811" s="9" t="s">
        <v>26635</v>
      </c>
      <c r="O7811" s="10">
        <f>IFERROR(__xludf.DUMMYFUNCTION("VALUE(REGEXEXTRACT(A7811, ""\d+""))"),12220.0)</f>
        <v>12220</v>
      </c>
    </row>
    <row r="7812">
      <c r="A7812" s="9" t="s">
        <v>26636</v>
      </c>
      <c r="B7812" s="9" t="s">
        <v>26637</v>
      </c>
      <c r="G7812" s="9" t="s">
        <v>26638</v>
      </c>
      <c r="O7812" s="10">
        <f>IFERROR(__xludf.DUMMYFUNCTION("VALUE(REGEXEXTRACT(A7812, ""\d+""))"),12221.0)</f>
        <v>12221</v>
      </c>
    </row>
    <row r="7813">
      <c r="A7813" s="9" t="s">
        <v>26639</v>
      </c>
      <c r="B7813" s="9" t="s">
        <v>26640</v>
      </c>
      <c r="G7813" s="9" t="s">
        <v>26641</v>
      </c>
      <c r="O7813" s="10">
        <f>IFERROR(__xludf.DUMMYFUNCTION("VALUE(REGEXEXTRACT(A7813, ""\d+""))"),12222.0)</f>
        <v>12222</v>
      </c>
    </row>
    <row r="7814">
      <c r="A7814" s="9" t="s">
        <v>26642</v>
      </c>
      <c r="B7814" s="9" t="s">
        <v>26643</v>
      </c>
      <c r="G7814" s="9" t="s">
        <v>26644</v>
      </c>
      <c r="O7814" s="10">
        <f>IFERROR(__xludf.DUMMYFUNCTION("VALUE(REGEXEXTRACT(A7814, ""\d+""))"),12223.0)</f>
        <v>12223</v>
      </c>
    </row>
    <row r="7815">
      <c r="A7815" s="9" t="s">
        <v>26645</v>
      </c>
      <c r="B7815" s="9" t="s">
        <v>26646</v>
      </c>
      <c r="G7815" s="9" t="s">
        <v>26647</v>
      </c>
      <c r="O7815" s="10">
        <f>IFERROR(__xludf.DUMMYFUNCTION("VALUE(REGEXEXTRACT(A7815, ""\d+""))"),12224.0)</f>
        <v>12224</v>
      </c>
    </row>
    <row r="7816">
      <c r="A7816" s="9" t="s">
        <v>26648</v>
      </c>
      <c r="B7816" s="9" t="s">
        <v>26649</v>
      </c>
      <c r="G7816" s="9" t="s">
        <v>26650</v>
      </c>
      <c r="O7816" s="10">
        <f>IFERROR(__xludf.DUMMYFUNCTION("VALUE(REGEXEXTRACT(A7816, ""\d+""))"),12225.0)</f>
        <v>12225</v>
      </c>
    </row>
    <row r="7817">
      <c r="A7817" s="9" t="s">
        <v>26651</v>
      </c>
      <c r="B7817" s="9" t="s">
        <v>26652</v>
      </c>
      <c r="G7817" s="9" t="s">
        <v>26653</v>
      </c>
      <c r="O7817" s="10">
        <f>IFERROR(__xludf.DUMMYFUNCTION("VALUE(REGEXEXTRACT(A7817, ""\d+""))"),12226.0)</f>
        <v>12226</v>
      </c>
    </row>
    <row r="7818">
      <c r="A7818" s="9" t="s">
        <v>26654</v>
      </c>
      <c r="B7818" s="9" t="s">
        <v>26655</v>
      </c>
      <c r="G7818" s="9" t="s">
        <v>26656</v>
      </c>
      <c r="O7818" s="10">
        <f>IFERROR(__xludf.DUMMYFUNCTION("VALUE(REGEXEXTRACT(A7818, ""\d+""))"),12227.0)</f>
        <v>12227</v>
      </c>
    </row>
    <row r="7819">
      <c r="A7819" s="9" t="s">
        <v>26657</v>
      </c>
      <c r="B7819" s="9" t="s">
        <v>26658</v>
      </c>
      <c r="G7819" s="9" t="s">
        <v>26659</v>
      </c>
      <c r="O7819" s="10">
        <f>IFERROR(__xludf.DUMMYFUNCTION("VALUE(REGEXEXTRACT(A7819, ""\d+""))"),12228.0)</f>
        <v>12228</v>
      </c>
    </row>
    <row r="7820">
      <c r="A7820" s="9" t="s">
        <v>26660</v>
      </c>
      <c r="B7820" s="9" t="s">
        <v>26661</v>
      </c>
      <c r="G7820" s="9" t="s">
        <v>26662</v>
      </c>
      <c r="O7820" s="10">
        <f>IFERROR(__xludf.DUMMYFUNCTION("VALUE(REGEXEXTRACT(A7820, ""\d+""))"),12229.0)</f>
        <v>12229</v>
      </c>
    </row>
    <row r="7821">
      <c r="A7821" s="9" t="s">
        <v>26663</v>
      </c>
      <c r="B7821" s="9" t="s">
        <v>26664</v>
      </c>
      <c r="G7821" s="9" t="s">
        <v>26665</v>
      </c>
      <c r="O7821" s="10">
        <f>IFERROR(__xludf.DUMMYFUNCTION("VALUE(REGEXEXTRACT(A7821, ""\d+""))"),12230.0)</f>
        <v>12230</v>
      </c>
    </row>
    <row r="7822">
      <c r="A7822" s="9" t="s">
        <v>26666</v>
      </c>
      <c r="B7822" s="9" t="s">
        <v>26667</v>
      </c>
      <c r="G7822" s="9" t="s">
        <v>26668</v>
      </c>
      <c r="O7822" s="10">
        <f>IFERROR(__xludf.DUMMYFUNCTION("VALUE(REGEXEXTRACT(A7822, ""\d+""))"),12231.0)</f>
        <v>12231</v>
      </c>
    </row>
    <row r="7823">
      <c r="A7823" s="9" t="s">
        <v>26669</v>
      </c>
      <c r="B7823" s="9" t="s">
        <v>26670</v>
      </c>
      <c r="G7823" s="9" t="s">
        <v>26671</v>
      </c>
      <c r="O7823" s="10">
        <f>IFERROR(__xludf.DUMMYFUNCTION("VALUE(REGEXEXTRACT(A7823, ""\d+""))"),12232.0)</f>
        <v>12232</v>
      </c>
    </row>
    <row r="7824">
      <c r="A7824" s="9" t="s">
        <v>26672</v>
      </c>
      <c r="B7824" s="9" t="s">
        <v>26673</v>
      </c>
      <c r="G7824" s="9" t="s">
        <v>26674</v>
      </c>
      <c r="O7824" s="10">
        <f>IFERROR(__xludf.DUMMYFUNCTION("VALUE(REGEXEXTRACT(A7824, ""\d+""))"),12233.0)</f>
        <v>12233</v>
      </c>
    </row>
    <row r="7825">
      <c r="A7825" s="9" t="s">
        <v>26675</v>
      </c>
      <c r="B7825" s="9" t="s">
        <v>26676</v>
      </c>
      <c r="G7825" s="9" t="s">
        <v>26677</v>
      </c>
      <c r="O7825" s="10">
        <f>IFERROR(__xludf.DUMMYFUNCTION("VALUE(REGEXEXTRACT(A7825, ""\d+""))"),12234.0)</f>
        <v>12234</v>
      </c>
    </row>
    <row r="7826">
      <c r="A7826" s="9" t="s">
        <v>26678</v>
      </c>
      <c r="B7826" s="9" t="s">
        <v>26679</v>
      </c>
      <c r="G7826" s="9" t="s">
        <v>26680</v>
      </c>
      <c r="O7826" s="10">
        <f>IFERROR(__xludf.DUMMYFUNCTION("VALUE(REGEXEXTRACT(A7826, ""\d+""))"),12235.0)</f>
        <v>12235</v>
      </c>
    </row>
    <row r="7827">
      <c r="A7827" s="9" t="s">
        <v>26681</v>
      </c>
      <c r="B7827" s="9" t="s">
        <v>26682</v>
      </c>
      <c r="G7827" s="9" t="s">
        <v>26683</v>
      </c>
      <c r="O7827" s="10">
        <f>IFERROR(__xludf.DUMMYFUNCTION("VALUE(REGEXEXTRACT(A7827, ""\d+""))"),12236.0)</f>
        <v>12236</v>
      </c>
    </row>
    <row r="7828">
      <c r="A7828" s="9" t="s">
        <v>26684</v>
      </c>
      <c r="B7828" s="9" t="s">
        <v>26685</v>
      </c>
      <c r="G7828" s="9" t="s">
        <v>26686</v>
      </c>
      <c r="O7828" s="10">
        <f>IFERROR(__xludf.DUMMYFUNCTION("VALUE(REGEXEXTRACT(A7828, ""\d+""))"),12237.0)</f>
        <v>12237</v>
      </c>
    </row>
    <row r="7829">
      <c r="A7829" s="9" t="s">
        <v>26687</v>
      </c>
      <c r="B7829" s="9" t="s">
        <v>26688</v>
      </c>
      <c r="G7829" s="9" t="s">
        <v>26689</v>
      </c>
      <c r="O7829" s="10">
        <f>IFERROR(__xludf.DUMMYFUNCTION("VALUE(REGEXEXTRACT(A7829, ""\d+""))"),12238.0)</f>
        <v>12238</v>
      </c>
    </row>
    <row r="7830">
      <c r="A7830" s="9" t="s">
        <v>26690</v>
      </c>
      <c r="B7830" s="9" t="s">
        <v>26691</v>
      </c>
      <c r="G7830" s="9" t="s">
        <v>26692</v>
      </c>
      <c r="O7830" s="10">
        <f>IFERROR(__xludf.DUMMYFUNCTION("VALUE(REGEXEXTRACT(A7830, ""\d+""))"),12239.0)</f>
        <v>12239</v>
      </c>
    </row>
    <row r="7831">
      <c r="A7831" s="9" t="s">
        <v>26693</v>
      </c>
      <c r="B7831" s="9" t="s">
        <v>26694</v>
      </c>
      <c r="G7831" s="9" t="s">
        <v>26695</v>
      </c>
      <c r="O7831" s="10">
        <f>IFERROR(__xludf.DUMMYFUNCTION("VALUE(REGEXEXTRACT(A7831, ""\d+""))"),12240.0)</f>
        <v>12240</v>
      </c>
    </row>
    <row r="7832">
      <c r="A7832" s="9" t="s">
        <v>26696</v>
      </c>
      <c r="B7832" s="9" t="s">
        <v>26697</v>
      </c>
      <c r="G7832" s="9" t="s">
        <v>26698</v>
      </c>
      <c r="O7832" s="10">
        <f>IFERROR(__xludf.DUMMYFUNCTION("VALUE(REGEXEXTRACT(A7832, ""\d+""))"),12241.0)</f>
        <v>12241</v>
      </c>
    </row>
    <row r="7833">
      <c r="A7833" s="9" t="s">
        <v>26699</v>
      </c>
      <c r="B7833" s="9" t="s">
        <v>26700</v>
      </c>
      <c r="G7833" s="9" t="s">
        <v>26701</v>
      </c>
      <c r="O7833" s="10">
        <f>IFERROR(__xludf.DUMMYFUNCTION("VALUE(REGEXEXTRACT(A7833, ""\d+""))"),12242.0)</f>
        <v>12242</v>
      </c>
    </row>
    <row r="7834">
      <c r="A7834" s="9" t="s">
        <v>26702</v>
      </c>
      <c r="B7834" s="9" t="s">
        <v>26703</v>
      </c>
      <c r="G7834" s="9" t="s">
        <v>26704</v>
      </c>
      <c r="O7834" s="10">
        <f>IFERROR(__xludf.DUMMYFUNCTION("VALUE(REGEXEXTRACT(A7834, ""\d+""))"),12243.0)</f>
        <v>12243</v>
      </c>
    </row>
    <row r="7835">
      <c r="A7835" s="9" t="s">
        <v>26705</v>
      </c>
      <c r="B7835" s="9" t="s">
        <v>26706</v>
      </c>
      <c r="G7835" s="9" t="s">
        <v>26707</v>
      </c>
      <c r="O7835" s="10">
        <f>IFERROR(__xludf.DUMMYFUNCTION("VALUE(REGEXEXTRACT(A7835, ""\d+""))"),12244.0)</f>
        <v>12244</v>
      </c>
    </row>
    <row r="7836">
      <c r="A7836" s="9" t="s">
        <v>26708</v>
      </c>
      <c r="B7836" s="9" t="s">
        <v>26709</v>
      </c>
      <c r="G7836" s="9" t="s">
        <v>26710</v>
      </c>
      <c r="O7836" s="10">
        <f>IFERROR(__xludf.DUMMYFUNCTION("VALUE(REGEXEXTRACT(A7836, ""\d+""))"),12245.0)</f>
        <v>12245</v>
      </c>
    </row>
    <row r="7837">
      <c r="A7837" s="9" t="s">
        <v>26711</v>
      </c>
      <c r="B7837" s="9" t="s">
        <v>26712</v>
      </c>
      <c r="G7837" s="9" t="s">
        <v>26713</v>
      </c>
      <c r="O7837" s="10">
        <f>IFERROR(__xludf.DUMMYFUNCTION("VALUE(REGEXEXTRACT(A7837, ""\d+""))"),12246.0)</f>
        <v>12246</v>
      </c>
    </row>
    <row r="7838">
      <c r="A7838" s="9" t="s">
        <v>26714</v>
      </c>
      <c r="B7838" s="9" t="s">
        <v>26715</v>
      </c>
      <c r="G7838" s="9" t="s">
        <v>26716</v>
      </c>
      <c r="O7838" s="10">
        <f>IFERROR(__xludf.DUMMYFUNCTION("VALUE(REGEXEXTRACT(A7838, ""\d+""))"),12247.0)</f>
        <v>12247</v>
      </c>
    </row>
    <row r="7839">
      <c r="A7839" s="9" t="s">
        <v>26717</v>
      </c>
      <c r="B7839" s="9" t="s">
        <v>26718</v>
      </c>
      <c r="G7839" s="9" t="s">
        <v>26719</v>
      </c>
      <c r="O7839" s="10">
        <f>IFERROR(__xludf.DUMMYFUNCTION("VALUE(REGEXEXTRACT(A7839, ""\d+""))"),12248.0)</f>
        <v>12248</v>
      </c>
    </row>
    <row r="7840">
      <c r="A7840" s="9" t="s">
        <v>26720</v>
      </c>
      <c r="B7840" s="9" t="s">
        <v>26721</v>
      </c>
      <c r="G7840" s="9" t="s">
        <v>26722</v>
      </c>
      <c r="O7840" s="10">
        <f>IFERROR(__xludf.DUMMYFUNCTION("VALUE(REGEXEXTRACT(A7840, ""\d+""))"),12249.0)</f>
        <v>12249</v>
      </c>
    </row>
    <row r="7841">
      <c r="A7841" s="9" t="s">
        <v>26723</v>
      </c>
      <c r="B7841" s="9" t="s">
        <v>26724</v>
      </c>
      <c r="G7841" s="9" t="s">
        <v>26725</v>
      </c>
      <c r="O7841" s="10">
        <f>IFERROR(__xludf.DUMMYFUNCTION("VALUE(REGEXEXTRACT(A7841, ""\d+""))"),12250.0)</f>
        <v>12250</v>
      </c>
    </row>
    <row r="7842">
      <c r="A7842" s="9" t="s">
        <v>26726</v>
      </c>
      <c r="B7842" s="9" t="s">
        <v>26727</v>
      </c>
      <c r="G7842" s="9" t="s">
        <v>26728</v>
      </c>
      <c r="O7842" s="10">
        <f>IFERROR(__xludf.DUMMYFUNCTION("VALUE(REGEXEXTRACT(A7842, ""\d+""))"),12251.0)</f>
        <v>12251</v>
      </c>
    </row>
    <row r="7843">
      <c r="A7843" s="9" t="s">
        <v>26729</v>
      </c>
      <c r="B7843" s="9" t="s">
        <v>26730</v>
      </c>
      <c r="G7843" s="9" t="s">
        <v>26731</v>
      </c>
      <c r="O7843" s="10">
        <f>IFERROR(__xludf.DUMMYFUNCTION("VALUE(REGEXEXTRACT(A7843, ""\d+""))"),12252.0)</f>
        <v>12252</v>
      </c>
    </row>
    <row r="7844">
      <c r="A7844" s="9" t="s">
        <v>26732</v>
      </c>
      <c r="B7844" s="9" t="s">
        <v>26733</v>
      </c>
      <c r="G7844" s="9" t="s">
        <v>26734</v>
      </c>
      <c r="O7844" s="10">
        <f>IFERROR(__xludf.DUMMYFUNCTION("VALUE(REGEXEXTRACT(A7844, ""\d+""))"),12253.0)</f>
        <v>12253</v>
      </c>
    </row>
    <row r="7845">
      <c r="A7845" s="9" t="s">
        <v>26735</v>
      </c>
      <c r="B7845" s="9" t="s">
        <v>26736</v>
      </c>
      <c r="G7845" s="9" t="s">
        <v>26737</v>
      </c>
      <c r="O7845" s="10">
        <f>IFERROR(__xludf.DUMMYFUNCTION("VALUE(REGEXEXTRACT(A7845, ""\d+""))"),12254.0)</f>
        <v>12254</v>
      </c>
    </row>
    <row r="7846">
      <c r="A7846" s="9" t="s">
        <v>26738</v>
      </c>
      <c r="B7846" s="9" t="s">
        <v>26739</v>
      </c>
      <c r="G7846" s="9" t="s">
        <v>26740</v>
      </c>
      <c r="O7846" s="10">
        <f>IFERROR(__xludf.DUMMYFUNCTION("VALUE(REGEXEXTRACT(A7846, ""\d+""))"),12255.0)</f>
        <v>12255</v>
      </c>
    </row>
    <row r="7847">
      <c r="A7847" s="9" t="s">
        <v>26741</v>
      </c>
      <c r="B7847" s="9" t="s">
        <v>26742</v>
      </c>
      <c r="G7847" s="9" t="s">
        <v>26743</v>
      </c>
      <c r="O7847" s="10">
        <f>IFERROR(__xludf.DUMMYFUNCTION("VALUE(REGEXEXTRACT(A7847, ""\d+""))"),12256.0)</f>
        <v>12256</v>
      </c>
    </row>
    <row r="7848">
      <c r="A7848" s="9" t="s">
        <v>26744</v>
      </c>
      <c r="B7848" s="9" t="s">
        <v>26745</v>
      </c>
      <c r="G7848" s="9" t="s">
        <v>26746</v>
      </c>
      <c r="O7848" s="10">
        <f>IFERROR(__xludf.DUMMYFUNCTION("VALUE(REGEXEXTRACT(A7848, ""\d+""))"),12257.0)</f>
        <v>12257</v>
      </c>
    </row>
    <row r="7849">
      <c r="A7849" s="9" t="s">
        <v>26747</v>
      </c>
      <c r="B7849" s="9" t="s">
        <v>26748</v>
      </c>
      <c r="G7849" s="9" t="s">
        <v>26749</v>
      </c>
      <c r="O7849" s="10">
        <f>IFERROR(__xludf.DUMMYFUNCTION("VALUE(REGEXEXTRACT(A7849, ""\d+""))"),12258.0)</f>
        <v>12258</v>
      </c>
    </row>
    <row r="7850">
      <c r="A7850" s="9" t="s">
        <v>26750</v>
      </c>
      <c r="B7850" s="9" t="s">
        <v>26751</v>
      </c>
      <c r="G7850" s="9" t="s">
        <v>26752</v>
      </c>
      <c r="O7850" s="10">
        <f>IFERROR(__xludf.DUMMYFUNCTION("VALUE(REGEXEXTRACT(A7850, ""\d+""))"),12259.0)</f>
        <v>12259</v>
      </c>
    </row>
    <row r="7851">
      <c r="A7851" s="9" t="s">
        <v>26753</v>
      </c>
      <c r="B7851" s="9" t="s">
        <v>26754</v>
      </c>
      <c r="G7851" s="9" t="s">
        <v>26755</v>
      </c>
      <c r="O7851" s="10">
        <f>IFERROR(__xludf.DUMMYFUNCTION("VALUE(REGEXEXTRACT(A7851, ""\d+""))"),12260.0)</f>
        <v>12260</v>
      </c>
    </row>
    <row r="7852">
      <c r="A7852" s="9" t="s">
        <v>26756</v>
      </c>
      <c r="B7852" s="9" t="s">
        <v>26757</v>
      </c>
      <c r="G7852" s="9" t="s">
        <v>26758</v>
      </c>
      <c r="O7852" s="10">
        <f>IFERROR(__xludf.DUMMYFUNCTION("VALUE(REGEXEXTRACT(A7852, ""\d+""))"),12261.0)</f>
        <v>12261</v>
      </c>
    </row>
    <row r="7853">
      <c r="A7853" s="9" t="s">
        <v>26759</v>
      </c>
      <c r="B7853" s="9" t="s">
        <v>26760</v>
      </c>
      <c r="G7853" s="9" t="s">
        <v>26761</v>
      </c>
      <c r="O7853" s="10">
        <f>IFERROR(__xludf.DUMMYFUNCTION("VALUE(REGEXEXTRACT(A7853, ""\d+""))"),12263.0)</f>
        <v>12263</v>
      </c>
    </row>
    <row r="7854">
      <c r="A7854" s="9" t="s">
        <v>26762</v>
      </c>
      <c r="B7854" s="9" t="s">
        <v>26763</v>
      </c>
      <c r="G7854" s="9" t="s">
        <v>26764</v>
      </c>
      <c r="O7854" s="10">
        <f>IFERROR(__xludf.DUMMYFUNCTION("VALUE(REGEXEXTRACT(A7854, ""\d+""))"),12264.0)</f>
        <v>12264</v>
      </c>
    </row>
    <row r="7855">
      <c r="A7855" s="9" t="s">
        <v>26765</v>
      </c>
      <c r="B7855" s="9" t="s">
        <v>26766</v>
      </c>
      <c r="G7855" s="9" t="s">
        <v>26767</v>
      </c>
      <c r="O7855" s="10">
        <f>IFERROR(__xludf.DUMMYFUNCTION("VALUE(REGEXEXTRACT(A7855, ""\d+""))"),12265.0)</f>
        <v>12265</v>
      </c>
    </row>
    <row r="7856">
      <c r="A7856" s="9" t="s">
        <v>26768</v>
      </c>
      <c r="B7856" s="9" t="s">
        <v>26769</v>
      </c>
      <c r="G7856" s="9" t="s">
        <v>26770</v>
      </c>
      <c r="O7856" s="10">
        <f>IFERROR(__xludf.DUMMYFUNCTION("VALUE(REGEXEXTRACT(A7856, ""\d+""))"),12266.0)</f>
        <v>12266</v>
      </c>
    </row>
    <row r="7857">
      <c r="A7857" s="9" t="s">
        <v>26771</v>
      </c>
      <c r="B7857" s="9" t="s">
        <v>26772</v>
      </c>
      <c r="G7857" s="9" t="s">
        <v>26773</v>
      </c>
      <c r="O7857" s="10">
        <f>IFERROR(__xludf.DUMMYFUNCTION("VALUE(REGEXEXTRACT(A7857, ""\d+""))"),12267.0)</f>
        <v>12267</v>
      </c>
    </row>
    <row r="7858">
      <c r="A7858" s="9" t="s">
        <v>26774</v>
      </c>
      <c r="B7858" s="9" t="s">
        <v>26775</v>
      </c>
      <c r="G7858" s="9" t="s">
        <v>26776</v>
      </c>
      <c r="O7858" s="10">
        <f>IFERROR(__xludf.DUMMYFUNCTION("VALUE(REGEXEXTRACT(A7858, ""\d+""))"),12268.0)</f>
        <v>12268</v>
      </c>
    </row>
    <row r="7859">
      <c r="A7859" s="9" t="s">
        <v>26777</v>
      </c>
      <c r="B7859" s="9" t="s">
        <v>26778</v>
      </c>
      <c r="G7859" s="9" t="s">
        <v>26779</v>
      </c>
      <c r="O7859" s="10">
        <f>IFERROR(__xludf.DUMMYFUNCTION("VALUE(REGEXEXTRACT(A7859, ""\d+""))"),12269.0)</f>
        <v>12269</v>
      </c>
    </row>
    <row r="7860">
      <c r="A7860" s="9" t="s">
        <v>26780</v>
      </c>
      <c r="B7860" s="9" t="s">
        <v>26781</v>
      </c>
      <c r="G7860" s="9" t="s">
        <v>26782</v>
      </c>
      <c r="O7860" s="10">
        <f>IFERROR(__xludf.DUMMYFUNCTION("VALUE(REGEXEXTRACT(A7860, ""\d+""))"),12270.0)</f>
        <v>12270</v>
      </c>
    </row>
    <row r="7861">
      <c r="A7861" s="9" t="s">
        <v>26783</v>
      </c>
      <c r="B7861" s="9" t="s">
        <v>26784</v>
      </c>
      <c r="G7861" s="9" t="s">
        <v>26785</v>
      </c>
      <c r="O7861" s="10">
        <f>IFERROR(__xludf.DUMMYFUNCTION("VALUE(REGEXEXTRACT(A7861, ""\d+""))"),12271.0)</f>
        <v>12271</v>
      </c>
    </row>
    <row r="7862">
      <c r="A7862" s="9" t="s">
        <v>26786</v>
      </c>
      <c r="B7862" s="9" t="s">
        <v>26787</v>
      </c>
      <c r="G7862" s="9" t="s">
        <v>26788</v>
      </c>
      <c r="O7862" s="10">
        <f>IFERROR(__xludf.DUMMYFUNCTION("VALUE(REGEXEXTRACT(A7862, ""\d+""))"),12273.0)</f>
        <v>12273</v>
      </c>
    </row>
    <row r="7863">
      <c r="A7863" s="9" t="s">
        <v>26789</v>
      </c>
      <c r="B7863" s="9" t="s">
        <v>26790</v>
      </c>
      <c r="G7863" s="9" t="s">
        <v>26791</v>
      </c>
      <c r="O7863" s="10">
        <f>IFERROR(__xludf.DUMMYFUNCTION("VALUE(REGEXEXTRACT(A7863, ""\d+""))"),12274.0)</f>
        <v>12274</v>
      </c>
    </row>
    <row r="7864">
      <c r="A7864" s="9" t="s">
        <v>26792</v>
      </c>
      <c r="B7864" s="9" t="s">
        <v>26793</v>
      </c>
      <c r="G7864" s="9" t="s">
        <v>26794</v>
      </c>
      <c r="O7864" s="10">
        <f>IFERROR(__xludf.DUMMYFUNCTION("VALUE(REGEXEXTRACT(A7864, ""\d+""))"),12276.0)</f>
        <v>12276</v>
      </c>
    </row>
    <row r="7865">
      <c r="A7865" s="9" t="s">
        <v>26795</v>
      </c>
      <c r="B7865" s="9" t="s">
        <v>26796</v>
      </c>
      <c r="G7865" s="9" t="s">
        <v>26797</v>
      </c>
      <c r="O7865" s="10">
        <f>IFERROR(__xludf.DUMMYFUNCTION("VALUE(REGEXEXTRACT(A7865, ""\d+""))"),12277.0)</f>
        <v>12277</v>
      </c>
    </row>
    <row r="7866">
      <c r="A7866" s="9" t="s">
        <v>26798</v>
      </c>
      <c r="B7866" s="9" t="s">
        <v>26799</v>
      </c>
      <c r="G7866" s="9" t="s">
        <v>26800</v>
      </c>
      <c r="O7866" s="10">
        <f>IFERROR(__xludf.DUMMYFUNCTION("VALUE(REGEXEXTRACT(A7866, ""\d+""))"),12278.0)</f>
        <v>12278</v>
      </c>
    </row>
    <row r="7867">
      <c r="A7867" s="9" t="s">
        <v>26801</v>
      </c>
      <c r="B7867" s="9" t="s">
        <v>26802</v>
      </c>
      <c r="G7867" s="9" t="s">
        <v>26803</v>
      </c>
      <c r="O7867" s="10">
        <f>IFERROR(__xludf.DUMMYFUNCTION("VALUE(REGEXEXTRACT(A7867, ""\d+""))"),12281.0)</f>
        <v>12281</v>
      </c>
    </row>
    <row r="7868">
      <c r="A7868" s="9" t="s">
        <v>26804</v>
      </c>
      <c r="B7868" s="9" t="s">
        <v>26805</v>
      </c>
      <c r="G7868" s="9" t="s">
        <v>26806</v>
      </c>
      <c r="O7868" s="10">
        <f>IFERROR(__xludf.DUMMYFUNCTION("VALUE(REGEXEXTRACT(A7868, ""\d+""))"),12282.0)</f>
        <v>12282</v>
      </c>
    </row>
    <row r="7869">
      <c r="A7869" s="9" t="s">
        <v>26807</v>
      </c>
      <c r="B7869" s="9" t="s">
        <v>26808</v>
      </c>
      <c r="G7869" s="9" t="s">
        <v>26809</v>
      </c>
      <c r="O7869" s="10">
        <f>IFERROR(__xludf.DUMMYFUNCTION("VALUE(REGEXEXTRACT(A7869, ""\d+""))"),12283.0)</f>
        <v>12283</v>
      </c>
    </row>
    <row r="7870">
      <c r="A7870" s="9" t="s">
        <v>26810</v>
      </c>
      <c r="B7870" s="9" t="s">
        <v>26811</v>
      </c>
      <c r="G7870" s="9" t="s">
        <v>26812</v>
      </c>
      <c r="O7870" s="10">
        <f>IFERROR(__xludf.DUMMYFUNCTION("VALUE(REGEXEXTRACT(A7870, ""\d+""))"),12284.0)</f>
        <v>12284</v>
      </c>
    </row>
    <row r="7871">
      <c r="A7871" s="9" t="s">
        <v>26813</v>
      </c>
      <c r="B7871" s="9" t="s">
        <v>26814</v>
      </c>
      <c r="G7871" s="9" t="s">
        <v>26815</v>
      </c>
      <c r="O7871" s="10">
        <f>IFERROR(__xludf.DUMMYFUNCTION("VALUE(REGEXEXTRACT(A7871, ""\d+""))"),12285.0)</f>
        <v>12285</v>
      </c>
    </row>
    <row r="7872">
      <c r="A7872" s="9" t="s">
        <v>26816</v>
      </c>
      <c r="B7872" s="9" t="s">
        <v>26817</v>
      </c>
      <c r="G7872" s="9" t="s">
        <v>26818</v>
      </c>
      <c r="O7872" s="10">
        <f>IFERROR(__xludf.DUMMYFUNCTION("VALUE(REGEXEXTRACT(A7872, ""\d+""))"),12286.0)</f>
        <v>12286</v>
      </c>
    </row>
    <row r="7873">
      <c r="A7873" s="9" t="s">
        <v>26819</v>
      </c>
      <c r="B7873" s="9" t="s">
        <v>26820</v>
      </c>
      <c r="G7873" s="9" t="s">
        <v>26821</v>
      </c>
      <c r="O7873" s="10">
        <f>IFERROR(__xludf.DUMMYFUNCTION("VALUE(REGEXEXTRACT(A7873, ""\d+""))"),12287.0)</f>
        <v>12287</v>
      </c>
    </row>
    <row r="7874">
      <c r="A7874" s="9" t="s">
        <v>26822</v>
      </c>
      <c r="B7874" s="9" t="s">
        <v>26823</v>
      </c>
      <c r="G7874" s="9" t="s">
        <v>26824</v>
      </c>
      <c r="O7874" s="10">
        <f>IFERROR(__xludf.DUMMYFUNCTION("VALUE(REGEXEXTRACT(A7874, ""\d+""))"),12288.0)</f>
        <v>12288</v>
      </c>
    </row>
    <row r="7875">
      <c r="A7875" s="9" t="s">
        <v>26825</v>
      </c>
      <c r="B7875" s="9" t="s">
        <v>26826</v>
      </c>
      <c r="G7875" s="9" t="s">
        <v>26827</v>
      </c>
      <c r="O7875" s="10">
        <f>IFERROR(__xludf.DUMMYFUNCTION("VALUE(REGEXEXTRACT(A7875, ""\d+""))"),12289.0)</f>
        <v>12289</v>
      </c>
    </row>
    <row r="7876">
      <c r="A7876" s="9" t="s">
        <v>26828</v>
      </c>
      <c r="B7876" s="9" t="s">
        <v>26829</v>
      </c>
      <c r="G7876" s="9" t="s">
        <v>26830</v>
      </c>
      <c r="O7876" s="10">
        <f>IFERROR(__xludf.DUMMYFUNCTION("VALUE(REGEXEXTRACT(A7876, ""\d+""))"),12290.0)</f>
        <v>12290</v>
      </c>
    </row>
    <row r="7877">
      <c r="A7877" s="9" t="s">
        <v>26831</v>
      </c>
      <c r="B7877" s="9" t="s">
        <v>26832</v>
      </c>
      <c r="G7877" s="9" t="s">
        <v>26833</v>
      </c>
      <c r="O7877" s="10">
        <f>IFERROR(__xludf.DUMMYFUNCTION("VALUE(REGEXEXTRACT(A7877, ""\d+""))"),12291.0)</f>
        <v>12291</v>
      </c>
    </row>
    <row r="7878">
      <c r="A7878" s="9" t="s">
        <v>26834</v>
      </c>
      <c r="B7878" s="9" t="s">
        <v>26835</v>
      </c>
      <c r="G7878" s="9" t="s">
        <v>26836</v>
      </c>
      <c r="O7878" s="10">
        <f>IFERROR(__xludf.DUMMYFUNCTION("VALUE(REGEXEXTRACT(A7878, ""\d+""))"),12292.0)</f>
        <v>12292</v>
      </c>
    </row>
    <row r="7879">
      <c r="A7879" s="9" t="s">
        <v>26837</v>
      </c>
      <c r="B7879" s="9" t="s">
        <v>26838</v>
      </c>
      <c r="G7879" s="9" t="s">
        <v>26839</v>
      </c>
      <c r="O7879" s="10">
        <f>IFERROR(__xludf.DUMMYFUNCTION("VALUE(REGEXEXTRACT(A7879, ""\d+""))"),12293.0)</f>
        <v>12293</v>
      </c>
    </row>
    <row r="7880">
      <c r="A7880" s="9" t="s">
        <v>26840</v>
      </c>
      <c r="B7880" s="9" t="s">
        <v>26841</v>
      </c>
      <c r="G7880" s="9" t="s">
        <v>26842</v>
      </c>
      <c r="O7880" s="10">
        <f>IFERROR(__xludf.DUMMYFUNCTION("VALUE(REGEXEXTRACT(A7880, ""\d+""))"),12294.0)</f>
        <v>12294</v>
      </c>
    </row>
    <row r="7881">
      <c r="A7881" s="9" t="s">
        <v>26843</v>
      </c>
      <c r="B7881" s="9" t="s">
        <v>26844</v>
      </c>
      <c r="G7881" s="9" t="s">
        <v>26845</v>
      </c>
      <c r="O7881" s="10">
        <f>IFERROR(__xludf.DUMMYFUNCTION("VALUE(REGEXEXTRACT(A7881, ""\d+""))"),12295.0)</f>
        <v>12295</v>
      </c>
    </row>
    <row r="7882">
      <c r="A7882" s="9" t="s">
        <v>26846</v>
      </c>
      <c r="B7882" s="9" t="s">
        <v>26847</v>
      </c>
      <c r="G7882" s="9" t="s">
        <v>26848</v>
      </c>
      <c r="O7882" s="10">
        <f>IFERROR(__xludf.DUMMYFUNCTION("VALUE(REGEXEXTRACT(A7882, ""\d+""))"),12296.0)</f>
        <v>12296</v>
      </c>
    </row>
    <row r="7883">
      <c r="A7883" s="9" t="s">
        <v>26849</v>
      </c>
      <c r="B7883" s="9" t="s">
        <v>26850</v>
      </c>
      <c r="G7883" s="9" t="s">
        <v>26851</v>
      </c>
      <c r="O7883" s="10">
        <f>IFERROR(__xludf.DUMMYFUNCTION("VALUE(REGEXEXTRACT(A7883, ""\d+""))"),12297.0)</f>
        <v>12297</v>
      </c>
    </row>
    <row r="7884">
      <c r="A7884" s="9" t="s">
        <v>26852</v>
      </c>
      <c r="B7884" s="9" t="s">
        <v>26853</v>
      </c>
      <c r="G7884" s="9" t="s">
        <v>26854</v>
      </c>
      <c r="O7884" s="10">
        <f>IFERROR(__xludf.DUMMYFUNCTION("VALUE(REGEXEXTRACT(A7884, ""\d+""))"),12298.0)</f>
        <v>12298</v>
      </c>
    </row>
    <row r="7885">
      <c r="A7885" s="9" t="s">
        <v>26855</v>
      </c>
      <c r="B7885" s="9" t="s">
        <v>26856</v>
      </c>
      <c r="G7885" s="9" t="s">
        <v>26857</v>
      </c>
      <c r="O7885" s="10">
        <f>IFERROR(__xludf.DUMMYFUNCTION("VALUE(REGEXEXTRACT(A7885, ""\d+""))"),12299.0)</f>
        <v>12299</v>
      </c>
    </row>
    <row r="7886">
      <c r="A7886" s="9" t="s">
        <v>26858</v>
      </c>
      <c r="B7886" s="9" t="s">
        <v>26859</v>
      </c>
      <c r="G7886" s="9" t="s">
        <v>26860</v>
      </c>
      <c r="O7886" s="10">
        <f>IFERROR(__xludf.DUMMYFUNCTION("VALUE(REGEXEXTRACT(A7886, ""\d+""))"),12300.0)</f>
        <v>12300</v>
      </c>
    </row>
    <row r="7887">
      <c r="A7887" s="9" t="s">
        <v>26861</v>
      </c>
      <c r="B7887" s="9" t="s">
        <v>26862</v>
      </c>
      <c r="G7887" s="9" t="s">
        <v>26863</v>
      </c>
      <c r="O7887" s="10">
        <f>IFERROR(__xludf.DUMMYFUNCTION("VALUE(REGEXEXTRACT(A7887, ""\d+""))"),12301.0)</f>
        <v>12301</v>
      </c>
    </row>
    <row r="7888">
      <c r="A7888" s="9" t="s">
        <v>26864</v>
      </c>
      <c r="B7888" s="9" t="s">
        <v>26865</v>
      </c>
      <c r="G7888" s="9" t="s">
        <v>26866</v>
      </c>
      <c r="O7888" s="10">
        <f>IFERROR(__xludf.DUMMYFUNCTION("VALUE(REGEXEXTRACT(A7888, ""\d+""))"),12302.0)</f>
        <v>12302</v>
      </c>
    </row>
    <row r="7889">
      <c r="A7889" s="9" t="s">
        <v>26867</v>
      </c>
      <c r="B7889" s="9" t="s">
        <v>26868</v>
      </c>
      <c r="G7889" s="9" t="s">
        <v>26869</v>
      </c>
      <c r="O7889" s="10">
        <f>IFERROR(__xludf.DUMMYFUNCTION("VALUE(REGEXEXTRACT(A7889, ""\d+""))"),12303.0)</f>
        <v>12303</v>
      </c>
    </row>
    <row r="7890">
      <c r="A7890" s="9" t="s">
        <v>26870</v>
      </c>
      <c r="B7890" s="9" t="s">
        <v>26871</v>
      </c>
      <c r="G7890" s="9" t="s">
        <v>26872</v>
      </c>
      <c r="O7890" s="10">
        <f>IFERROR(__xludf.DUMMYFUNCTION("VALUE(REGEXEXTRACT(A7890, ""\d+""))"),12304.0)</f>
        <v>12304</v>
      </c>
    </row>
    <row r="7891">
      <c r="A7891" s="9" t="s">
        <v>26873</v>
      </c>
      <c r="B7891" s="9" t="s">
        <v>26874</v>
      </c>
      <c r="G7891" s="9" t="s">
        <v>26875</v>
      </c>
      <c r="O7891" s="10">
        <f>IFERROR(__xludf.DUMMYFUNCTION("VALUE(REGEXEXTRACT(A7891, ""\d+""))"),12305.0)</f>
        <v>12305</v>
      </c>
    </row>
    <row r="7892">
      <c r="A7892" s="9" t="s">
        <v>26876</v>
      </c>
      <c r="B7892" s="9" t="s">
        <v>26877</v>
      </c>
      <c r="G7892" s="9" t="s">
        <v>26878</v>
      </c>
      <c r="O7892" s="10">
        <f>IFERROR(__xludf.DUMMYFUNCTION("VALUE(REGEXEXTRACT(A7892, ""\d+""))"),12306.0)</f>
        <v>12306</v>
      </c>
    </row>
    <row r="7893">
      <c r="A7893" s="9" t="s">
        <v>26879</v>
      </c>
      <c r="B7893" s="9" t="s">
        <v>26880</v>
      </c>
      <c r="G7893" s="9" t="s">
        <v>26881</v>
      </c>
      <c r="O7893" s="10">
        <f>IFERROR(__xludf.DUMMYFUNCTION("VALUE(REGEXEXTRACT(A7893, ""\d+""))"),12307.0)</f>
        <v>12307</v>
      </c>
    </row>
    <row r="7894">
      <c r="A7894" s="9" t="s">
        <v>26882</v>
      </c>
      <c r="B7894" s="9" t="s">
        <v>26883</v>
      </c>
      <c r="G7894" s="9" t="s">
        <v>26884</v>
      </c>
      <c r="O7894" s="10">
        <f>IFERROR(__xludf.DUMMYFUNCTION("VALUE(REGEXEXTRACT(A7894, ""\d+""))"),12308.0)</f>
        <v>12308</v>
      </c>
    </row>
    <row r="7895">
      <c r="A7895" s="9" t="s">
        <v>26885</v>
      </c>
      <c r="B7895" s="9" t="s">
        <v>26886</v>
      </c>
      <c r="G7895" s="9" t="s">
        <v>26887</v>
      </c>
      <c r="O7895" s="10">
        <f>IFERROR(__xludf.DUMMYFUNCTION("VALUE(REGEXEXTRACT(A7895, ""\d+""))"),12309.0)</f>
        <v>12309</v>
      </c>
    </row>
    <row r="7896">
      <c r="A7896" s="9" t="s">
        <v>26888</v>
      </c>
      <c r="B7896" s="9" t="s">
        <v>26889</v>
      </c>
      <c r="G7896" s="9" t="s">
        <v>26890</v>
      </c>
      <c r="O7896" s="10">
        <f>IFERROR(__xludf.DUMMYFUNCTION("VALUE(REGEXEXTRACT(A7896, ""\d+""))"),12310.0)</f>
        <v>12310</v>
      </c>
    </row>
    <row r="7897">
      <c r="A7897" s="9" t="s">
        <v>26891</v>
      </c>
      <c r="B7897" s="9" t="s">
        <v>26892</v>
      </c>
      <c r="G7897" s="9" t="s">
        <v>26893</v>
      </c>
      <c r="O7897" s="10">
        <f>IFERROR(__xludf.DUMMYFUNCTION("VALUE(REGEXEXTRACT(A7897, ""\d+""))"),12311.0)</f>
        <v>12311</v>
      </c>
    </row>
    <row r="7898">
      <c r="A7898" s="9" t="s">
        <v>26894</v>
      </c>
      <c r="B7898" s="9" t="s">
        <v>26895</v>
      </c>
      <c r="G7898" s="9" t="s">
        <v>26896</v>
      </c>
      <c r="O7898" s="10">
        <f>IFERROR(__xludf.DUMMYFUNCTION("VALUE(REGEXEXTRACT(A7898, ""\d+""))"),12312.0)</f>
        <v>12312</v>
      </c>
    </row>
    <row r="7899">
      <c r="A7899" s="9" t="s">
        <v>26897</v>
      </c>
      <c r="B7899" s="9" t="s">
        <v>26898</v>
      </c>
      <c r="G7899" s="9" t="s">
        <v>26899</v>
      </c>
      <c r="O7899" s="10">
        <f>IFERROR(__xludf.DUMMYFUNCTION("VALUE(REGEXEXTRACT(A7899, ""\d+""))"),12313.0)</f>
        <v>12313</v>
      </c>
    </row>
    <row r="7900">
      <c r="A7900" s="9" t="s">
        <v>26900</v>
      </c>
      <c r="B7900" s="9" t="s">
        <v>26901</v>
      </c>
      <c r="G7900" s="9" t="s">
        <v>26902</v>
      </c>
      <c r="O7900" s="10">
        <f>IFERROR(__xludf.DUMMYFUNCTION("VALUE(REGEXEXTRACT(A7900, ""\d+""))"),12314.0)</f>
        <v>12314</v>
      </c>
    </row>
    <row r="7901">
      <c r="A7901" s="9" t="s">
        <v>26903</v>
      </c>
      <c r="B7901" s="9" t="s">
        <v>26904</v>
      </c>
      <c r="G7901" s="9" t="s">
        <v>26905</v>
      </c>
      <c r="O7901" s="10">
        <f>IFERROR(__xludf.DUMMYFUNCTION("VALUE(REGEXEXTRACT(A7901, ""\d+""))"),12315.0)</f>
        <v>12315</v>
      </c>
    </row>
    <row r="7902">
      <c r="A7902" s="9" t="s">
        <v>26906</v>
      </c>
      <c r="B7902" s="9" t="s">
        <v>26907</v>
      </c>
      <c r="G7902" s="9" t="s">
        <v>26908</v>
      </c>
      <c r="O7902" s="10">
        <f>IFERROR(__xludf.DUMMYFUNCTION("VALUE(REGEXEXTRACT(A7902, ""\d+""))"),12316.0)</f>
        <v>12316</v>
      </c>
    </row>
    <row r="7903">
      <c r="A7903" s="9" t="s">
        <v>26909</v>
      </c>
      <c r="B7903" s="9" t="s">
        <v>26910</v>
      </c>
      <c r="G7903" s="9" t="s">
        <v>26911</v>
      </c>
      <c r="O7903" s="10">
        <f>IFERROR(__xludf.DUMMYFUNCTION("VALUE(REGEXEXTRACT(A7903, ""\d+""))"),12318.0)</f>
        <v>12318</v>
      </c>
    </row>
    <row r="7904">
      <c r="A7904" s="9" t="s">
        <v>26912</v>
      </c>
      <c r="B7904" s="9" t="s">
        <v>26913</v>
      </c>
      <c r="G7904" s="9" t="s">
        <v>26914</v>
      </c>
      <c r="O7904" s="10">
        <f>IFERROR(__xludf.DUMMYFUNCTION("VALUE(REGEXEXTRACT(A7904, ""\d+""))"),12319.0)</f>
        <v>12319</v>
      </c>
    </row>
    <row r="7905">
      <c r="A7905" s="9" t="s">
        <v>26915</v>
      </c>
      <c r="B7905" s="9" t="s">
        <v>26916</v>
      </c>
      <c r="G7905" s="9" t="s">
        <v>26917</v>
      </c>
      <c r="O7905" s="10">
        <f>IFERROR(__xludf.DUMMYFUNCTION("VALUE(REGEXEXTRACT(A7905, ""\d+""))"),12320.0)</f>
        <v>12320</v>
      </c>
    </row>
    <row r="7906">
      <c r="A7906" s="9" t="s">
        <v>26918</v>
      </c>
      <c r="B7906" s="9" t="s">
        <v>26919</v>
      </c>
      <c r="G7906" s="9" t="s">
        <v>26920</v>
      </c>
      <c r="O7906" s="10">
        <f>IFERROR(__xludf.DUMMYFUNCTION("VALUE(REGEXEXTRACT(A7906, ""\d+""))"),12321.0)</f>
        <v>12321</v>
      </c>
    </row>
    <row r="7907">
      <c r="A7907" s="9" t="s">
        <v>26921</v>
      </c>
      <c r="B7907" s="9" t="s">
        <v>26922</v>
      </c>
      <c r="G7907" s="9" t="s">
        <v>26923</v>
      </c>
      <c r="O7907" s="10">
        <f>IFERROR(__xludf.DUMMYFUNCTION("VALUE(REGEXEXTRACT(A7907, ""\d+""))"),12322.0)</f>
        <v>12322</v>
      </c>
    </row>
    <row r="7908">
      <c r="A7908" s="9" t="s">
        <v>26924</v>
      </c>
      <c r="B7908" s="9" t="s">
        <v>26925</v>
      </c>
      <c r="G7908" s="9" t="s">
        <v>26926</v>
      </c>
      <c r="O7908" s="10">
        <f>IFERROR(__xludf.DUMMYFUNCTION("VALUE(REGEXEXTRACT(A7908, ""\d+""))"),12323.0)</f>
        <v>12323</v>
      </c>
    </row>
    <row r="7909">
      <c r="A7909" s="9" t="s">
        <v>26927</v>
      </c>
      <c r="B7909" s="9" t="s">
        <v>26928</v>
      </c>
      <c r="G7909" s="9" t="s">
        <v>26929</v>
      </c>
      <c r="O7909" s="10">
        <f>IFERROR(__xludf.DUMMYFUNCTION("VALUE(REGEXEXTRACT(A7909, ""\d+""))"),12324.0)</f>
        <v>12324</v>
      </c>
    </row>
    <row r="7910">
      <c r="A7910" s="9" t="s">
        <v>26930</v>
      </c>
      <c r="B7910" s="9" t="s">
        <v>26931</v>
      </c>
      <c r="G7910" s="9" t="s">
        <v>26932</v>
      </c>
      <c r="O7910" s="10">
        <f>IFERROR(__xludf.DUMMYFUNCTION("VALUE(REGEXEXTRACT(A7910, ""\d+""))"),12325.0)</f>
        <v>12325</v>
      </c>
    </row>
    <row r="7911">
      <c r="A7911" s="9" t="s">
        <v>26933</v>
      </c>
      <c r="B7911" s="9" t="s">
        <v>26934</v>
      </c>
      <c r="G7911" s="9" t="s">
        <v>26935</v>
      </c>
      <c r="O7911" s="10">
        <f>IFERROR(__xludf.DUMMYFUNCTION("VALUE(REGEXEXTRACT(A7911, ""\d+""))"),12326.0)</f>
        <v>12326</v>
      </c>
    </row>
    <row r="7912">
      <c r="A7912" s="9" t="s">
        <v>26936</v>
      </c>
      <c r="B7912" s="9" t="s">
        <v>26937</v>
      </c>
      <c r="G7912" s="9" t="s">
        <v>26938</v>
      </c>
      <c r="O7912" s="10">
        <f>IFERROR(__xludf.DUMMYFUNCTION("VALUE(REGEXEXTRACT(A7912, ""\d+""))"),12327.0)</f>
        <v>12327</v>
      </c>
    </row>
    <row r="7913">
      <c r="A7913" s="9" t="s">
        <v>26939</v>
      </c>
      <c r="B7913" s="9" t="s">
        <v>26940</v>
      </c>
      <c r="G7913" s="9" t="s">
        <v>26941</v>
      </c>
      <c r="O7913" s="10">
        <f>IFERROR(__xludf.DUMMYFUNCTION("VALUE(REGEXEXTRACT(A7913, ""\d+""))"),12328.0)</f>
        <v>12328</v>
      </c>
    </row>
    <row r="7914">
      <c r="A7914" s="9" t="s">
        <v>26942</v>
      </c>
      <c r="B7914" s="9" t="s">
        <v>26943</v>
      </c>
      <c r="G7914" s="9" t="s">
        <v>26944</v>
      </c>
      <c r="O7914" s="10">
        <f>IFERROR(__xludf.DUMMYFUNCTION("VALUE(REGEXEXTRACT(A7914, ""\d+""))"),12329.0)</f>
        <v>12329</v>
      </c>
    </row>
    <row r="7915">
      <c r="A7915" s="9" t="s">
        <v>26945</v>
      </c>
      <c r="B7915" s="9" t="s">
        <v>26946</v>
      </c>
      <c r="G7915" s="9" t="s">
        <v>26947</v>
      </c>
      <c r="O7915" s="10">
        <f>IFERROR(__xludf.DUMMYFUNCTION("VALUE(REGEXEXTRACT(A7915, ""\d+""))"),12330.0)</f>
        <v>12330</v>
      </c>
    </row>
    <row r="7916">
      <c r="A7916" s="9" t="s">
        <v>26948</v>
      </c>
      <c r="B7916" s="9" t="s">
        <v>26949</v>
      </c>
      <c r="G7916" s="9" t="s">
        <v>26950</v>
      </c>
      <c r="O7916" s="10">
        <f>IFERROR(__xludf.DUMMYFUNCTION("VALUE(REGEXEXTRACT(A7916, ""\d+""))"),12331.0)</f>
        <v>12331</v>
      </c>
    </row>
    <row r="7917">
      <c r="A7917" s="9" t="s">
        <v>26951</v>
      </c>
      <c r="B7917" s="9" t="s">
        <v>26952</v>
      </c>
      <c r="G7917" s="9" t="s">
        <v>26953</v>
      </c>
      <c r="O7917" s="10">
        <f>IFERROR(__xludf.DUMMYFUNCTION("VALUE(REGEXEXTRACT(A7917, ""\d+""))"),12332.0)</f>
        <v>12332</v>
      </c>
    </row>
    <row r="7918">
      <c r="A7918" s="9" t="s">
        <v>26954</v>
      </c>
      <c r="B7918" s="9" t="s">
        <v>26955</v>
      </c>
      <c r="G7918" s="9" t="s">
        <v>26956</v>
      </c>
      <c r="O7918" s="10">
        <f>IFERROR(__xludf.DUMMYFUNCTION("VALUE(REGEXEXTRACT(A7918, ""\d+""))"),12333.0)</f>
        <v>12333</v>
      </c>
    </row>
    <row r="7919">
      <c r="A7919" s="9" t="s">
        <v>26957</v>
      </c>
      <c r="B7919" s="9" t="s">
        <v>26958</v>
      </c>
      <c r="G7919" s="9" t="s">
        <v>26959</v>
      </c>
      <c r="O7919" s="10">
        <f>IFERROR(__xludf.DUMMYFUNCTION("VALUE(REGEXEXTRACT(A7919, ""\d+""))"),12334.0)</f>
        <v>12334</v>
      </c>
    </row>
    <row r="7920">
      <c r="A7920" s="9" t="s">
        <v>26960</v>
      </c>
      <c r="B7920" s="9" t="s">
        <v>26961</v>
      </c>
      <c r="G7920" s="9" t="s">
        <v>26962</v>
      </c>
      <c r="O7920" s="10">
        <f>IFERROR(__xludf.DUMMYFUNCTION("VALUE(REGEXEXTRACT(A7920, ""\d+""))"),12335.0)</f>
        <v>12335</v>
      </c>
    </row>
    <row r="7921">
      <c r="A7921" s="9" t="s">
        <v>26963</v>
      </c>
      <c r="B7921" s="9" t="s">
        <v>26964</v>
      </c>
      <c r="G7921" s="9" t="s">
        <v>26965</v>
      </c>
      <c r="O7921" s="10">
        <f>IFERROR(__xludf.DUMMYFUNCTION("VALUE(REGEXEXTRACT(A7921, ""\d+""))"),12336.0)</f>
        <v>12336</v>
      </c>
    </row>
    <row r="7922">
      <c r="A7922" s="9" t="s">
        <v>26966</v>
      </c>
      <c r="B7922" s="9" t="s">
        <v>26967</v>
      </c>
      <c r="G7922" s="9" t="s">
        <v>26968</v>
      </c>
      <c r="O7922" s="10">
        <f>IFERROR(__xludf.DUMMYFUNCTION("VALUE(REGEXEXTRACT(A7922, ""\d+""))"),12337.0)</f>
        <v>12337</v>
      </c>
    </row>
    <row r="7923">
      <c r="A7923" s="9" t="s">
        <v>26969</v>
      </c>
      <c r="B7923" s="9" t="s">
        <v>26970</v>
      </c>
      <c r="G7923" s="9" t="s">
        <v>26971</v>
      </c>
      <c r="O7923" s="10">
        <f>IFERROR(__xludf.DUMMYFUNCTION("VALUE(REGEXEXTRACT(A7923, ""\d+""))"),12338.0)</f>
        <v>12338</v>
      </c>
    </row>
    <row r="7924">
      <c r="A7924" s="9" t="s">
        <v>26972</v>
      </c>
      <c r="B7924" s="9" t="s">
        <v>26973</v>
      </c>
      <c r="G7924" s="9" t="s">
        <v>26974</v>
      </c>
      <c r="O7924" s="10">
        <f>IFERROR(__xludf.DUMMYFUNCTION("VALUE(REGEXEXTRACT(A7924, ""\d+""))"),12339.0)</f>
        <v>12339</v>
      </c>
    </row>
    <row r="7925">
      <c r="A7925" s="9" t="s">
        <v>26975</v>
      </c>
      <c r="B7925" s="9" t="s">
        <v>26976</v>
      </c>
      <c r="G7925" s="9" t="s">
        <v>26977</v>
      </c>
      <c r="O7925" s="10">
        <f>IFERROR(__xludf.DUMMYFUNCTION("VALUE(REGEXEXTRACT(A7925, ""\d+""))"),12340.0)</f>
        <v>12340</v>
      </c>
    </row>
    <row r="7926">
      <c r="A7926" s="9" t="s">
        <v>26978</v>
      </c>
      <c r="B7926" s="9" t="s">
        <v>26979</v>
      </c>
      <c r="G7926" s="9" t="s">
        <v>26980</v>
      </c>
      <c r="O7926" s="10">
        <f>IFERROR(__xludf.DUMMYFUNCTION("VALUE(REGEXEXTRACT(A7926, ""\d+""))"),12341.0)</f>
        <v>12341</v>
      </c>
    </row>
    <row r="7927">
      <c r="A7927" s="9" t="s">
        <v>26981</v>
      </c>
      <c r="B7927" s="9" t="s">
        <v>26982</v>
      </c>
      <c r="G7927" s="9" t="s">
        <v>26983</v>
      </c>
      <c r="O7927" s="10">
        <f>IFERROR(__xludf.DUMMYFUNCTION("VALUE(REGEXEXTRACT(A7927, ""\d+""))"),12342.0)</f>
        <v>12342</v>
      </c>
    </row>
    <row r="7928">
      <c r="A7928" s="9" t="s">
        <v>26984</v>
      </c>
      <c r="B7928" s="9" t="s">
        <v>26985</v>
      </c>
      <c r="G7928" s="9" t="s">
        <v>26986</v>
      </c>
      <c r="O7928" s="10">
        <f>IFERROR(__xludf.DUMMYFUNCTION("VALUE(REGEXEXTRACT(A7928, ""\d+""))"),12343.0)</f>
        <v>12343</v>
      </c>
    </row>
    <row r="7929">
      <c r="A7929" s="9" t="s">
        <v>26987</v>
      </c>
      <c r="B7929" s="9" t="s">
        <v>26988</v>
      </c>
      <c r="G7929" s="9" t="s">
        <v>26989</v>
      </c>
      <c r="O7929" s="10">
        <f>IFERROR(__xludf.DUMMYFUNCTION("VALUE(REGEXEXTRACT(A7929, ""\d+""))"),12344.0)</f>
        <v>12344</v>
      </c>
    </row>
    <row r="7930">
      <c r="A7930" s="9" t="s">
        <v>26990</v>
      </c>
      <c r="B7930" s="9" t="s">
        <v>26991</v>
      </c>
      <c r="G7930" s="9" t="s">
        <v>26992</v>
      </c>
      <c r="O7930" s="10">
        <f>IFERROR(__xludf.DUMMYFUNCTION("VALUE(REGEXEXTRACT(A7930, ""\d+""))"),12345.0)</f>
        <v>12345</v>
      </c>
    </row>
    <row r="7931">
      <c r="A7931" s="9" t="s">
        <v>26993</v>
      </c>
      <c r="B7931" s="9" t="s">
        <v>26994</v>
      </c>
      <c r="G7931" s="9" t="s">
        <v>26995</v>
      </c>
      <c r="O7931" s="10">
        <f>IFERROR(__xludf.DUMMYFUNCTION("VALUE(REGEXEXTRACT(A7931, ""\d+""))"),12346.0)</f>
        <v>12346</v>
      </c>
    </row>
    <row r="7932">
      <c r="A7932" s="9" t="s">
        <v>26996</v>
      </c>
      <c r="B7932" s="9" t="s">
        <v>26997</v>
      </c>
      <c r="G7932" s="9" t="s">
        <v>26998</v>
      </c>
      <c r="O7932" s="10">
        <f>IFERROR(__xludf.DUMMYFUNCTION("VALUE(REGEXEXTRACT(A7932, ""\d+""))"),12347.0)</f>
        <v>12347</v>
      </c>
    </row>
    <row r="7933">
      <c r="A7933" s="9" t="s">
        <v>26999</v>
      </c>
      <c r="B7933" s="9" t="s">
        <v>27000</v>
      </c>
      <c r="G7933" s="9" t="s">
        <v>27001</v>
      </c>
      <c r="O7933" s="10">
        <f>IFERROR(__xludf.DUMMYFUNCTION("VALUE(REGEXEXTRACT(A7933, ""\d+""))"),12348.0)</f>
        <v>12348</v>
      </c>
    </row>
    <row r="7934">
      <c r="A7934" s="9" t="s">
        <v>27002</v>
      </c>
      <c r="B7934" s="9" t="s">
        <v>27003</v>
      </c>
      <c r="G7934" s="9" t="s">
        <v>27004</v>
      </c>
      <c r="O7934" s="10">
        <f>IFERROR(__xludf.DUMMYFUNCTION("VALUE(REGEXEXTRACT(A7934, ""\d+""))"),12349.0)</f>
        <v>12349</v>
      </c>
    </row>
    <row r="7935">
      <c r="A7935" s="9" t="s">
        <v>27005</v>
      </c>
      <c r="B7935" s="9" t="s">
        <v>27006</v>
      </c>
      <c r="G7935" s="9" t="s">
        <v>27007</v>
      </c>
      <c r="O7935" s="10">
        <f>IFERROR(__xludf.DUMMYFUNCTION("VALUE(REGEXEXTRACT(A7935, ""\d+""))"),12350.0)</f>
        <v>12350</v>
      </c>
    </row>
    <row r="7936">
      <c r="A7936" s="9" t="s">
        <v>27008</v>
      </c>
      <c r="B7936" s="9" t="s">
        <v>27009</v>
      </c>
      <c r="G7936" s="9" t="s">
        <v>27010</v>
      </c>
      <c r="O7936" s="10">
        <f>IFERROR(__xludf.DUMMYFUNCTION("VALUE(REGEXEXTRACT(A7936, ""\d+""))"),12351.0)</f>
        <v>12351</v>
      </c>
    </row>
    <row r="7937">
      <c r="A7937" s="9" t="s">
        <v>27011</v>
      </c>
      <c r="B7937" s="9" t="s">
        <v>27012</v>
      </c>
      <c r="G7937" s="9" t="s">
        <v>27013</v>
      </c>
      <c r="O7937" s="10">
        <f>IFERROR(__xludf.DUMMYFUNCTION("VALUE(REGEXEXTRACT(A7937, ""\d+""))"),12352.0)</f>
        <v>12352</v>
      </c>
    </row>
    <row r="7938">
      <c r="A7938" s="9" t="s">
        <v>27014</v>
      </c>
      <c r="B7938" s="9" t="s">
        <v>27015</v>
      </c>
      <c r="G7938" s="9" t="s">
        <v>26677</v>
      </c>
      <c r="O7938" s="10">
        <f>IFERROR(__xludf.DUMMYFUNCTION("VALUE(REGEXEXTRACT(A7938, ""\d+""))"),12353.0)</f>
        <v>12353</v>
      </c>
    </row>
    <row r="7939">
      <c r="A7939" s="9" t="s">
        <v>27016</v>
      </c>
      <c r="B7939" s="9" t="s">
        <v>27017</v>
      </c>
      <c r="G7939" s="9" t="s">
        <v>27018</v>
      </c>
      <c r="O7939" s="10">
        <f>IFERROR(__xludf.DUMMYFUNCTION("VALUE(REGEXEXTRACT(A7939, ""\d+""))"),12354.0)</f>
        <v>12354</v>
      </c>
    </row>
    <row r="7940">
      <c r="A7940" s="9" t="s">
        <v>27019</v>
      </c>
      <c r="B7940" s="9" t="s">
        <v>27020</v>
      </c>
      <c r="G7940" s="9" t="s">
        <v>27021</v>
      </c>
      <c r="O7940" s="10">
        <f>IFERROR(__xludf.DUMMYFUNCTION("VALUE(REGEXEXTRACT(A7940, ""\d+""))"),12355.0)</f>
        <v>12355</v>
      </c>
    </row>
    <row r="7941">
      <c r="A7941" s="9" t="s">
        <v>27022</v>
      </c>
      <c r="B7941" s="9" t="s">
        <v>27023</v>
      </c>
      <c r="G7941" s="9" t="s">
        <v>27024</v>
      </c>
      <c r="O7941" s="10">
        <f>IFERROR(__xludf.DUMMYFUNCTION("VALUE(REGEXEXTRACT(A7941, ""\d+""))"),12356.0)</f>
        <v>12356</v>
      </c>
    </row>
    <row r="7942">
      <c r="A7942" s="9" t="s">
        <v>27025</v>
      </c>
      <c r="B7942" s="9" t="s">
        <v>27026</v>
      </c>
      <c r="G7942" s="9" t="s">
        <v>27027</v>
      </c>
      <c r="O7942" s="10">
        <f>IFERROR(__xludf.DUMMYFUNCTION("VALUE(REGEXEXTRACT(A7942, ""\d+""))"),12357.0)</f>
        <v>12357</v>
      </c>
    </row>
    <row r="7943">
      <c r="A7943" s="9" t="s">
        <v>27028</v>
      </c>
      <c r="B7943" s="9" t="s">
        <v>27029</v>
      </c>
      <c r="G7943" s="9" t="s">
        <v>26568</v>
      </c>
      <c r="O7943" s="10">
        <f>IFERROR(__xludf.DUMMYFUNCTION("VALUE(REGEXEXTRACT(A7943, ""\d+""))"),12358.0)</f>
        <v>12358</v>
      </c>
    </row>
    <row r="7944">
      <c r="A7944" s="9" t="s">
        <v>27030</v>
      </c>
      <c r="B7944" s="9" t="s">
        <v>27031</v>
      </c>
      <c r="G7944" s="9" t="s">
        <v>26565</v>
      </c>
      <c r="O7944" s="10">
        <f>IFERROR(__xludf.DUMMYFUNCTION("VALUE(REGEXEXTRACT(A7944, ""\d+""))"),12359.0)</f>
        <v>12359</v>
      </c>
    </row>
    <row r="7945">
      <c r="A7945" s="9" t="s">
        <v>27032</v>
      </c>
      <c r="B7945" s="9" t="s">
        <v>27033</v>
      </c>
      <c r="G7945" s="9" t="s">
        <v>27034</v>
      </c>
      <c r="O7945" s="10">
        <f>IFERROR(__xludf.DUMMYFUNCTION("VALUE(REGEXEXTRACT(A7945, ""\d+""))"),12360.0)</f>
        <v>12360</v>
      </c>
    </row>
    <row r="7946">
      <c r="A7946" s="9" t="s">
        <v>27035</v>
      </c>
      <c r="B7946" s="9" t="s">
        <v>27036</v>
      </c>
      <c r="G7946" s="9" t="s">
        <v>26559</v>
      </c>
      <c r="O7946" s="10">
        <f>IFERROR(__xludf.DUMMYFUNCTION("VALUE(REGEXEXTRACT(A7946, ""\d+""))"),12361.0)</f>
        <v>12361</v>
      </c>
    </row>
    <row r="7947">
      <c r="A7947" s="9" t="s">
        <v>27037</v>
      </c>
      <c r="B7947" s="9" t="s">
        <v>27038</v>
      </c>
      <c r="G7947" s="9" t="s">
        <v>26553</v>
      </c>
      <c r="O7947" s="10">
        <f>IFERROR(__xludf.DUMMYFUNCTION("VALUE(REGEXEXTRACT(A7947, ""\d+""))"),12362.0)</f>
        <v>12362</v>
      </c>
    </row>
    <row r="7948">
      <c r="A7948" s="9" t="s">
        <v>27039</v>
      </c>
      <c r="B7948" s="9" t="s">
        <v>27040</v>
      </c>
      <c r="G7948" s="9" t="s">
        <v>27041</v>
      </c>
      <c r="O7948" s="10">
        <f>IFERROR(__xludf.DUMMYFUNCTION("VALUE(REGEXEXTRACT(A7948, ""\d+""))"),12363.0)</f>
        <v>12363</v>
      </c>
    </row>
    <row r="7949">
      <c r="A7949" s="9" t="s">
        <v>27042</v>
      </c>
      <c r="B7949" s="9" t="s">
        <v>27043</v>
      </c>
      <c r="G7949" s="9" t="s">
        <v>27044</v>
      </c>
      <c r="O7949" s="10">
        <f>IFERROR(__xludf.DUMMYFUNCTION("VALUE(REGEXEXTRACT(A7949, ""\d+""))"),12364.0)</f>
        <v>12364</v>
      </c>
    </row>
    <row r="7950">
      <c r="A7950" s="9" t="s">
        <v>27045</v>
      </c>
      <c r="B7950" s="9" t="s">
        <v>27046</v>
      </c>
      <c r="G7950" s="9" t="s">
        <v>27047</v>
      </c>
      <c r="O7950" s="10">
        <f>IFERROR(__xludf.DUMMYFUNCTION("VALUE(REGEXEXTRACT(A7950, ""\d+""))"),12365.0)</f>
        <v>12365</v>
      </c>
    </row>
    <row r="7951">
      <c r="A7951" s="9" t="s">
        <v>27048</v>
      </c>
      <c r="B7951" s="9" t="s">
        <v>27049</v>
      </c>
      <c r="G7951" s="9" t="s">
        <v>27050</v>
      </c>
      <c r="O7951" s="10">
        <f>IFERROR(__xludf.DUMMYFUNCTION("VALUE(REGEXEXTRACT(A7951, ""\d+""))"),12366.0)</f>
        <v>12366</v>
      </c>
    </row>
    <row r="7952">
      <c r="A7952" s="9" t="s">
        <v>27051</v>
      </c>
      <c r="B7952" s="9" t="s">
        <v>27052</v>
      </c>
      <c r="G7952" s="9" t="s">
        <v>27053</v>
      </c>
      <c r="O7952" s="10">
        <f>IFERROR(__xludf.DUMMYFUNCTION("VALUE(REGEXEXTRACT(A7952, ""\d+""))"),12367.0)</f>
        <v>12367</v>
      </c>
    </row>
    <row r="7953">
      <c r="A7953" s="9" t="s">
        <v>27054</v>
      </c>
      <c r="B7953" s="9" t="s">
        <v>27055</v>
      </c>
      <c r="G7953" s="9" t="s">
        <v>27056</v>
      </c>
      <c r="O7953" s="10">
        <f>IFERROR(__xludf.DUMMYFUNCTION("VALUE(REGEXEXTRACT(A7953, ""\d+""))"),12368.0)</f>
        <v>12368</v>
      </c>
    </row>
    <row r="7954">
      <c r="A7954" s="9" t="s">
        <v>27057</v>
      </c>
      <c r="B7954" s="9" t="s">
        <v>27058</v>
      </c>
      <c r="G7954" s="9" t="s">
        <v>27059</v>
      </c>
      <c r="O7954" s="10">
        <f>IFERROR(__xludf.DUMMYFUNCTION("VALUE(REGEXEXTRACT(A7954, ""\d+""))"),12369.0)</f>
        <v>12369</v>
      </c>
    </row>
    <row r="7955">
      <c r="A7955" s="9" t="s">
        <v>27060</v>
      </c>
      <c r="B7955" s="9" t="s">
        <v>27061</v>
      </c>
      <c r="G7955" s="9" t="s">
        <v>27062</v>
      </c>
      <c r="O7955" s="10">
        <f>IFERROR(__xludf.DUMMYFUNCTION("VALUE(REGEXEXTRACT(A7955, ""\d+""))"),12370.0)</f>
        <v>12370</v>
      </c>
    </row>
    <row r="7956">
      <c r="A7956" s="9" t="s">
        <v>27063</v>
      </c>
      <c r="B7956" s="9" t="s">
        <v>27064</v>
      </c>
      <c r="G7956" s="9" t="s">
        <v>27065</v>
      </c>
      <c r="O7956" s="10">
        <f>IFERROR(__xludf.DUMMYFUNCTION("VALUE(REGEXEXTRACT(A7956, ""\d+""))"),12371.0)</f>
        <v>12371</v>
      </c>
    </row>
    <row r="7957">
      <c r="A7957" s="9" t="s">
        <v>27066</v>
      </c>
      <c r="B7957" s="9" t="s">
        <v>27067</v>
      </c>
      <c r="G7957" s="9" t="s">
        <v>27068</v>
      </c>
      <c r="O7957" s="10">
        <f>IFERROR(__xludf.DUMMYFUNCTION("VALUE(REGEXEXTRACT(A7957, ""\d+""))"),12372.0)</f>
        <v>12372</v>
      </c>
    </row>
    <row r="7958">
      <c r="A7958" s="9" t="s">
        <v>27069</v>
      </c>
      <c r="B7958" s="9" t="s">
        <v>27070</v>
      </c>
      <c r="G7958" s="9" t="s">
        <v>27071</v>
      </c>
      <c r="O7958" s="10">
        <f>IFERROR(__xludf.DUMMYFUNCTION("VALUE(REGEXEXTRACT(A7958, ""\d+""))"),12373.0)</f>
        <v>12373</v>
      </c>
    </row>
    <row r="7959">
      <c r="A7959" s="9" t="s">
        <v>27072</v>
      </c>
      <c r="B7959" s="9" t="s">
        <v>27073</v>
      </c>
      <c r="G7959" s="9" t="s">
        <v>27074</v>
      </c>
      <c r="O7959" s="10">
        <f>IFERROR(__xludf.DUMMYFUNCTION("VALUE(REGEXEXTRACT(A7959, ""\d+""))"),12374.0)</f>
        <v>12374</v>
      </c>
    </row>
    <row r="7960">
      <c r="A7960" s="9" t="s">
        <v>27075</v>
      </c>
      <c r="B7960" s="9" t="s">
        <v>27076</v>
      </c>
      <c r="G7960" s="9" t="s">
        <v>27077</v>
      </c>
      <c r="O7960" s="10">
        <f>IFERROR(__xludf.DUMMYFUNCTION("VALUE(REGEXEXTRACT(A7960, ""\d+""))"),12375.0)</f>
        <v>12375</v>
      </c>
    </row>
    <row r="7961">
      <c r="A7961" s="9" t="s">
        <v>27078</v>
      </c>
      <c r="B7961" s="9" t="s">
        <v>27079</v>
      </c>
      <c r="G7961" s="9" t="s">
        <v>27080</v>
      </c>
      <c r="O7961" s="10">
        <f>IFERROR(__xludf.DUMMYFUNCTION("VALUE(REGEXEXTRACT(A7961, ""\d+""))"),12376.0)</f>
        <v>12376</v>
      </c>
    </row>
    <row r="7962">
      <c r="A7962" s="9" t="s">
        <v>27081</v>
      </c>
      <c r="B7962" s="9" t="s">
        <v>27082</v>
      </c>
      <c r="G7962" s="9" t="s">
        <v>27083</v>
      </c>
      <c r="O7962" s="10">
        <f>IFERROR(__xludf.DUMMYFUNCTION("VALUE(REGEXEXTRACT(A7962, ""\d+""))"),12377.0)</f>
        <v>12377</v>
      </c>
    </row>
    <row r="7963">
      <c r="A7963" s="9" t="s">
        <v>27084</v>
      </c>
      <c r="B7963" s="9" t="s">
        <v>27085</v>
      </c>
      <c r="G7963" s="9" t="s">
        <v>27086</v>
      </c>
      <c r="O7963" s="10">
        <f>IFERROR(__xludf.DUMMYFUNCTION("VALUE(REGEXEXTRACT(A7963, ""\d+""))"),12378.0)</f>
        <v>12378</v>
      </c>
    </row>
    <row r="7964">
      <c r="A7964" s="9" t="s">
        <v>27087</v>
      </c>
      <c r="B7964" s="9" t="s">
        <v>27088</v>
      </c>
      <c r="G7964" s="9" t="s">
        <v>27089</v>
      </c>
      <c r="O7964" s="10">
        <f>IFERROR(__xludf.DUMMYFUNCTION("VALUE(REGEXEXTRACT(A7964, ""\d+""))"),12379.0)</f>
        <v>12379</v>
      </c>
    </row>
    <row r="7965">
      <c r="A7965" s="9" t="s">
        <v>27090</v>
      </c>
      <c r="B7965" s="9" t="s">
        <v>27091</v>
      </c>
      <c r="G7965" s="9" t="s">
        <v>27092</v>
      </c>
      <c r="O7965" s="10">
        <f>IFERROR(__xludf.DUMMYFUNCTION("VALUE(REGEXEXTRACT(A7965, ""\d+""))"),12380.0)</f>
        <v>12380</v>
      </c>
    </row>
    <row r="7966">
      <c r="A7966" s="9" t="s">
        <v>27093</v>
      </c>
      <c r="B7966" s="9" t="s">
        <v>27094</v>
      </c>
      <c r="G7966" s="9" t="s">
        <v>27095</v>
      </c>
      <c r="O7966" s="10">
        <f>IFERROR(__xludf.DUMMYFUNCTION("VALUE(REGEXEXTRACT(A7966, ""\d+""))"),12381.0)</f>
        <v>12381</v>
      </c>
    </row>
    <row r="7967">
      <c r="A7967" s="9" t="s">
        <v>27096</v>
      </c>
      <c r="B7967" s="9" t="s">
        <v>27097</v>
      </c>
      <c r="G7967" s="9" t="s">
        <v>27098</v>
      </c>
      <c r="O7967" s="10">
        <f>IFERROR(__xludf.DUMMYFUNCTION("VALUE(REGEXEXTRACT(A7967, ""\d+""))"),12382.0)</f>
        <v>12382</v>
      </c>
    </row>
    <row r="7968">
      <c r="A7968" s="9" t="s">
        <v>27099</v>
      </c>
      <c r="B7968" s="9" t="s">
        <v>27100</v>
      </c>
      <c r="G7968" s="9" t="s">
        <v>27101</v>
      </c>
      <c r="O7968" s="10">
        <f>IFERROR(__xludf.DUMMYFUNCTION("VALUE(REGEXEXTRACT(A7968, ""\d+""))"),12383.0)</f>
        <v>12383</v>
      </c>
    </row>
    <row r="7969">
      <c r="A7969" s="9" t="s">
        <v>27102</v>
      </c>
      <c r="B7969" s="9" t="s">
        <v>27103</v>
      </c>
      <c r="G7969" s="9" t="s">
        <v>27104</v>
      </c>
      <c r="O7969" s="10">
        <f>IFERROR(__xludf.DUMMYFUNCTION("VALUE(REGEXEXTRACT(A7969, ""\d+""))"),12384.0)</f>
        <v>12384</v>
      </c>
    </row>
    <row r="7970">
      <c r="A7970" s="9" t="s">
        <v>27105</v>
      </c>
      <c r="B7970" s="9" t="s">
        <v>27106</v>
      </c>
      <c r="G7970" s="9" t="s">
        <v>27107</v>
      </c>
      <c r="O7970" s="10">
        <f>IFERROR(__xludf.DUMMYFUNCTION("VALUE(REGEXEXTRACT(A7970, ""\d+""))"),12385.0)</f>
        <v>12385</v>
      </c>
    </row>
    <row r="7971">
      <c r="A7971" s="9" t="s">
        <v>27108</v>
      </c>
      <c r="B7971" s="9" t="s">
        <v>27109</v>
      </c>
      <c r="G7971" s="9" t="s">
        <v>27110</v>
      </c>
      <c r="O7971" s="10">
        <f>IFERROR(__xludf.DUMMYFUNCTION("VALUE(REGEXEXTRACT(A7971, ""\d+""))"),12386.0)</f>
        <v>12386</v>
      </c>
    </row>
    <row r="7972">
      <c r="A7972" s="9" t="s">
        <v>27111</v>
      </c>
      <c r="B7972" s="9" t="s">
        <v>27112</v>
      </c>
      <c r="G7972" s="9" t="s">
        <v>27113</v>
      </c>
      <c r="O7972" s="10">
        <f>IFERROR(__xludf.DUMMYFUNCTION("VALUE(REGEXEXTRACT(A7972, ""\d+""))"),12387.0)</f>
        <v>12387</v>
      </c>
    </row>
    <row r="7973">
      <c r="A7973" s="9" t="s">
        <v>27114</v>
      </c>
      <c r="B7973" s="9" t="s">
        <v>27115</v>
      </c>
      <c r="G7973" s="9" t="s">
        <v>27116</v>
      </c>
      <c r="O7973" s="10">
        <f>IFERROR(__xludf.DUMMYFUNCTION("VALUE(REGEXEXTRACT(A7973, ""\d+""))"),12388.0)</f>
        <v>12388</v>
      </c>
    </row>
    <row r="7974">
      <c r="A7974" s="9" t="s">
        <v>27117</v>
      </c>
      <c r="B7974" s="9" t="s">
        <v>27118</v>
      </c>
      <c r="G7974" s="9" t="s">
        <v>27119</v>
      </c>
      <c r="O7974" s="10">
        <f>IFERROR(__xludf.DUMMYFUNCTION("VALUE(REGEXEXTRACT(A7974, ""\d+""))"),12389.0)</f>
        <v>12389</v>
      </c>
    </row>
    <row r="7975">
      <c r="A7975" s="9" t="s">
        <v>27120</v>
      </c>
      <c r="B7975" s="9" t="s">
        <v>27121</v>
      </c>
      <c r="G7975" s="9" t="s">
        <v>27122</v>
      </c>
      <c r="O7975" s="10">
        <f>IFERROR(__xludf.DUMMYFUNCTION("VALUE(REGEXEXTRACT(A7975, ""\d+""))"),12390.0)</f>
        <v>12390</v>
      </c>
    </row>
    <row r="7976">
      <c r="A7976" s="9" t="s">
        <v>27123</v>
      </c>
      <c r="B7976" s="9" t="s">
        <v>27124</v>
      </c>
      <c r="G7976" s="9" t="s">
        <v>27125</v>
      </c>
      <c r="O7976" s="10">
        <f>IFERROR(__xludf.DUMMYFUNCTION("VALUE(REGEXEXTRACT(A7976, ""\d+""))"),12391.0)</f>
        <v>12391</v>
      </c>
    </row>
    <row r="7977">
      <c r="A7977" s="9" t="s">
        <v>27126</v>
      </c>
      <c r="B7977" s="9" t="s">
        <v>27127</v>
      </c>
      <c r="G7977" s="9" t="s">
        <v>27128</v>
      </c>
      <c r="O7977" s="10">
        <f>IFERROR(__xludf.DUMMYFUNCTION("VALUE(REGEXEXTRACT(A7977, ""\d+""))"),12392.0)</f>
        <v>12392</v>
      </c>
    </row>
    <row r="7978">
      <c r="A7978" s="9" t="s">
        <v>27129</v>
      </c>
      <c r="B7978" s="9" t="s">
        <v>27130</v>
      </c>
      <c r="G7978" s="9" t="s">
        <v>27131</v>
      </c>
      <c r="O7978" s="10">
        <f>IFERROR(__xludf.DUMMYFUNCTION("VALUE(REGEXEXTRACT(A7978, ""\d+""))"),12393.0)</f>
        <v>12393</v>
      </c>
    </row>
    <row r="7979">
      <c r="A7979" s="9" t="s">
        <v>27132</v>
      </c>
      <c r="B7979" s="9" t="s">
        <v>27133</v>
      </c>
      <c r="G7979" s="9" t="s">
        <v>27134</v>
      </c>
      <c r="O7979" s="10">
        <f>IFERROR(__xludf.DUMMYFUNCTION("VALUE(REGEXEXTRACT(A7979, ""\d+""))"),12394.0)</f>
        <v>12394</v>
      </c>
    </row>
    <row r="7980">
      <c r="A7980" s="9" t="s">
        <v>27135</v>
      </c>
      <c r="B7980" s="9" t="s">
        <v>27136</v>
      </c>
      <c r="G7980" s="9" t="s">
        <v>27137</v>
      </c>
      <c r="O7980" s="10">
        <f>IFERROR(__xludf.DUMMYFUNCTION("VALUE(REGEXEXTRACT(A7980, ""\d+""))"),12395.0)</f>
        <v>12395</v>
      </c>
    </row>
    <row r="7981">
      <c r="A7981" s="9" t="s">
        <v>27138</v>
      </c>
      <c r="B7981" s="9" t="s">
        <v>27139</v>
      </c>
      <c r="G7981" s="9" t="s">
        <v>27140</v>
      </c>
      <c r="O7981" s="10">
        <f>IFERROR(__xludf.DUMMYFUNCTION("VALUE(REGEXEXTRACT(A7981, ""\d+""))"),12396.0)</f>
        <v>12396</v>
      </c>
    </row>
    <row r="7982">
      <c r="A7982" s="9" t="s">
        <v>27141</v>
      </c>
      <c r="B7982" s="9" t="s">
        <v>27142</v>
      </c>
      <c r="G7982" s="9" t="s">
        <v>27143</v>
      </c>
      <c r="O7982" s="10">
        <f>IFERROR(__xludf.DUMMYFUNCTION("VALUE(REGEXEXTRACT(A7982, ""\d+""))"),12397.0)</f>
        <v>12397</v>
      </c>
    </row>
    <row r="7983">
      <c r="A7983" s="9" t="s">
        <v>27144</v>
      </c>
      <c r="B7983" s="9" t="s">
        <v>27145</v>
      </c>
      <c r="G7983" s="9" t="s">
        <v>27146</v>
      </c>
      <c r="O7983" s="10">
        <f>IFERROR(__xludf.DUMMYFUNCTION("VALUE(REGEXEXTRACT(A7983, ""\d+""))"),12398.0)</f>
        <v>12398</v>
      </c>
    </row>
    <row r="7984">
      <c r="A7984" s="9" t="s">
        <v>27147</v>
      </c>
      <c r="B7984" s="9" t="s">
        <v>27148</v>
      </c>
      <c r="G7984" s="9" t="s">
        <v>27149</v>
      </c>
      <c r="O7984" s="10">
        <f>IFERROR(__xludf.DUMMYFUNCTION("VALUE(REGEXEXTRACT(A7984, ""\d+""))"),12399.0)</f>
        <v>12399</v>
      </c>
    </row>
    <row r="7985">
      <c r="A7985" s="9" t="s">
        <v>27150</v>
      </c>
      <c r="B7985" s="9" t="s">
        <v>27151</v>
      </c>
      <c r="G7985" s="9" t="s">
        <v>27152</v>
      </c>
      <c r="O7985" s="10">
        <f>IFERROR(__xludf.DUMMYFUNCTION("VALUE(REGEXEXTRACT(A7985, ""\d+""))"),12400.0)</f>
        <v>12400</v>
      </c>
    </row>
    <row r="7986">
      <c r="A7986" s="9" t="s">
        <v>27153</v>
      </c>
      <c r="B7986" s="9" t="s">
        <v>27154</v>
      </c>
      <c r="G7986" s="9" t="s">
        <v>27155</v>
      </c>
      <c r="O7986" s="10">
        <f>IFERROR(__xludf.DUMMYFUNCTION("VALUE(REGEXEXTRACT(A7986, ""\d+""))"),12401.0)</f>
        <v>12401</v>
      </c>
    </row>
    <row r="7987">
      <c r="A7987" s="9" t="s">
        <v>27156</v>
      </c>
      <c r="B7987" s="9" t="s">
        <v>27157</v>
      </c>
      <c r="G7987" s="9" t="s">
        <v>27158</v>
      </c>
      <c r="O7987" s="10">
        <f>IFERROR(__xludf.DUMMYFUNCTION("VALUE(REGEXEXTRACT(A7987, ""\d+""))"),12402.0)</f>
        <v>12402</v>
      </c>
    </row>
    <row r="7988">
      <c r="A7988" s="9" t="s">
        <v>27159</v>
      </c>
      <c r="B7988" s="9" t="s">
        <v>27160</v>
      </c>
      <c r="G7988" s="9" t="s">
        <v>27161</v>
      </c>
      <c r="O7988" s="10">
        <f>IFERROR(__xludf.DUMMYFUNCTION("VALUE(REGEXEXTRACT(A7988, ""\d+""))"),12403.0)</f>
        <v>12403</v>
      </c>
    </row>
    <row r="7989">
      <c r="A7989" s="9" t="s">
        <v>27162</v>
      </c>
      <c r="B7989" s="9" t="s">
        <v>27163</v>
      </c>
      <c r="G7989" s="9" t="s">
        <v>27164</v>
      </c>
      <c r="O7989" s="10">
        <f>IFERROR(__xludf.DUMMYFUNCTION("VALUE(REGEXEXTRACT(A7989, ""\d+""))"),12404.0)</f>
        <v>12404</v>
      </c>
    </row>
    <row r="7990">
      <c r="A7990" s="9" t="s">
        <v>27165</v>
      </c>
      <c r="B7990" s="9" t="s">
        <v>27166</v>
      </c>
      <c r="G7990" s="9" t="s">
        <v>27167</v>
      </c>
      <c r="O7990" s="10">
        <f>IFERROR(__xludf.DUMMYFUNCTION("VALUE(REGEXEXTRACT(A7990, ""\d+""))"),12405.0)</f>
        <v>12405</v>
      </c>
    </row>
    <row r="7991">
      <c r="A7991" s="9" t="s">
        <v>27168</v>
      </c>
      <c r="B7991" s="9" t="s">
        <v>27169</v>
      </c>
      <c r="G7991" s="9" t="s">
        <v>27170</v>
      </c>
      <c r="O7991" s="10">
        <f>IFERROR(__xludf.DUMMYFUNCTION("VALUE(REGEXEXTRACT(A7991, ""\d+""))"),12406.0)</f>
        <v>12406</v>
      </c>
    </row>
    <row r="7992">
      <c r="A7992" s="9" t="s">
        <v>27171</v>
      </c>
      <c r="B7992" s="9" t="s">
        <v>27172</v>
      </c>
      <c r="G7992" s="9" t="s">
        <v>27173</v>
      </c>
      <c r="O7992" s="10">
        <f>IFERROR(__xludf.DUMMYFUNCTION("VALUE(REGEXEXTRACT(A7992, ""\d+""))"),12407.0)</f>
        <v>12407</v>
      </c>
    </row>
    <row r="7993">
      <c r="A7993" s="9" t="s">
        <v>27174</v>
      </c>
      <c r="B7993" s="9" t="s">
        <v>27175</v>
      </c>
      <c r="G7993" s="9" t="s">
        <v>27158</v>
      </c>
      <c r="O7993" s="10">
        <f>IFERROR(__xludf.DUMMYFUNCTION("VALUE(REGEXEXTRACT(A7993, ""\d+""))"),12408.0)</f>
        <v>12408</v>
      </c>
    </row>
    <row r="7994">
      <c r="A7994" s="9" t="s">
        <v>27176</v>
      </c>
      <c r="B7994" s="9" t="s">
        <v>27177</v>
      </c>
      <c r="G7994" s="9" t="s">
        <v>27178</v>
      </c>
      <c r="O7994" s="10">
        <f>IFERROR(__xludf.DUMMYFUNCTION("VALUE(REGEXEXTRACT(A7994, ""\d+""))"),12409.0)</f>
        <v>12409</v>
      </c>
    </row>
    <row r="7995">
      <c r="A7995" s="9" t="s">
        <v>27179</v>
      </c>
      <c r="B7995" s="9" t="s">
        <v>27180</v>
      </c>
      <c r="G7995" s="9" t="s">
        <v>27164</v>
      </c>
      <c r="O7995" s="10">
        <f>IFERROR(__xludf.DUMMYFUNCTION("VALUE(REGEXEXTRACT(A7995, ""\d+""))"),12410.0)</f>
        <v>12410</v>
      </c>
    </row>
    <row r="7996">
      <c r="A7996" s="9" t="s">
        <v>27181</v>
      </c>
      <c r="B7996" s="9" t="s">
        <v>27182</v>
      </c>
      <c r="G7996" s="9" t="s">
        <v>27167</v>
      </c>
      <c r="O7996" s="10">
        <f>IFERROR(__xludf.DUMMYFUNCTION("VALUE(REGEXEXTRACT(A7996, ""\d+""))"),12411.0)</f>
        <v>12411</v>
      </c>
    </row>
    <row r="7997">
      <c r="A7997" s="9" t="s">
        <v>27183</v>
      </c>
      <c r="B7997" s="9" t="s">
        <v>27184</v>
      </c>
      <c r="G7997" s="9" t="s">
        <v>27170</v>
      </c>
      <c r="O7997" s="10">
        <f>IFERROR(__xludf.DUMMYFUNCTION("VALUE(REGEXEXTRACT(A7997, ""\d+""))"),12412.0)</f>
        <v>12412</v>
      </c>
    </row>
    <row r="7998">
      <c r="A7998" s="9" t="s">
        <v>27185</v>
      </c>
      <c r="B7998" s="9" t="s">
        <v>27186</v>
      </c>
      <c r="G7998" s="9" t="s">
        <v>27187</v>
      </c>
      <c r="O7998" s="10">
        <f>IFERROR(__xludf.DUMMYFUNCTION("VALUE(REGEXEXTRACT(A7998, ""\d+""))"),12413.0)</f>
        <v>12413</v>
      </c>
    </row>
    <row r="7999">
      <c r="A7999" s="9" t="s">
        <v>27188</v>
      </c>
      <c r="B7999" s="9" t="s">
        <v>27189</v>
      </c>
      <c r="G7999" s="9" t="s">
        <v>27190</v>
      </c>
      <c r="O7999" s="10">
        <f>IFERROR(__xludf.DUMMYFUNCTION("VALUE(REGEXEXTRACT(A7999, ""\d+""))"),12414.0)</f>
        <v>12414</v>
      </c>
    </row>
    <row r="8000">
      <c r="A8000" s="9" t="s">
        <v>27191</v>
      </c>
      <c r="B8000" s="9" t="s">
        <v>27192</v>
      </c>
      <c r="G8000" s="9" t="s">
        <v>27193</v>
      </c>
      <c r="O8000" s="10">
        <f>IFERROR(__xludf.DUMMYFUNCTION("VALUE(REGEXEXTRACT(A8000, ""\d+""))"),12415.0)</f>
        <v>12415</v>
      </c>
    </row>
    <row r="8001">
      <c r="A8001" s="9" t="s">
        <v>27194</v>
      </c>
      <c r="B8001" s="9" t="s">
        <v>27195</v>
      </c>
      <c r="G8001" s="9" t="s">
        <v>27196</v>
      </c>
      <c r="O8001" s="10">
        <f>IFERROR(__xludf.DUMMYFUNCTION("VALUE(REGEXEXTRACT(A8001, ""\d+""))"),12416.0)</f>
        <v>12416</v>
      </c>
    </row>
    <row r="8002">
      <c r="A8002" s="9" t="s">
        <v>27197</v>
      </c>
      <c r="B8002" s="9" t="s">
        <v>27198</v>
      </c>
      <c r="G8002" s="9" t="s">
        <v>27199</v>
      </c>
      <c r="O8002" s="10">
        <f>IFERROR(__xludf.DUMMYFUNCTION("VALUE(REGEXEXTRACT(A8002, ""\d+""))"),12417.0)</f>
        <v>12417</v>
      </c>
    </row>
    <row r="8003">
      <c r="A8003" s="9" t="s">
        <v>27200</v>
      </c>
      <c r="B8003" s="9" t="s">
        <v>27201</v>
      </c>
      <c r="G8003" s="9" t="s">
        <v>27202</v>
      </c>
      <c r="O8003" s="10">
        <f>IFERROR(__xludf.DUMMYFUNCTION("VALUE(REGEXEXTRACT(A8003, ""\d+""))"),12418.0)</f>
        <v>12418</v>
      </c>
    </row>
    <row r="8004">
      <c r="A8004" s="9" t="s">
        <v>27203</v>
      </c>
      <c r="B8004" s="9" t="s">
        <v>27204</v>
      </c>
      <c r="G8004" s="9" t="s">
        <v>27204</v>
      </c>
      <c r="O8004" s="10">
        <f>IFERROR(__xludf.DUMMYFUNCTION("VALUE(REGEXEXTRACT(A8004, ""\d+""))"),12419.0)</f>
        <v>12419</v>
      </c>
    </row>
    <row r="8005">
      <c r="A8005" s="9" t="s">
        <v>27205</v>
      </c>
      <c r="B8005" s="9" t="s">
        <v>27206</v>
      </c>
      <c r="G8005" s="9" t="s">
        <v>27207</v>
      </c>
      <c r="O8005" s="10">
        <f>IFERROR(__xludf.DUMMYFUNCTION("VALUE(REGEXEXTRACT(A8005, ""\d+""))"),12420.0)</f>
        <v>12420</v>
      </c>
    </row>
    <row r="8006">
      <c r="A8006" s="9" t="s">
        <v>27208</v>
      </c>
      <c r="B8006" s="9" t="s">
        <v>27209</v>
      </c>
      <c r="G8006" s="9" t="s">
        <v>27210</v>
      </c>
      <c r="O8006" s="10">
        <f>IFERROR(__xludf.DUMMYFUNCTION("VALUE(REGEXEXTRACT(A8006, ""\d+""))"),12421.0)</f>
        <v>12421</v>
      </c>
    </row>
    <row r="8007">
      <c r="A8007" s="9" t="s">
        <v>27211</v>
      </c>
      <c r="B8007" s="9" t="s">
        <v>27212</v>
      </c>
      <c r="G8007" s="9" t="s">
        <v>27213</v>
      </c>
      <c r="O8007" s="10">
        <f>IFERROR(__xludf.DUMMYFUNCTION("VALUE(REGEXEXTRACT(A8007, ""\d+""))"),12422.0)</f>
        <v>12422</v>
      </c>
    </row>
    <row r="8008">
      <c r="A8008" s="9" t="s">
        <v>27214</v>
      </c>
      <c r="B8008" s="9" t="s">
        <v>27215</v>
      </c>
      <c r="G8008" s="9" t="s">
        <v>27216</v>
      </c>
      <c r="O8008" s="10">
        <f>IFERROR(__xludf.DUMMYFUNCTION("VALUE(REGEXEXTRACT(A8008, ""\d+""))"),12423.0)</f>
        <v>12423</v>
      </c>
    </row>
    <row r="8009">
      <c r="A8009" s="9" t="s">
        <v>27217</v>
      </c>
      <c r="B8009" s="9" t="s">
        <v>27218</v>
      </c>
      <c r="G8009" s="9" t="s">
        <v>27219</v>
      </c>
      <c r="O8009" s="10">
        <f>IFERROR(__xludf.DUMMYFUNCTION("VALUE(REGEXEXTRACT(A8009, ""\d+""))"),12424.0)</f>
        <v>12424</v>
      </c>
    </row>
    <row r="8010">
      <c r="A8010" s="9" t="s">
        <v>27220</v>
      </c>
      <c r="B8010" s="9" t="s">
        <v>27221</v>
      </c>
      <c r="G8010" s="9" t="s">
        <v>27222</v>
      </c>
      <c r="O8010" s="10">
        <f>IFERROR(__xludf.DUMMYFUNCTION("VALUE(REGEXEXTRACT(A8010, ""\d+""))"),12426.0)</f>
        <v>12426</v>
      </c>
    </row>
    <row r="8011">
      <c r="A8011" s="9" t="s">
        <v>27223</v>
      </c>
      <c r="B8011" s="9" t="s">
        <v>27224</v>
      </c>
      <c r="G8011" s="9" t="s">
        <v>27225</v>
      </c>
      <c r="O8011" s="10">
        <f>IFERROR(__xludf.DUMMYFUNCTION("VALUE(REGEXEXTRACT(A8011, ""\d+""))"),12427.0)</f>
        <v>12427</v>
      </c>
    </row>
    <row r="8012">
      <c r="A8012" s="9" t="s">
        <v>27226</v>
      </c>
      <c r="B8012" s="9" t="s">
        <v>27227</v>
      </c>
      <c r="G8012" s="9" t="s">
        <v>27227</v>
      </c>
      <c r="O8012" s="10">
        <f>IFERROR(__xludf.DUMMYFUNCTION("VALUE(REGEXEXTRACT(A8012, ""\d+""))"),12429.0)</f>
        <v>12429</v>
      </c>
    </row>
    <row r="8013">
      <c r="A8013" s="9" t="s">
        <v>27228</v>
      </c>
      <c r="B8013" s="9" t="s">
        <v>27229</v>
      </c>
      <c r="G8013" s="9" t="s">
        <v>27230</v>
      </c>
      <c r="O8013" s="10">
        <f>IFERROR(__xludf.DUMMYFUNCTION("VALUE(REGEXEXTRACT(A8013, ""\d+""))"),12430.0)</f>
        <v>12430</v>
      </c>
    </row>
    <row r="8014">
      <c r="A8014" s="9" t="s">
        <v>27231</v>
      </c>
      <c r="B8014" s="9" t="s">
        <v>27232</v>
      </c>
      <c r="G8014" s="9" t="s">
        <v>27233</v>
      </c>
      <c r="O8014" s="10">
        <f>IFERROR(__xludf.DUMMYFUNCTION("VALUE(REGEXEXTRACT(A8014, ""\d+""))"),12431.0)</f>
        <v>12431</v>
      </c>
    </row>
    <row r="8015">
      <c r="A8015" s="9" t="s">
        <v>27234</v>
      </c>
      <c r="B8015" s="9" t="s">
        <v>27235</v>
      </c>
      <c r="G8015" s="9" t="s">
        <v>27236</v>
      </c>
      <c r="O8015" s="10">
        <f>IFERROR(__xludf.DUMMYFUNCTION("VALUE(REGEXEXTRACT(A8015, ""\d+""))"),12432.0)</f>
        <v>12432</v>
      </c>
    </row>
    <row r="8016">
      <c r="A8016" s="9" t="s">
        <v>27237</v>
      </c>
      <c r="B8016" s="9" t="s">
        <v>27238</v>
      </c>
      <c r="G8016" s="9" t="s">
        <v>27239</v>
      </c>
      <c r="O8016" s="10">
        <f>IFERROR(__xludf.DUMMYFUNCTION("VALUE(REGEXEXTRACT(A8016, ""\d+""))"),12433.0)</f>
        <v>12433</v>
      </c>
    </row>
    <row r="8017">
      <c r="A8017" s="9" t="s">
        <v>27240</v>
      </c>
      <c r="B8017" s="9" t="s">
        <v>27241</v>
      </c>
      <c r="G8017" s="9" t="s">
        <v>27242</v>
      </c>
      <c r="O8017" s="10">
        <f>IFERROR(__xludf.DUMMYFUNCTION("VALUE(REGEXEXTRACT(A8017, ""\d+""))"),12434.0)</f>
        <v>12434</v>
      </c>
    </row>
    <row r="8018">
      <c r="A8018" s="9" t="s">
        <v>27243</v>
      </c>
      <c r="B8018" s="9" t="s">
        <v>27244</v>
      </c>
      <c r="G8018" s="9" t="s">
        <v>27245</v>
      </c>
      <c r="O8018" s="10">
        <f>IFERROR(__xludf.DUMMYFUNCTION("VALUE(REGEXEXTRACT(A8018, ""\d+""))"),12435.0)</f>
        <v>12435</v>
      </c>
    </row>
    <row r="8019">
      <c r="A8019" s="9" t="s">
        <v>27246</v>
      </c>
      <c r="B8019" s="9" t="s">
        <v>27247</v>
      </c>
      <c r="G8019" s="9" t="s">
        <v>27248</v>
      </c>
      <c r="O8019" s="10">
        <f>IFERROR(__xludf.DUMMYFUNCTION("VALUE(REGEXEXTRACT(A8019, ""\d+""))"),12436.0)</f>
        <v>12436</v>
      </c>
    </row>
    <row r="8020">
      <c r="A8020" s="9" t="s">
        <v>27249</v>
      </c>
      <c r="B8020" s="9" t="s">
        <v>27250</v>
      </c>
      <c r="G8020" s="9" t="s">
        <v>27251</v>
      </c>
      <c r="O8020" s="10">
        <f>IFERROR(__xludf.DUMMYFUNCTION("VALUE(REGEXEXTRACT(A8020, ""\d+""))"),12437.0)</f>
        <v>12437</v>
      </c>
    </row>
    <row r="8021">
      <c r="A8021" s="9" t="s">
        <v>27252</v>
      </c>
      <c r="B8021" s="9" t="s">
        <v>27253</v>
      </c>
      <c r="G8021" s="9" t="s">
        <v>27254</v>
      </c>
      <c r="O8021" s="10">
        <f>IFERROR(__xludf.DUMMYFUNCTION("VALUE(REGEXEXTRACT(A8021, ""\d+""))"),12438.0)</f>
        <v>12438</v>
      </c>
    </row>
    <row r="8022">
      <c r="A8022" s="9" t="s">
        <v>27255</v>
      </c>
      <c r="B8022" s="9" t="s">
        <v>27256</v>
      </c>
      <c r="G8022" s="9" t="s">
        <v>27257</v>
      </c>
      <c r="O8022" s="10">
        <f>IFERROR(__xludf.DUMMYFUNCTION("VALUE(REGEXEXTRACT(A8022, ""\d+""))"),12439.0)</f>
        <v>12439</v>
      </c>
    </row>
    <row r="8023">
      <c r="A8023" s="9" t="s">
        <v>27258</v>
      </c>
      <c r="B8023" s="9" t="s">
        <v>27259</v>
      </c>
      <c r="G8023" s="9" t="s">
        <v>27260</v>
      </c>
      <c r="O8023" s="10">
        <f>IFERROR(__xludf.DUMMYFUNCTION("VALUE(REGEXEXTRACT(A8023, ""\d+""))"),12440.0)</f>
        <v>12440</v>
      </c>
    </row>
    <row r="8024">
      <c r="A8024" s="9" t="s">
        <v>27261</v>
      </c>
      <c r="B8024" s="9" t="s">
        <v>27262</v>
      </c>
      <c r="G8024" s="9" t="s">
        <v>27263</v>
      </c>
      <c r="O8024" s="10">
        <f>IFERROR(__xludf.DUMMYFUNCTION("VALUE(REGEXEXTRACT(A8024, ""\d+""))"),12441.0)</f>
        <v>12441</v>
      </c>
    </row>
    <row r="8025">
      <c r="A8025" s="9" t="s">
        <v>27264</v>
      </c>
      <c r="B8025" s="9" t="s">
        <v>27265</v>
      </c>
      <c r="G8025" s="9" t="s">
        <v>27266</v>
      </c>
      <c r="O8025" s="10">
        <f>IFERROR(__xludf.DUMMYFUNCTION("VALUE(REGEXEXTRACT(A8025, ""\d+""))"),12442.0)</f>
        <v>12442</v>
      </c>
    </row>
    <row r="8026">
      <c r="A8026" s="9" t="s">
        <v>27267</v>
      </c>
      <c r="B8026" s="9" t="s">
        <v>27268</v>
      </c>
      <c r="G8026" s="9" t="s">
        <v>27269</v>
      </c>
      <c r="O8026" s="10">
        <f>IFERROR(__xludf.DUMMYFUNCTION("VALUE(REGEXEXTRACT(A8026, ""\d+""))"),12443.0)</f>
        <v>12443</v>
      </c>
    </row>
    <row r="8027">
      <c r="A8027" s="9" t="s">
        <v>27270</v>
      </c>
      <c r="B8027" s="9" t="s">
        <v>27271</v>
      </c>
      <c r="G8027" s="9" t="s">
        <v>27272</v>
      </c>
      <c r="O8027" s="10">
        <f>IFERROR(__xludf.DUMMYFUNCTION("VALUE(REGEXEXTRACT(A8027, ""\d+""))"),12444.0)</f>
        <v>12444</v>
      </c>
    </row>
    <row r="8028">
      <c r="A8028" s="9" t="s">
        <v>27273</v>
      </c>
      <c r="B8028" s="9" t="s">
        <v>27274</v>
      </c>
      <c r="G8028" s="9" t="s">
        <v>27275</v>
      </c>
      <c r="O8028" s="10">
        <f>IFERROR(__xludf.DUMMYFUNCTION("VALUE(REGEXEXTRACT(A8028, ""\d+""))"),12445.0)</f>
        <v>12445</v>
      </c>
    </row>
    <row r="8029">
      <c r="A8029" s="9" t="s">
        <v>27276</v>
      </c>
      <c r="B8029" s="9" t="s">
        <v>27277</v>
      </c>
      <c r="G8029" s="9" t="s">
        <v>27278</v>
      </c>
      <c r="O8029" s="10">
        <f>IFERROR(__xludf.DUMMYFUNCTION("VALUE(REGEXEXTRACT(A8029, ""\d+""))"),12446.0)</f>
        <v>12446</v>
      </c>
    </row>
    <row r="8030">
      <c r="A8030" s="9" t="s">
        <v>27279</v>
      </c>
      <c r="B8030" s="9" t="s">
        <v>27280</v>
      </c>
      <c r="G8030" s="9" t="s">
        <v>27281</v>
      </c>
      <c r="O8030" s="10">
        <f>IFERROR(__xludf.DUMMYFUNCTION("VALUE(REGEXEXTRACT(A8030, ""\d+""))"),12447.0)</f>
        <v>12447</v>
      </c>
    </row>
    <row r="8031">
      <c r="A8031" s="9" t="s">
        <v>27282</v>
      </c>
      <c r="B8031" s="9" t="s">
        <v>27283</v>
      </c>
      <c r="G8031" s="9" t="s">
        <v>27284</v>
      </c>
      <c r="O8031" s="10">
        <f>IFERROR(__xludf.DUMMYFUNCTION("VALUE(REGEXEXTRACT(A8031, ""\d+""))"),12448.0)</f>
        <v>12448</v>
      </c>
    </row>
    <row r="8032">
      <c r="A8032" s="9" t="s">
        <v>27285</v>
      </c>
      <c r="B8032" s="9" t="s">
        <v>27286</v>
      </c>
      <c r="G8032" s="9" t="s">
        <v>27287</v>
      </c>
      <c r="O8032" s="10">
        <f>IFERROR(__xludf.DUMMYFUNCTION("VALUE(REGEXEXTRACT(A8032, ""\d+""))"),12449.0)</f>
        <v>12449</v>
      </c>
    </row>
    <row r="8033">
      <c r="A8033" s="9" t="s">
        <v>27288</v>
      </c>
      <c r="B8033" s="9" t="s">
        <v>27289</v>
      </c>
      <c r="G8033" s="9" t="s">
        <v>27290</v>
      </c>
      <c r="O8033" s="10">
        <f>IFERROR(__xludf.DUMMYFUNCTION("VALUE(REGEXEXTRACT(A8033, ""\d+""))"),12450.0)</f>
        <v>12450</v>
      </c>
    </row>
    <row r="8034">
      <c r="A8034" s="9" t="s">
        <v>27291</v>
      </c>
      <c r="B8034" s="9" t="s">
        <v>27292</v>
      </c>
      <c r="G8034" s="9" t="s">
        <v>27293</v>
      </c>
      <c r="O8034" s="10">
        <f>IFERROR(__xludf.DUMMYFUNCTION("VALUE(REGEXEXTRACT(A8034, ""\d+""))"),12451.0)</f>
        <v>12451</v>
      </c>
    </row>
    <row r="8035">
      <c r="A8035" s="9" t="s">
        <v>27294</v>
      </c>
      <c r="B8035" s="9" t="s">
        <v>27295</v>
      </c>
      <c r="G8035" s="9" t="s">
        <v>27296</v>
      </c>
      <c r="O8035" s="10">
        <f>IFERROR(__xludf.DUMMYFUNCTION("VALUE(REGEXEXTRACT(A8035, ""\d+""))"),12452.0)</f>
        <v>12452</v>
      </c>
    </row>
    <row r="8036">
      <c r="A8036" s="9" t="s">
        <v>27297</v>
      </c>
      <c r="B8036" s="9" t="s">
        <v>27298</v>
      </c>
      <c r="G8036" s="9" t="s">
        <v>27299</v>
      </c>
      <c r="O8036" s="10">
        <f>IFERROR(__xludf.DUMMYFUNCTION("VALUE(REGEXEXTRACT(A8036, ""\d+""))"),12453.0)</f>
        <v>12453</v>
      </c>
    </row>
    <row r="8037">
      <c r="A8037" s="9" t="s">
        <v>27300</v>
      </c>
      <c r="B8037" s="9" t="s">
        <v>27301</v>
      </c>
      <c r="G8037" s="9" t="s">
        <v>27302</v>
      </c>
      <c r="O8037" s="10">
        <f>IFERROR(__xludf.DUMMYFUNCTION("VALUE(REGEXEXTRACT(A8037, ""\d+""))"),12454.0)</f>
        <v>12454</v>
      </c>
    </row>
    <row r="8038">
      <c r="A8038" s="9" t="s">
        <v>27303</v>
      </c>
      <c r="B8038" s="9" t="s">
        <v>27304</v>
      </c>
      <c r="G8038" s="9" t="s">
        <v>27305</v>
      </c>
      <c r="O8038" s="10">
        <f>IFERROR(__xludf.DUMMYFUNCTION("VALUE(REGEXEXTRACT(A8038, ""\d+""))"),12455.0)</f>
        <v>12455</v>
      </c>
    </row>
    <row r="8039">
      <c r="A8039" s="9" t="s">
        <v>27306</v>
      </c>
      <c r="B8039" s="9" t="s">
        <v>27307</v>
      </c>
      <c r="G8039" s="9" t="s">
        <v>27308</v>
      </c>
      <c r="O8039" s="10">
        <f>IFERROR(__xludf.DUMMYFUNCTION("VALUE(REGEXEXTRACT(A8039, ""\d+""))"),12456.0)</f>
        <v>12456</v>
      </c>
    </row>
    <row r="8040">
      <c r="A8040" s="9" t="s">
        <v>27309</v>
      </c>
      <c r="B8040" s="9" t="s">
        <v>27310</v>
      </c>
      <c r="G8040" s="9" t="s">
        <v>27311</v>
      </c>
      <c r="O8040" s="10">
        <f>IFERROR(__xludf.DUMMYFUNCTION("VALUE(REGEXEXTRACT(A8040, ""\d+""))"),12457.0)</f>
        <v>12457</v>
      </c>
    </row>
    <row r="8041">
      <c r="A8041" s="9" t="s">
        <v>27312</v>
      </c>
      <c r="B8041" s="9" t="s">
        <v>27313</v>
      </c>
      <c r="G8041" s="9" t="s">
        <v>27314</v>
      </c>
      <c r="O8041" s="10">
        <f>IFERROR(__xludf.DUMMYFUNCTION("VALUE(REGEXEXTRACT(A8041, ""\d+""))"),12459.0)</f>
        <v>12459</v>
      </c>
    </row>
    <row r="8042">
      <c r="A8042" s="9" t="s">
        <v>27315</v>
      </c>
      <c r="B8042" s="9" t="s">
        <v>27316</v>
      </c>
      <c r="G8042" s="9" t="s">
        <v>27317</v>
      </c>
      <c r="O8042" s="10">
        <f>IFERROR(__xludf.DUMMYFUNCTION("VALUE(REGEXEXTRACT(A8042, ""\d+""))"),12460.0)</f>
        <v>12460</v>
      </c>
    </row>
    <row r="8043">
      <c r="A8043" s="9" t="s">
        <v>27318</v>
      </c>
      <c r="B8043" s="9" t="s">
        <v>27319</v>
      </c>
      <c r="G8043" s="9" t="s">
        <v>27320</v>
      </c>
      <c r="O8043" s="10">
        <f>IFERROR(__xludf.DUMMYFUNCTION("VALUE(REGEXEXTRACT(A8043, ""\d+""))"),12461.0)</f>
        <v>12461</v>
      </c>
    </row>
    <row r="8044">
      <c r="A8044" s="9" t="s">
        <v>27321</v>
      </c>
      <c r="B8044" s="9" t="s">
        <v>27322</v>
      </c>
      <c r="G8044" s="9" t="s">
        <v>27323</v>
      </c>
      <c r="O8044" s="10">
        <f>IFERROR(__xludf.DUMMYFUNCTION("VALUE(REGEXEXTRACT(A8044, ""\d+""))"),12462.0)</f>
        <v>12462</v>
      </c>
    </row>
    <row r="8045">
      <c r="A8045" s="9" t="s">
        <v>27324</v>
      </c>
      <c r="B8045" s="9" t="s">
        <v>27325</v>
      </c>
      <c r="G8045" s="9" t="s">
        <v>27326</v>
      </c>
      <c r="O8045" s="10">
        <f>IFERROR(__xludf.DUMMYFUNCTION("VALUE(REGEXEXTRACT(A8045, ""\d+""))"),12463.0)</f>
        <v>12463</v>
      </c>
    </row>
    <row r="8046">
      <c r="A8046" s="9" t="s">
        <v>27327</v>
      </c>
      <c r="B8046" s="9" t="s">
        <v>27328</v>
      </c>
      <c r="G8046" s="9" t="s">
        <v>27329</v>
      </c>
      <c r="O8046" s="10">
        <f>IFERROR(__xludf.DUMMYFUNCTION("VALUE(REGEXEXTRACT(A8046, ""\d+""))"),12464.0)</f>
        <v>12464</v>
      </c>
    </row>
    <row r="8047">
      <c r="A8047" s="9" t="s">
        <v>27330</v>
      </c>
      <c r="B8047" s="9" t="s">
        <v>27331</v>
      </c>
      <c r="G8047" s="9" t="s">
        <v>27332</v>
      </c>
      <c r="O8047" s="10">
        <f>IFERROR(__xludf.DUMMYFUNCTION("VALUE(REGEXEXTRACT(A8047, ""\d+""))"),12465.0)</f>
        <v>12465</v>
      </c>
    </row>
    <row r="8048">
      <c r="A8048" s="9" t="s">
        <v>27333</v>
      </c>
      <c r="B8048" s="9" t="s">
        <v>27334</v>
      </c>
      <c r="G8048" s="9" t="s">
        <v>27335</v>
      </c>
      <c r="O8048" s="10">
        <f>IFERROR(__xludf.DUMMYFUNCTION("VALUE(REGEXEXTRACT(A8048, ""\d+""))"),12466.0)</f>
        <v>12466</v>
      </c>
    </row>
    <row r="8049">
      <c r="A8049" s="9" t="s">
        <v>27336</v>
      </c>
      <c r="B8049" s="9" t="s">
        <v>27337</v>
      </c>
      <c r="G8049" s="9" t="s">
        <v>27338</v>
      </c>
      <c r="O8049" s="10">
        <f>IFERROR(__xludf.DUMMYFUNCTION("VALUE(REGEXEXTRACT(A8049, ""\d+""))"),12467.0)</f>
        <v>12467</v>
      </c>
    </row>
    <row r="8050">
      <c r="A8050" s="9" t="s">
        <v>27339</v>
      </c>
      <c r="B8050" s="9" t="s">
        <v>27340</v>
      </c>
      <c r="G8050" s="9" t="s">
        <v>27341</v>
      </c>
      <c r="O8050" s="10">
        <f>IFERROR(__xludf.DUMMYFUNCTION("VALUE(REGEXEXTRACT(A8050, ""\d+""))"),12468.0)</f>
        <v>12468</v>
      </c>
    </row>
    <row r="8051">
      <c r="A8051" s="9" t="s">
        <v>27342</v>
      </c>
      <c r="B8051" s="9" t="s">
        <v>27343</v>
      </c>
      <c r="G8051" s="9" t="s">
        <v>27344</v>
      </c>
      <c r="O8051" s="10">
        <f>IFERROR(__xludf.DUMMYFUNCTION("VALUE(REGEXEXTRACT(A8051, ""\d+""))"),12469.0)</f>
        <v>12469</v>
      </c>
    </row>
    <row r="8052">
      <c r="A8052" s="9" t="s">
        <v>27345</v>
      </c>
      <c r="B8052" s="9" t="s">
        <v>27346</v>
      </c>
      <c r="G8052" s="9" t="s">
        <v>27347</v>
      </c>
      <c r="O8052" s="10">
        <f>IFERROR(__xludf.DUMMYFUNCTION("VALUE(REGEXEXTRACT(A8052, ""\d+""))"),12470.0)</f>
        <v>12470</v>
      </c>
    </row>
    <row r="8053">
      <c r="A8053" s="9" t="s">
        <v>27348</v>
      </c>
      <c r="B8053" s="9" t="s">
        <v>27349</v>
      </c>
      <c r="G8053" s="9" t="s">
        <v>27350</v>
      </c>
      <c r="O8053" s="10">
        <f>IFERROR(__xludf.DUMMYFUNCTION("VALUE(REGEXEXTRACT(A8053, ""\d+""))"),12471.0)</f>
        <v>12471</v>
      </c>
    </row>
    <row r="8054">
      <c r="A8054" s="9" t="s">
        <v>27351</v>
      </c>
      <c r="B8054" s="9" t="s">
        <v>27352</v>
      </c>
      <c r="G8054" s="9" t="s">
        <v>27353</v>
      </c>
      <c r="O8054" s="10">
        <f>IFERROR(__xludf.DUMMYFUNCTION("VALUE(REGEXEXTRACT(A8054, ""\d+""))"),12472.0)</f>
        <v>12472</v>
      </c>
    </row>
    <row r="8055">
      <c r="A8055" s="9" t="s">
        <v>27354</v>
      </c>
      <c r="B8055" s="9" t="s">
        <v>27355</v>
      </c>
      <c r="G8055" s="9" t="s">
        <v>27356</v>
      </c>
      <c r="O8055" s="10">
        <f>IFERROR(__xludf.DUMMYFUNCTION("VALUE(REGEXEXTRACT(A8055, ""\d+""))"),12477.0)</f>
        <v>12477</v>
      </c>
    </row>
    <row r="8056">
      <c r="A8056" s="9" t="s">
        <v>27357</v>
      </c>
      <c r="B8056" s="9" t="s">
        <v>27358</v>
      </c>
      <c r="G8056" s="9" t="s">
        <v>27359</v>
      </c>
      <c r="O8056" s="10">
        <f>IFERROR(__xludf.DUMMYFUNCTION("VALUE(REGEXEXTRACT(A8056, ""\d+""))"),12478.0)</f>
        <v>12478</v>
      </c>
    </row>
    <row r="8057">
      <c r="A8057" s="9" t="s">
        <v>27360</v>
      </c>
      <c r="B8057" s="9" t="s">
        <v>27361</v>
      </c>
      <c r="G8057" s="9" t="s">
        <v>27362</v>
      </c>
      <c r="O8057" s="10">
        <f>IFERROR(__xludf.DUMMYFUNCTION("VALUE(REGEXEXTRACT(A8057, ""\d+""))"),12479.0)</f>
        <v>12479</v>
      </c>
    </row>
    <row r="8058">
      <c r="A8058" s="9" t="s">
        <v>27363</v>
      </c>
      <c r="B8058" s="9" t="s">
        <v>27364</v>
      </c>
      <c r="G8058" s="9" t="s">
        <v>27365</v>
      </c>
      <c r="O8058" s="10">
        <f>IFERROR(__xludf.DUMMYFUNCTION("VALUE(REGEXEXTRACT(A8058, ""\d+""))"),12480.0)</f>
        <v>12480</v>
      </c>
    </row>
    <row r="8059">
      <c r="A8059" s="9" t="s">
        <v>27366</v>
      </c>
      <c r="B8059" s="9" t="s">
        <v>27367</v>
      </c>
      <c r="G8059" s="9" t="s">
        <v>27368</v>
      </c>
      <c r="O8059" s="10">
        <f>IFERROR(__xludf.DUMMYFUNCTION("VALUE(REGEXEXTRACT(A8059, ""\d+""))"),12481.0)</f>
        <v>12481</v>
      </c>
    </row>
    <row r="8060">
      <c r="A8060" s="9" t="s">
        <v>27369</v>
      </c>
      <c r="B8060" s="9" t="s">
        <v>27370</v>
      </c>
      <c r="G8060" s="9" t="s">
        <v>27371</v>
      </c>
      <c r="O8060" s="10">
        <f>IFERROR(__xludf.DUMMYFUNCTION("VALUE(REGEXEXTRACT(A8060, ""\d+""))"),12482.0)</f>
        <v>12482</v>
      </c>
    </row>
    <row r="8061">
      <c r="A8061" s="9" t="s">
        <v>27372</v>
      </c>
      <c r="B8061" s="9" t="s">
        <v>27373</v>
      </c>
      <c r="G8061" s="9" t="s">
        <v>27374</v>
      </c>
      <c r="O8061" s="10">
        <f>IFERROR(__xludf.DUMMYFUNCTION("VALUE(REGEXEXTRACT(A8061, ""\d+""))"),12483.0)</f>
        <v>12483</v>
      </c>
    </row>
    <row r="8062">
      <c r="A8062" s="9" t="s">
        <v>27375</v>
      </c>
      <c r="B8062" s="9" t="s">
        <v>27376</v>
      </c>
      <c r="G8062" s="9" t="s">
        <v>27377</v>
      </c>
      <c r="O8062" s="10">
        <f>IFERROR(__xludf.DUMMYFUNCTION("VALUE(REGEXEXTRACT(A8062, ""\d+""))"),12484.0)</f>
        <v>12484</v>
      </c>
    </row>
    <row r="8063">
      <c r="A8063" s="9" t="s">
        <v>27378</v>
      </c>
      <c r="B8063" s="9" t="s">
        <v>27379</v>
      </c>
      <c r="G8063" s="9" t="s">
        <v>27380</v>
      </c>
      <c r="O8063" s="10">
        <f>IFERROR(__xludf.DUMMYFUNCTION("VALUE(REGEXEXTRACT(A8063, ""\d+""))"),12485.0)</f>
        <v>12485</v>
      </c>
    </row>
    <row r="8064">
      <c r="A8064" s="9" t="s">
        <v>27381</v>
      </c>
      <c r="B8064" s="9" t="s">
        <v>27382</v>
      </c>
      <c r="G8064" s="9" t="s">
        <v>27383</v>
      </c>
      <c r="O8064" s="10">
        <f>IFERROR(__xludf.DUMMYFUNCTION("VALUE(REGEXEXTRACT(A8064, ""\d+""))"),12486.0)</f>
        <v>12486</v>
      </c>
    </row>
    <row r="8065">
      <c r="A8065" s="9" t="s">
        <v>27384</v>
      </c>
      <c r="B8065" s="9" t="s">
        <v>14014</v>
      </c>
      <c r="G8065" s="9" t="s">
        <v>27385</v>
      </c>
      <c r="O8065" s="10">
        <f>IFERROR(__xludf.DUMMYFUNCTION("VALUE(REGEXEXTRACT(A8065, ""\d+""))"),12487.0)</f>
        <v>12487</v>
      </c>
    </row>
    <row r="8066">
      <c r="A8066" s="9" t="s">
        <v>27386</v>
      </c>
      <c r="B8066" s="9" t="s">
        <v>27387</v>
      </c>
      <c r="G8066" s="9" t="s">
        <v>27388</v>
      </c>
      <c r="O8066" s="10">
        <f>IFERROR(__xludf.DUMMYFUNCTION("VALUE(REGEXEXTRACT(A8066, ""\d+""))"),12488.0)</f>
        <v>12488</v>
      </c>
    </row>
    <row r="8067">
      <c r="A8067" s="9" t="s">
        <v>27389</v>
      </c>
      <c r="B8067" s="9" t="s">
        <v>27390</v>
      </c>
      <c r="G8067" s="9" t="s">
        <v>27391</v>
      </c>
      <c r="O8067" s="10">
        <f>IFERROR(__xludf.DUMMYFUNCTION("VALUE(REGEXEXTRACT(A8067, ""\d+""))"),12489.0)</f>
        <v>12489</v>
      </c>
    </row>
    <row r="8068">
      <c r="A8068" s="9" t="s">
        <v>27392</v>
      </c>
      <c r="B8068" s="9" t="s">
        <v>27393</v>
      </c>
      <c r="G8068" s="9" t="s">
        <v>27394</v>
      </c>
      <c r="O8068" s="10">
        <f>IFERROR(__xludf.DUMMYFUNCTION("VALUE(REGEXEXTRACT(A8068, ""\d+""))"),12490.0)</f>
        <v>12490</v>
      </c>
    </row>
    <row r="8069">
      <c r="A8069" s="9" t="s">
        <v>27395</v>
      </c>
      <c r="B8069" s="9" t="s">
        <v>27396</v>
      </c>
      <c r="G8069" s="9" t="s">
        <v>27397</v>
      </c>
      <c r="O8069" s="10">
        <f>IFERROR(__xludf.DUMMYFUNCTION("VALUE(REGEXEXTRACT(A8069, ""\d+""))"),12491.0)</f>
        <v>12491</v>
      </c>
    </row>
    <row r="8070">
      <c r="A8070" s="9" t="s">
        <v>27398</v>
      </c>
      <c r="B8070" s="9" t="s">
        <v>27399</v>
      </c>
      <c r="G8070" s="9" t="s">
        <v>27400</v>
      </c>
      <c r="O8070" s="10">
        <f>IFERROR(__xludf.DUMMYFUNCTION("VALUE(REGEXEXTRACT(A8070, ""\d+""))"),12492.0)</f>
        <v>12492</v>
      </c>
    </row>
    <row r="8071">
      <c r="A8071" s="9" t="s">
        <v>27401</v>
      </c>
      <c r="B8071" s="9" t="s">
        <v>27402</v>
      </c>
      <c r="G8071" s="9" t="s">
        <v>27403</v>
      </c>
      <c r="O8071" s="10">
        <f>IFERROR(__xludf.DUMMYFUNCTION("VALUE(REGEXEXTRACT(A8071, ""\d+""))"),12493.0)</f>
        <v>12493</v>
      </c>
    </row>
    <row r="8072">
      <c r="A8072" s="9" t="s">
        <v>27404</v>
      </c>
      <c r="B8072" s="9" t="s">
        <v>27405</v>
      </c>
      <c r="G8072" s="9" t="s">
        <v>27406</v>
      </c>
      <c r="O8072" s="10">
        <f>IFERROR(__xludf.DUMMYFUNCTION("VALUE(REGEXEXTRACT(A8072, ""\d+""))"),12494.0)</f>
        <v>12494</v>
      </c>
    </row>
    <row r="8073">
      <c r="A8073" s="9" t="s">
        <v>27407</v>
      </c>
      <c r="B8073" s="9" t="s">
        <v>27408</v>
      </c>
      <c r="G8073" s="9" t="s">
        <v>27409</v>
      </c>
      <c r="O8073" s="10">
        <f>IFERROR(__xludf.DUMMYFUNCTION("VALUE(REGEXEXTRACT(A8073, ""\d+""))"),12495.0)</f>
        <v>12495</v>
      </c>
    </row>
    <row r="8074">
      <c r="A8074" s="9" t="s">
        <v>27410</v>
      </c>
      <c r="B8074" s="9" t="s">
        <v>27411</v>
      </c>
      <c r="G8074" s="9" t="s">
        <v>27412</v>
      </c>
      <c r="O8074" s="10">
        <f>IFERROR(__xludf.DUMMYFUNCTION("VALUE(REGEXEXTRACT(A8074, ""\d+""))"),12496.0)</f>
        <v>12496</v>
      </c>
    </row>
    <row r="8075">
      <c r="A8075" s="9" t="s">
        <v>27413</v>
      </c>
      <c r="B8075" s="9" t="s">
        <v>27414</v>
      </c>
      <c r="G8075" s="9" t="s">
        <v>27415</v>
      </c>
      <c r="O8075" s="10">
        <f>IFERROR(__xludf.DUMMYFUNCTION("VALUE(REGEXEXTRACT(A8075, ""\d+""))"),12497.0)</f>
        <v>12497</v>
      </c>
    </row>
    <row r="8076">
      <c r="A8076" s="9" t="s">
        <v>27416</v>
      </c>
      <c r="B8076" s="9" t="s">
        <v>27417</v>
      </c>
      <c r="G8076" s="9" t="s">
        <v>27418</v>
      </c>
      <c r="O8076" s="10">
        <f>IFERROR(__xludf.DUMMYFUNCTION("VALUE(REGEXEXTRACT(A8076, ""\d+""))"),12498.0)</f>
        <v>12498</v>
      </c>
    </row>
    <row r="8077">
      <c r="A8077" s="9" t="s">
        <v>27419</v>
      </c>
      <c r="B8077" s="9" t="s">
        <v>27420</v>
      </c>
      <c r="G8077" s="9" t="s">
        <v>27421</v>
      </c>
      <c r="O8077" s="10">
        <f>IFERROR(__xludf.DUMMYFUNCTION("VALUE(REGEXEXTRACT(A8077, ""\d+""))"),12499.0)</f>
        <v>12499</v>
      </c>
    </row>
    <row r="8078">
      <c r="A8078" s="9" t="s">
        <v>27422</v>
      </c>
      <c r="B8078" s="9" t="s">
        <v>27423</v>
      </c>
      <c r="G8078" s="9" t="s">
        <v>27424</v>
      </c>
      <c r="O8078" s="10">
        <f>IFERROR(__xludf.DUMMYFUNCTION("VALUE(REGEXEXTRACT(A8078, ""\d+""))"),12501.0)</f>
        <v>12501</v>
      </c>
    </row>
    <row r="8079">
      <c r="A8079" s="9" t="s">
        <v>27425</v>
      </c>
      <c r="B8079" s="9" t="s">
        <v>27426</v>
      </c>
      <c r="G8079" s="9" t="s">
        <v>27427</v>
      </c>
      <c r="O8079" s="10">
        <f>IFERROR(__xludf.DUMMYFUNCTION("VALUE(REGEXEXTRACT(A8079, ""\d+""))"),12503.0)</f>
        <v>12503</v>
      </c>
    </row>
    <row r="8080">
      <c r="A8080" s="9" t="s">
        <v>27428</v>
      </c>
      <c r="B8080" s="9" t="s">
        <v>27429</v>
      </c>
      <c r="G8080" s="9" t="s">
        <v>27430</v>
      </c>
      <c r="O8080" s="10">
        <f>IFERROR(__xludf.DUMMYFUNCTION("VALUE(REGEXEXTRACT(A8080, ""\d+""))"),12504.0)</f>
        <v>12504</v>
      </c>
    </row>
    <row r="8081">
      <c r="A8081" s="9" t="s">
        <v>27431</v>
      </c>
      <c r="B8081" s="9" t="s">
        <v>27432</v>
      </c>
      <c r="G8081" s="9" t="s">
        <v>27433</v>
      </c>
      <c r="O8081" s="10">
        <f>IFERROR(__xludf.DUMMYFUNCTION("VALUE(REGEXEXTRACT(A8081, ""\d+""))"),12505.0)</f>
        <v>12505</v>
      </c>
    </row>
    <row r="8082">
      <c r="A8082" s="9" t="s">
        <v>27434</v>
      </c>
      <c r="B8082" s="9" t="s">
        <v>27435</v>
      </c>
      <c r="G8082" s="9" t="s">
        <v>27436</v>
      </c>
      <c r="O8082" s="10">
        <f>IFERROR(__xludf.DUMMYFUNCTION("VALUE(REGEXEXTRACT(A8082, ""\d+""))"),12506.0)</f>
        <v>12506</v>
      </c>
    </row>
    <row r="8083">
      <c r="A8083" s="9" t="s">
        <v>27437</v>
      </c>
      <c r="B8083" s="9" t="s">
        <v>27438</v>
      </c>
      <c r="G8083" s="9" t="s">
        <v>27439</v>
      </c>
      <c r="O8083" s="10">
        <f>IFERROR(__xludf.DUMMYFUNCTION("VALUE(REGEXEXTRACT(A8083, ""\d+""))"),12507.0)</f>
        <v>12507</v>
      </c>
    </row>
    <row r="8084">
      <c r="A8084" s="9" t="s">
        <v>27440</v>
      </c>
      <c r="B8084" s="9" t="s">
        <v>27441</v>
      </c>
      <c r="G8084" s="9" t="s">
        <v>27442</v>
      </c>
      <c r="O8084" s="10">
        <f>IFERROR(__xludf.DUMMYFUNCTION("VALUE(REGEXEXTRACT(A8084, ""\d+""))"),12508.0)</f>
        <v>12508</v>
      </c>
    </row>
    <row r="8085">
      <c r="A8085" s="9" t="s">
        <v>27443</v>
      </c>
      <c r="B8085" s="9" t="s">
        <v>27444</v>
      </c>
      <c r="G8085" s="9" t="s">
        <v>27445</v>
      </c>
      <c r="O8085" s="10">
        <f>IFERROR(__xludf.DUMMYFUNCTION("VALUE(REGEXEXTRACT(A8085, ""\d+""))"),12509.0)</f>
        <v>12509</v>
      </c>
    </row>
    <row r="8086">
      <c r="A8086" s="9" t="s">
        <v>27446</v>
      </c>
      <c r="B8086" s="9" t="s">
        <v>27447</v>
      </c>
      <c r="G8086" s="9" t="s">
        <v>27448</v>
      </c>
      <c r="O8086" s="10">
        <f>IFERROR(__xludf.DUMMYFUNCTION("VALUE(REGEXEXTRACT(A8086, ""\d+""))"),12510.0)</f>
        <v>12510</v>
      </c>
    </row>
    <row r="8087">
      <c r="A8087" s="9" t="s">
        <v>27449</v>
      </c>
      <c r="B8087" s="9" t="s">
        <v>27450</v>
      </c>
      <c r="G8087" s="9" t="s">
        <v>27451</v>
      </c>
      <c r="O8087" s="10">
        <f>IFERROR(__xludf.DUMMYFUNCTION("VALUE(REGEXEXTRACT(A8087, ""\d+""))"),12511.0)</f>
        <v>12511</v>
      </c>
    </row>
    <row r="8088">
      <c r="A8088" s="9" t="s">
        <v>27452</v>
      </c>
      <c r="B8088" s="9" t="s">
        <v>27453</v>
      </c>
      <c r="G8088" s="9" t="s">
        <v>27454</v>
      </c>
      <c r="O8088" s="10">
        <f>IFERROR(__xludf.DUMMYFUNCTION("VALUE(REGEXEXTRACT(A8088, ""\d+""))"),12512.0)</f>
        <v>12512</v>
      </c>
    </row>
    <row r="8089">
      <c r="A8089" s="9" t="s">
        <v>27455</v>
      </c>
      <c r="B8089" s="9" t="s">
        <v>27456</v>
      </c>
      <c r="G8089" s="9" t="s">
        <v>27457</v>
      </c>
      <c r="O8089" s="10">
        <f>IFERROR(__xludf.DUMMYFUNCTION("VALUE(REGEXEXTRACT(A8089, ""\d+""))"),12513.0)</f>
        <v>12513</v>
      </c>
    </row>
    <row r="8090">
      <c r="A8090" s="9" t="s">
        <v>27458</v>
      </c>
      <c r="B8090" s="9" t="s">
        <v>27459</v>
      </c>
      <c r="G8090" s="9" t="s">
        <v>27460</v>
      </c>
      <c r="O8090" s="10">
        <f>IFERROR(__xludf.DUMMYFUNCTION("VALUE(REGEXEXTRACT(A8090, ""\d+""))"),12514.0)</f>
        <v>12514</v>
      </c>
    </row>
    <row r="8091">
      <c r="A8091" s="9" t="s">
        <v>27461</v>
      </c>
      <c r="B8091" s="9" t="s">
        <v>27462</v>
      </c>
      <c r="G8091" s="9" t="s">
        <v>27463</v>
      </c>
      <c r="O8091" s="10">
        <f>IFERROR(__xludf.DUMMYFUNCTION("VALUE(REGEXEXTRACT(A8091, ""\d+""))"),12515.0)</f>
        <v>12515</v>
      </c>
    </row>
    <row r="8092">
      <c r="A8092" s="9" t="s">
        <v>27464</v>
      </c>
      <c r="B8092" s="9" t="s">
        <v>27465</v>
      </c>
      <c r="G8092" s="9" t="s">
        <v>27466</v>
      </c>
      <c r="O8092" s="10">
        <f>IFERROR(__xludf.DUMMYFUNCTION("VALUE(REGEXEXTRACT(A8092, ""\d+""))"),12516.0)</f>
        <v>12516</v>
      </c>
    </row>
    <row r="8093">
      <c r="A8093" s="9" t="s">
        <v>27467</v>
      </c>
      <c r="B8093" s="9" t="s">
        <v>27468</v>
      </c>
      <c r="G8093" s="9" t="s">
        <v>27469</v>
      </c>
      <c r="O8093" s="10">
        <f>IFERROR(__xludf.DUMMYFUNCTION("VALUE(REGEXEXTRACT(A8093, ""\d+""))"),12517.0)</f>
        <v>12517</v>
      </c>
    </row>
    <row r="8094">
      <c r="A8094" s="9" t="s">
        <v>27470</v>
      </c>
      <c r="B8094" s="9" t="s">
        <v>27471</v>
      </c>
      <c r="G8094" s="9" t="s">
        <v>27472</v>
      </c>
      <c r="O8094" s="10">
        <f>IFERROR(__xludf.DUMMYFUNCTION("VALUE(REGEXEXTRACT(A8094, ""\d+""))"),12518.0)</f>
        <v>12518</v>
      </c>
    </row>
    <row r="8095">
      <c r="A8095" s="9" t="s">
        <v>27473</v>
      </c>
      <c r="B8095" s="9" t="s">
        <v>27474</v>
      </c>
      <c r="G8095" s="9" t="s">
        <v>27475</v>
      </c>
      <c r="O8095" s="10">
        <f>IFERROR(__xludf.DUMMYFUNCTION("VALUE(REGEXEXTRACT(A8095, ""\d+""))"),12519.0)</f>
        <v>12519</v>
      </c>
    </row>
    <row r="8096">
      <c r="A8096" s="9" t="s">
        <v>27476</v>
      </c>
      <c r="B8096" s="9" t="s">
        <v>27477</v>
      </c>
      <c r="G8096" s="9" t="s">
        <v>27478</v>
      </c>
      <c r="O8096" s="10">
        <f>IFERROR(__xludf.DUMMYFUNCTION("VALUE(REGEXEXTRACT(A8096, ""\d+""))"),12520.0)</f>
        <v>12520</v>
      </c>
    </row>
    <row r="8097">
      <c r="A8097" s="9" t="s">
        <v>27479</v>
      </c>
      <c r="B8097" s="9" t="s">
        <v>27480</v>
      </c>
      <c r="G8097" s="9" t="s">
        <v>27481</v>
      </c>
      <c r="O8097" s="10">
        <f>IFERROR(__xludf.DUMMYFUNCTION("VALUE(REGEXEXTRACT(A8097, ""\d+""))"),12521.0)</f>
        <v>12521</v>
      </c>
    </row>
    <row r="8098">
      <c r="A8098" s="9" t="s">
        <v>27482</v>
      </c>
      <c r="B8098" s="9" t="s">
        <v>27483</v>
      </c>
      <c r="G8098" s="9" t="s">
        <v>27484</v>
      </c>
      <c r="O8098" s="10">
        <f>IFERROR(__xludf.DUMMYFUNCTION("VALUE(REGEXEXTRACT(A8098, ""\d+""))"),12522.0)</f>
        <v>12522</v>
      </c>
    </row>
    <row r="8099">
      <c r="A8099" s="9" t="s">
        <v>27485</v>
      </c>
      <c r="B8099" s="9" t="s">
        <v>27486</v>
      </c>
      <c r="G8099" s="9" t="s">
        <v>27487</v>
      </c>
      <c r="O8099" s="10">
        <f>IFERROR(__xludf.DUMMYFUNCTION("VALUE(REGEXEXTRACT(A8099, ""\d+""))"),12523.0)</f>
        <v>12523</v>
      </c>
    </row>
    <row r="8100">
      <c r="A8100" s="9" t="s">
        <v>27488</v>
      </c>
      <c r="B8100" s="9" t="s">
        <v>27489</v>
      </c>
      <c r="G8100" s="9" t="s">
        <v>27487</v>
      </c>
      <c r="O8100" s="10">
        <f>IFERROR(__xludf.DUMMYFUNCTION("VALUE(REGEXEXTRACT(A8100, ""\d+""))"),12524.0)</f>
        <v>12524</v>
      </c>
    </row>
    <row r="8101">
      <c r="A8101" s="9" t="s">
        <v>27490</v>
      </c>
      <c r="B8101" s="9" t="s">
        <v>27491</v>
      </c>
      <c r="G8101" s="9" t="s">
        <v>27492</v>
      </c>
      <c r="O8101" s="10">
        <f>IFERROR(__xludf.DUMMYFUNCTION("VALUE(REGEXEXTRACT(A8101, ""\d+""))"),12525.0)</f>
        <v>12525</v>
      </c>
    </row>
    <row r="8102">
      <c r="A8102" s="9" t="s">
        <v>27493</v>
      </c>
      <c r="B8102" s="9" t="s">
        <v>27494</v>
      </c>
      <c r="G8102" s="9" t="s">
        <v>27495</v>
      </c>
      <c r="O8102" s="10">
        <f>IFERROR(__xludf.DUMMYFUNCTION("VALUE(REGEXEXTRACT(A8102, ""\d+""))"),12526.0)</f>
        <v>12526</v>
      </c>
    </row>
    <row r="8103">
      <c r="A8103" s="9" t="s">
        <v>27496</v>
      </c>
      <c r="B8103" s="9" t="s">
        <v>27497</v>
      </c>
      <c r="G8103" s="9" t="s">
        <v>27498</v>
      </c>
      <c r="O8103" s="10">
        <f>IFERROR(__xludf.DUMMYFUNCTION("VALUE(REGEXEXTRACT(A8103, ""\d+""))"),12527.0)</f>
        <v>12527</v>
      </c>
    </row>
    <row r="8104">
      <c r="A8104" s="9" t="s">
        <v>27499</v>
      </c>
      <c r="B8104" s="9" t="s">
        <v>27500</v>
      </c>
      <c r="G8104" s="9" t="s">
        <v>27501</v>
      </c>
      <c r="O8104" s="10">
        <f>IFERROR(__xludf.DUMMYFUNCTION("VALUE(REGEXEXTRACT(A8104, ""\d+""))"),12528.0)</f>
        <v>12528</v>
      </c>
    </row>
    <row r="8105">
      <c r="A8105" s="9" t="s">
        <v>27502</v>
      </c>
      <c r="B8105" s="9" t="s">
        <v>27503</v>
      </c>
      <c r="G8105" s="9" t="s">
        <v>27504</v>
      </c>
      <c r="O8105" s="10">
        <f>IFERROR(__xludf.DUMMYFUNCTION("VALUE(REGEXEXTRACT(A8105, ""\d+""))"),12529.0)</f>
        <v>12529</v>
      </c>
    </row>
    <row r="8106">
      <c r="A8106" s="9" t="s">
        <v>27505</v>
      </c>
      <c r="B8106" s="9" t="s">
        <v>27506</v>
      </c>
      <c r="G8106" s="9" t="s">
        <v>27507</v>
      </c>
      <c r="O8106" s="10">
        <f>IFERROR(__xludf.DUMMYFUNCTION("VALUE(REGEXEXTRACT(A8106, ""\d+""))"),12530.0)</f>
        <v>12530</v>
      </c>
    </row>
    <row r="8107">
      <c r="A8107" s="9" t="s">
        <v>27508</v>
      </c>
      <c r="B8107" s="9" t="s">
        <v>27509</v>
      </c>
      <c r="G8107" s="9" t="s">
        <v>27510</v>
      </c>
      <c r="O8107" s="10">
        <f>IFERROR(__xludf.DUMMYFUNCTION("VALUE(REGEXEXTRACT(A8107, ""\d+""))"),12531.0)</f>
        <v>12531</v>
      </c>
    </row>
    <row r="8108">
      <c r="A8108" s="9" t="s">
        <v>27511</v>
      </c>
      <c r="B8108" s="9" t="s">
        <v>27512</v>
      </c>
      <c r="G8108" s="9" t="s">
        <v>27513</v>
      </c>
      <c r="O8108" s="10">
        <f>IFERROR(__xludf.DUMMYFUNCTION("VALUE(REGEXEXTRACT(A8108, ""\d+""))"),12532.0)</f>
        <v>12532</v>
      </c>
    </row>
    <row r="8109">
      <c r="A8109" s="9" t="s">
        <v>27514</v>
      </c>
      <c r="B8109" s="9" t="s">
        <v>27515</v>
      </c>
      <c r="G8109" s="9" t="s">
        <v>27516</v>
      </c>
      <c r="O8109" s="10">
        <f>IFERROR(__xludf.DUMMYFUNCTION("VALUE(REGEXEXTRACT(A8109, ""\d+""))"),12533.0)</f>
        <v>12533</v>
      </c>
    </row>
    <row r="8110">
      <c r="A8110" s="9" t="s">
        <v>27517</v>
      </c>
      <c r="B8110" s="9" t="s">
        <v>27518</v>
      </c>
      <c r="G8110" s="9" t="s">
        <v>27519</v>
      </c>
      <c r="O8110" s="10">
        <f>IFERROR(__xludf.DUMMYFUNCTION("VALUE(REGEXEXTRACT(A8110, ""\d+""))"),12534.0)</f>
        <v>12534</v>
      </c>
    </row>
    <row r="8111">
      <c r="A8111" s="9" t="s">
        <v>27520</v>
      </c>
      <c r="B8111" s="9" t="s">
        <v>27521</v>
      </c>
      <c r="G8111" s="9" t="s">
        <v>27522</v>
      </c>
      <c r="O8111" s="10">
        <f>IFERROR(__xludf.DUMMYFUNCTION("VALUE(REGEXEXTRACT(A8111, ""\d+""))"),12535.0)</f>
        <v>12535</v>
      </c>
    </row>
    <row r="8112">
      <c r="A8112" s="9" t="s">
        <v>27523</v>
      </c>
      <c r="B8112" s="9" t="s">
        <v>27524</v>
      </c>
      <c r="G8112" s="9" t="s">
        <v>27525</v>
      </c>
      <c r="O8112" s="10">
        <f>IFERROR(__xludf.DUMMYFUNCTION("VALUE(REGEXEXTRACT(A8112, ""\d+""))"),12536.0)</f>
        <v>12536</v>
      </c>
    </row>
    <row r="8113">
      <c r="A8113" s="9" t="s">
        <v>27526</v>
      </c>
      <c r="B8113" s="9" t="s">
        <v>27527</v>
      </c>
      <c r="G8113" s="9" t="s">
        <v>27528</v>
      </c>
      <c r="O8113" s="10">
        <f>IFERROR(__xludf.DUMMYFUNCTION("VALUE(REGEXEXTRACT(A8113, ""\d+""))"),12537.0)</f>
        <v>12537</v>
      </c>
    </row>
    <row r="8114">
      <c r="A8114" s="9" t="s">
        <v>27529</v>
      </c>
      <c r="B8114" s="9" t="s">
        <v>27530</v>
      </c>
      <c r="G8114" s="9" t="s">
        <v>27531</v>
      </c>
      <c r="O8114" s="10">
        <f>IFERROR(__xludf.DUMMYFUNCTION("VALUE(REGEXEXTRACT(A8114, ""\d+""))"),12538.0)</f>
        <v>12538</v>
      </c>
    </row>
    <row r="8115">
      <c r="A8115" s="9" t="s">
        <v>27532</v>
      </c>
      <c r="B8115" s="9" t="s">
        <v>27533</v>
      </c>
      <c r="G8115" s="9" t="s">
        <v>27534</v>
      </c>
      <c r="O8115" s="10">
        <f>IFERROR(__xludf.DUMMYFUNCTION("VALUE(REGEXEXTRACT(A8115, ""\d+""))"),12539.0)</f>
        <v>12539</v>
      </c>
    </row>
    <row r="8116">
      <c r="A8116" s="9" t="s">
        <v>27535</v>
      </c>
      <c r="B8116" s="9" t="s">
        <v>27536</v>
      </c>
      <c r="G8116" s="9" t="s">
        <v>27537</v>
      </c>
      <c r="O8116" s="10">
        <f>IFERROR(__xludf.DUMMYFUNCTION("VALUE(REGEXEXTRACT(A8116, ""\d+""))"),12540.0)</f>
        <v>12540</v>
      </c>
    </row>
    <row r="8117">
      <c r="A8117" s="9" t="s">
        <v>27538</v>
      </c>
      <c r="B8117" s="9" t="s">
        <v>27539</v>
      </c>
      <c r="G8117" s="9" t="s">
        <v>27540</v>
      </c>
      <c r="O8117" s="10">
        <f>IFERROR(__xludf.DUMMYFUNCTION("VALUE(REGEXEXTRACT(A8117, ""\d+""))"),12541.0)</f>
        <v>12541</v>
      </c>
    </row>
    <row r="8118">
      <c r="A8118" s="9" t="s">
        <v>27541</v>
      </c>
      <c r="B8118" s="9" t="s">
        <v>27542</v>
      </c>
      <c r="G8118" s="9" t="s">
        <v>27543</v>
      </c>
      <c r="O8118" s="10">
        <f>IFERROR(__xludf.DUMMYFUNCTION("VALUE(REGEXEXTRACT(A8118, ""\d+""))"),12542.0)</f>
        <v>12542</v>
      </c>
    </row>
    <row r="8119">
      <c r="A8119" s="9" t="s">
        <v>27544</v>
      </c>
      <c r="B8119" s="9" t="s">
        <v>27545</v>
      </c>
      <c r="G8119" s="9" t="s">
        <v>27546</v>
      </c>
      <c r="O8119" s="10">
        <f>IFERROR(__xludf.DUMMYFUNCTION("VALUE(REGEXEXTRACT(A8119, ""\d+""))"),12543.0)</f>
        <v>12543</v>
      </c>
    </row>
    <row r="8120">
      <c r="A8120" s="9" t="s">
        <v>27547</v>
      </c>
      <c r="B8120" s="9" t="s">
        <v>27548</v>
      </c>
      <c r="G8120" s="9" t="s">
        <v>27549</v>
      </c>
      <c r="O8120" s="10">
        <f>IFERROR(__xludf.DUMMYFUNCTION("VALUE(REGEXEXTRACT(A8120, ""\d+""))"),12544.0)</f>
        <v>12544</v>
      </c>
    </row>
    <row r="8121">
      <c r="A8121" s="9" t="s">
        <v>27550</v>
      </c>
      <c r="B8121" s="9" t="s">
        <v>27551</v>
      </c>
      <c r="G8121" s="9" t="s">
        <v>27552</v>
      </c>
      <c r="O8121" s="10">
        <f>IFERROR(__xludf.DUMMYFUNCTION("VALUE(REGEXEXTRACT(A8121, ""\d+""))"),12545.0)</f>
        <v>12545</v>
      </c>
    </row>
    <row r="8122">
      <c r="A8122" s="9" t="s">
        <v>27553</v>
      </c>
      <c r="B8122" s="9" t="s">
        <v>27554</v>
      </c>
      <c r="G8122" s="9" t="s">
        <v>27555</v>
      </c>
      <c r="O8122" s="10">
        <f>IFERROR(__xludf.DUMMYFUNCTION("VALUE(REGEXEXTRACT(A8122, ""\d+""))"),12546.0)</f>
        <v>12546</v>
      </c>
    </row>
    <row r="8123">
      <c r="A8123" s="9" t="s">
        <v>27556</v>
      </c>
      <c r="B8123" s="9" t="s">
        <v>27557</v>
      </c>
      <c r="G8123" s="9" t="s">
        <v>27558</v>
      </c>
      <c r="O8123" s="10">
        <f>IFERROR(__xludf.DUMMYFUNCTION("VALUE(REGEXEXTRACT(A8123, ""\d+""))"),12547.0)</f>
        <v>12547</v>
      </c>
    </row>
    <row r="8124">
      <c r="A8124" s="9" t="s">
        <v>27559</v>
      </c>
      <c r="B8124" s="9" t="s">
        <v>27560</v>
      </c>
      <c r="G8124" s="9" t="s">
        <v>27561</v>
      </c>
      <c r="O8124" s="10">
        <f>IFERROR(__xludf.DUMMYFUNCTION("VALUE(REGEXEXTRACT(A8124, ""\d+""))"),12548.0)</f>
        <v>12548</v>
      </c>
    </row>
    <row r="8125">
      <c r="A8125" s="9" t="s">
        <v>27562</v>
      </c>
      <c r="B8125" s="9" t="s">
        <v>27560</v>
      </c>
      <c r="G8125" s="9" t="s">
        <v>27561</v>
      </c>
      <c r="O8125" s="10">
        <f>IFERROR(__xludf.DUMMYFUNCTION("VALUE(REGEXEXTRACT(A8125, ""\d+""))"),12549.0)</f>
        <v>12549</v>
      </c>
    </row>
    <row r="8126">
      <c r="A8126" s="9" t="s">
        <v>27563</v>
      </c>
      <c r="B8126" s="9" t="s">
        <v>27560</v>
      </c>
      <c r="G8126" s="9" t="s">
        <v>27561</v>
      </c>
      <c r="O8126" s="10">
        <f>IFERROR(__xludf.DUMMYFUNCTION("VALUE(REGEXEXTRACT(A8126, ""\d+""))"),12550.0)</f>
        <v>12550</v>
      </c>
    </row>
    <row r="8127">
      <c r="A8127" s="9" t="s">
        <v>27564</v>
      </c>
      <c r="B8127" s="9" t="s">
        <v>27565</v>
      </c>
      <c r="G8127" s="9" t="s">
        <v>27566</v>
      </c>
      <c r="O8127" s="10">
        <f>IFERROR(__xludf.DUMMYFUNCTION("VALUE(REGEXEXTRACT(A8127, ""\d+""))"),12551.0)</f>
        <v>12551</v>
      </c>
    </row>
    <row r="8128">
      <c r="A8128" s="9" t="s">
        <v>27567</v>
      </c>
      <c r="B8128" s="9" t="s">
        <v>27568</v>
      </c>
      <c r="G8128" s="9" t="s">
        <v>27569</v>
      </c>
      <c r="O8128" s="10">
        <f>IFERROR(__xludf.DUMMYFUNCTION("VALUE(REGEXEXTRACT(A8128, ""\d+""))"),12552.0)</f>
        <v>12552</v>
      </c>
    </row>
    <row r="8129">
      <c r="A8129" s="9" t="s">
        <v>27570</v>
      </c>
      <c r="B8129" s="9" t="s">
        <v>27571</v>
      </c>
      <c r="G8129" s="9" t="s">
        <v>27572</v>
      </c>
      <c r="O8129" s="10">
        <f>IFERROR(__xludf.DUMMYFUNCTION("VALUE(REGEXEXTRACT(A8129, ""\d+""))"),12553.0)</f>
        <v>12553</v>
      </c>
    </row>
    <row r="8130">
      <c r="A8130" s="9" t="s">
        <v>27573</v>
      </c>
      <c r="B8130" s="9" t="s">
        <v>27574</v>
      </c>
      <c r="G8130" s="9" t="s">
        <v>27575</v>
      </c>
      <c r="O8130" s="10">
        <f>IFERROR(__xludf.DUMMYFUNCTION("VALUE(REGEXEXTRACT(A8130, ""\d+""))"),12554.0)</f>
        <v>12554</v>
      </c>
    </row>
    <row r="8131">
      <c r="A8131" s="9" t="s">
        <v>27576</v>
      </c>
      <c r="B8131" s="9" t="s">
        <v>27577</v>
      </c>
      <c r="G8131" s="9" t="s">
        <v>27578</v>
      </c>
      <c r="O8131" s="10">
        <f>IFERROR(__xludf.DUMMYFUNCTION("VALUE(REGEXEXTRACT(A8131, ""\d+""))"),12555.0)</f>
        <v>12555</v>
      </c>
    </row>
    <row r="8132">
      <c r="A8132" s="9" t="s">
        <v>27579</v>
      </c>
      <c r="B8132" s="9" t="s">
        <v>27580</v>
      </c>
      <c r="G8132" s="9" t="s">
        <v>27581</v>
      </c>
      <c r="O8132" s="10">
        <f>IFERROR(__xludf.DUMMYFUNCTION("VALUE(REGEXEXTRACT(A8132, ""\d+""))"),12556.0)</f>
        <v>12556</v>
      </c>
    </row>
    <row r="8133">
      <c r="A8133" s="9" t="s">
        <v>27582</v>
      </c>
      <c r="B8133" s="9" t="s">
        <v>27583</v>
      </c>
      <c r="G8133" s="9" t="s">
        <v>27584</v>
      </c>
      <c r="O8133" s="10">
        <f>IFERROR(__xludf.DUMMYFUNCTION("VALUE(REGEXEXTRACT(A8133, ""\d+""))"),12557.0)</f>
        <v>12557</v>
      </c>
    </row>
    <row r="8134">
      <c r="A8134" s="9" t="s">
        <v>27585</v>
      </c>
      <c r="B8134" s="9" t="s">
        <v>27586</v>
      </c>
      <c r="G8134" s="9" t="s">
        <v>27587</v>
      </c>
      <c r="O8134" s="10">
        <f>IFERROR(__xludf.DUMMYFUNCTION("VALUE(REGEXEXTRACT(A8134, ""\d+""))"),12558.0)</f>
        <v>12558</v>
      </c>
    </row>
    <row r="8135">
      <c r="A8135" s="9" t="s">
        <v>27588</v>
      </c>
      <c r="B8135" s="9" t="s">
        <v>27589</v>
      </c>
      <c r="G8135" s="9" t="s">
        <v>27590</v>
      </c>
      <c r="O8135" s="10">
        <f>IFERROR(__xludf.DUMMYFUNCTION("VALUE(REGEXEXTRACT(A8135, ""\d+""))"),12559.0)</f>
        <v>12559</v>
      </c>
    </row>
    <row r="8136">
      <c r="A8136" s="9" t="s">
        <v>27591</v>
      </c>
      <c r="B8136" s="9" t="s">
        <v>27592</v>
      </c>
      <c r="G8136" s="9" t="s">
        <v>27593</v>
      </c>
      <c r="O8136" s="10">
        <f>IFERROR(__xludf.DUMMYFUNCTION("VALUE(REGEXEXTRACT(A8136, ""\d+""))"),12560.0)</f>
        <v>12560</v>
      </c>
    </row>
    <row r="8137">
      <c r="A8137" s="9" t="s">
        <v>27594</v>
      </c>
      <c r="B8137" s="9" t="s">
        <v>27595</v>
      </c>
      <c r="G8137" s="9" t="s">
        <v>27596</v>
      </c>
      <c r="O8137" s="10">
        <f>IFERROR(__xludf.DUMMYFUNCTION("VALUE(REGEXEXTRACT(A8137, ""\d+""))"),12561.0)</f>
        <v>12561</v>
      </c>
    </row>
    <row r="8138">
      <c r="A8138" s="9" t="s">
        <v>27597</v>
      </c>
      <c r="B8138" s="9" t="s">
        <v>27598</v>
      </c>
      <c r="G8138" s="9" t="s">
        <v>27599</v>
      </c>
      <c r="O8138" s="10">
        <f>IFERROR(__xludf.DUMMYFUNCTION("VALUE(REGEXEXTRACT(A8138, ""\d+""))"),12562.0)</f>
        <v>12562</v>
      </c>
    </row>
    <row r="8139">
      <c r="A8139" s="9" t="s">
        <v>27600</v>
      </c>
      <c r="B8139" s="9" t="s">
        <v>27601</v>
      </c>
      <c r="G8139" s="9" t="s">
        <v>27602</v>
      </c>
      <c r="O8139" s="10">
        <f>IFERROR(__xludf.DUMMYFUNCTION("VALUE(REGEXEXTRACT(A8139, ""\d+""))"),12563.0)</f>
        <v>12563</v>
      </c>
    </row>
    <row r="8140">
      <c r="A8140" s="9" t="s">
        <v>27603</v>
      </c>
      <c r="B8140" s="9" t="s">
        <v>27604</v>
      </c>
      <c r="G8140" s="9" t="s">
        <v>27605</v>
      </c>
      <c r="O8140" s="10">
        <f>IFERROR(__xludf.DUMMYFUNCTION("VALUE(REGEXEXTRACT(A8140, ""\d+""))"),12564.0)</f>
        <v>12564</v>
      </c>
    </row>
    <row r="8141">
      <c r="A8141" s="9" t="s">
        <v>27606</v>
      </c>
      <c r="B8141" s="9" t="s">
        <v>27607</v>
      </c>
      <c r="G8141" s="9" t="s">
        <v>27608</v>
      </c>
      <c r="O8141" s="10">
        <f>IFERROR(__xludf.DUMMYFUNCTION("VALUE(REGEXEXTRACT(A8141, ""\d+""))"),12565.0)</f>
        <v>12565</v>
      </c>
    </row>
    <row r="8142">
      <c r="A8142" s="9" t="s">
        <v>27609</v>
      </c>
      <c r="B8142" s="9" t="s">
        <v>27610</v>
      </c>
      <c r="G8142" s="9" t="s">
        <v>27507</v>
      </c>
      <c r="O8142" s="10">
        <f>IFERROR(__xludf.DUMMYFUNCTION("VALUE(REGEXEXTRACT(A8142, ""\d+""))"),12566.0)</f>
        <v>12566</v>
      </c>
    </row>
    <row r="8143">
      <c r="A8143" s="9" t="s">
        <v>27611</v>
      </c>
      <c r="B8143" s="9" t="s">
        <v>27612</v>
      </c>
      <c r="G8143" s="9" t="s">
        <v>27613</v>
      </c>
      <c r="O8143" s="10">
        <f>IFERROR(__xludf.DUMMYFUNCTION("VALUE(REGEXEXTRACT(A8143, ""\d+""))"),12567.0)</f>
        <v>12567</v>
      </c>
    </row>
    <row r="8144">
      <c r="A8144" s="9" t="s">
        <v>27614</v>
      </c>
      <c r="B8144" s="9" t="s">
        <v>27615</v>
      </c>
      <c r="G8144" s="9" t="s">
        <v>27616</v>
      </c>
      <c r="O8144" s="10">
        <f>IFERROR(__xludf.DUMMYFUNCTION("VALUE(REGEXEXTRACT(A8144, ""\d+""))"),12568.0)</f>
        <v>12568</v>
      </c>
    </row>
    <row r="8145">
      <c r="A8145" s="9" t="s">
        <v>27617</v>
      </c>
      <c r="B8145" s="9" t="s">
        <v>27618</v>
      </c>
      <c r="G8145" s="9" t="s">
        <v>27619</v>
      </c>
      <c r="O8145" s="10">
        <f>IFERROR(__xludf.DUMMYFUNCTION("VALUE(REGEXEXTRACT(A8145, ""\d+""))"),12569.0)</f>
        <v>12569</v>
      </c>
    </row>
    <row r="8146">
      <c r="A8146" s="9" t="s">
        <v>27620</v>
      </c>
      <c r="B8146" s="9" t="s">
        <v>27621</v>
      </c>
      <c r="G8146" s="9" t="s">
        <v>27622</v>
      </c>
      <c r="O8146" s="10">
        <f>IFERROR(__xludf.DUMMYFUNCTION("VALUE(REGEXEXTRACT(A8146, ""\d+""))"),12570.0)</f>
        <v>12570</v>
      </c>
    </row>
    <row r="8147">
      <c r="A8147" s="9" t="s">
        <v>27623</v>
      </c>
      <c r="B8147" s="9" t="s">
        <v>27624</v>
      </c>
      <c r="G8147" s="9" t="s">
        <v>27625</v>
      </c>
      <c r="O8147" s="10">
        <f>IFERROR(__xludf.DUMMYFUNCTION("VALUE(REGEXEXTRACT(A8147, ""\d+""))"),12571.0)</f>
        <v>12571</v>
      </c>
    </row>
    <row r="8148">
      <c r="A8148" s="9" t="s">
        <v>27626</v>
      </c>
      <c r="B8148" s="9" t="s">
        <v>27627</v>
      </c>
      <c r="G8148" s="9" t="s">
        <v>27628</v>
      </c>
      <c r="O8148" s="10">
        <f>IFERROR(__xludf.DUMMYFUNCTION("VALUE(REGEXEXTRACT(A8148, ""\d+""))"),12572.0)</f>
        <v>12572</v>
      </c>
    </row>
    <row r="8149">
      <c r="A8149" s="9" t="s">
        <v>27629</v>
      </c>
      <c r="B8149" s="9" t="s">
        <v>27630</v>
      </c>
      <c r="G8149" s="9" t="s">
        <v>27631</v>
      </c>
      <c r="O8149" s="10">
        <f>IFERROR(__xludf.DUMMYFUNCTION("VALUE(REGEXEXTRACT(A8149, ""\d+""))"),12573.0)</f>
        <v>12573</v>
      </c>
    </row>
    <row r="8150">
      <c r="A8150" s="9" t="s">
        <v>27632</v>
      </c>
      <c r="B8150" s="9" t="s">
        <v>27633</v>
      </c>
      <c r="G8150" s="9" t="s">
        <v>27634</v>
      </c>
      <c r="O8150" s="10">
        <f>IFERROR(__xludf.DUMMYFUNCTION("VALUE(REGEXEXTRACT(A8150, ""\d+""))"),12574.0)</f>
        <v>12574</v>
      </c>
    </row>
    <row r="8151">
      <c r="A8151" s="9" t="s">
        <v>27635</v>
      </c>
      <c r="B8151" s="9" t="s">
        <v>27636</v>
      </c>
      <c r="G8151" s="9" t="s">
        <v>27637</v>
      </c>
      <c r="O8151" s="10">
        <f>IFERROR(__xludf.DUMMYFUNCTION("VALUE(REGEXEXTRACT(A8151, ""\d+""))"),12575.0)</f>
        <v>12575</v>
      </c>
    </row>
    <row r="8152">
      <c r="A8152" s="9" t="s">
        <v>27638</v>
      </c>
      <c r="B8152" s="9" t="s">
        <v>27639</v>
      </c>
      <c r="G8152" s="9" t="s">
        <v>27640</v>
      </c>
      <c r="O8152" s="10">
        <f>IFERROR(__xludf.DUMMYFUNCTION("VALUE(REGEXEXTRACT(A8152, ""\d+""))"),12576.0)</f>
        <v>12576</v>
      </c>
    </row>
    <row r="8153">
      <c r="A8153" s="9" t="s">
        <v>27641</v>
      </c>
      <c r="B8153" s="9" t="s">
        <v>27642</v>
      </c>
      <c r="G8153" s="9" t="s">
        <v>27643</v>
      </c>
      <c r="O8153" s="10">
        <f>IFERROR(__xludf.DUMMYFUNCTION("VALUE(REGEXEXTRACT(A8153, ""\d+""))"),12577.0)</f>
        <v>12577</v>
      </c>
    </row>
    <row r="8154">
      <c r="A8154" s="9" t="s">
        <v>27644</v>
      </c>
      <c r="B8154" s="9" t="s">
        <v>27645</v>
      </c>
      <c r="G8154" s="9" t="s">
        <v>27646</v>
      </c>
      <c r="O8154" s="10">
        <f>IFERROR(__xludf.DUMMYFUNCTION("VALUE(REGEXEXTRACT(A8154, ""\d+""))"),12578.0)</f>
        <v>12578</v>
      </c>
    </row>
    <row r="8155">
      <c r="A8155" s="9" t="s">
        <v>27647</v>
      </c>
      <c r="B8155" s="9" t="s">
        <v>27648</v>
      </c>
      <c r="G8155" s="9" t="s">
        <v>27649</v>
      </c>
      <c r="O8155" s="10">
        <f>IFERROR(__xludf.DUMMYFUNCTION("VALUE(REGEXEXTRACT(A8155, ""\d+""))"),12579.0)</f>
        <v>12579</v>
      </c>
    </row>
    <row r="8156">
      <c r="A8156" s="9" t="s">
        <v>27650</v>
      </c>
      <c r="B8156" s="9" t="s">
        <v>27651</v>
      </c>
      <c r="G8156" s="9" t="s">
        <v>27652</v>
      </c>
      <c r="O8156" s="10">
        <f>IFERROR(__xludf.DUMMYFUNCTION("VALUE(REGEXEXTRACT(A8156, ""\d+""))"),12580.0)</f>
        <v>12580</v>
      </c>
    </row>
    <row r="8157">
      <c r="A8157" s="9" t="s">
        <v>27653</v>
      </c>
      <c r="B8157" s="9" t="s">
        <v>27654</v>
      </c>
      <c r="G8157" s="9" t="s">
        <v>27655</v>
      </c>
      <c r="O8157" s="10">
        <f>IFERROR(__xludf.DUMMYFUNCTION("VALUE(REGEXEXTRACT(A8157, ""\d+""))"),12581.0)</f>
        <v>12581</v>
      </c>
    </row>
    <row r="8158">
      <c r="A8158" s="9" t="s">
        <v>27656</v>
      </c>
      <c r="B8158" s="9" t="s">
        <v>27657</v>
      </c>
      <c r="G8158" s="9" t="s">
        <v>27658</v>
      </c>
      <c r="O8158" s="10">
        <f>IFERROR(__xludf.DUMMYFUNCTION("VALUE(REGEXEXTRACT(A8158, ""\d+""))"),12582.0)</f>
        <v>12582</v>
      </c>
    </row>
    <row r="8159">
      <c r="A8159" s="9" t="s">
        <v>27659</v>
      </c>
      <c r="B8159" s="9" t="s">
        <v>27660</v>
      </c>
      <c r="G8159" s="9" t="s">
        <v>27661</v>
      </c>
      <c r="O8159" s="10">
        <f>IFERROR(__xludf.DUMMYFUNCTION("VALUE(REGEXEXTRACT(A8159, ""\d+""))"),12583.0)</f>
        <v>12583</v>
      </c>
    </row>
    <row r="8160">
      <c r="A8160" s="9" t="s">
        <v>27662</v>
      </c>
      <c r="B8160" s="9" t="s">
        <v>27663</v>
      </c>
      <c r="G8160" s="9" t="s">
        <v>27664</v>
      </c>
      <c r="O8160" s="10">
        <f>IFERROR(__xludf.DUMMYFUNCTION("VALUE(REGEXEXTRACT(A8160, ""\d+""))"),12586.0)</f>
        <v>12586</v>
      </c>
    </row>
    <row r="8161">
      <c r="A8161" s="9" t="s">
        <v>27665</v>
      </c>
      <c r="B8161" s="9" t="s">
        <v>27666</v>
      </c>
      <c r="G8161" s="9" t="s">
        <v>27667</v>
      </c>
      <c r="O8161" s="10">
        <f>IFERROR(__xludf.DUMMYFUNCTION("VALUE(REGEXEXTRACT(A8161, ""\d+""))"),12587.0)</f>
        <v>12587</v>
      </c>
    </row>
    <row r="8162">
      <c r="A8162" s="9" t="s">
        <v>27668</v>
      </c>
      <c r="B8162" s="9" t="s">
        <v>27669</v>
      </c>
      <c r="G8162" s="9" t="s">
        <v>27670</v>
      </c>
      <c r="O8162" s="10">
        <f>IFERROR(__xludf.DUMMYFUNCTION("VALUE(REGEXEXTRACT(A8162, ""\d+""))"),12588.0)</f>
        <v>12588</v>
      </c>
    </row>
    <row r="8163">
      <c r="A8163" s="9" t="s">
        <v>27671</v>
      </c>
      <c r="B8163" s="9" t="s">
        <v>27672</v>
      </c>
      <c r="G8163" s="9" t="s">
        <v>27673</v>
      </c>
      <c r="O8163" s="10">
        <f>IFERROR(__xludf.DUMMYFUNCTION("VALUE(REGEXEXTRACT(A8163, ""\d+""))"),12589.0)</f>
        <v>12589</v>
      </c>
    </row>
    <row r="8164">
      <c r="A8164" s="9" t="s">
        <v>27674</v>
      </c>
      <c r="B8164" s="9" t="s">
        <v>27675</v>
      </c>
      <c r="G8164" s="9" t="s">
        <v>27676</v>
      </c>
      <c r="O8164" s="10">
        <f>IFERROR(__xludf.DUMMYFUNCTION("VALUE(REGEXEXTRACT(A8164, ""\d+""))"),12590.0)</f>
        <v>12590</v>
      </c>
    </row>
    <row r="8165">
      <c r="A8165" s="9" t="s">
        <v>27677</v>
      </c>
      <c r="B8165" s="9" t="s">
        <v>27678</v>
      </c>
      <c r="G8165" s="9" t="s">
        <v>27679</v>
      </c>
      <c r="O8165" s="10">
        <f>IFERROR(__xludf.DUMMYFUNCTION("VALUE(REGEXEXTRACT(A8165, ""\d+""))"),12591.0)</f>
        <v>12591</v>
      </c>
    </row>
    <row r="8166">
      <c r="A8166" s="9" t="s">
        <v>27680</v>
      </c>
      <c r="B8166" s="9" t="s">
        <v>27681</v>
      </c>
      <c r="G8166" s="9" t="s">
        <v>27682</v>
      </c>
      <c r="O8166" s="10">
        <f>IFERROR(__xludf.DUMMYFUNCTION("VALUE(REGEXEXTRACT(A8166, ""\d+""))"),12592.0)</f>
        <v>12592</v>
      </c>
    </row>
    <row r="8167">
      <c r="A8167" s="9" t="s">
        <v>27683</v>
      </c>
      <c r="B8167" s="9" t="s">
        <v>27684</v>
      </c>
      <c r="G8167" s="9" t="s">
        <v>27685</v>
      </c>
      <c r="O8167" s="10">
        <f>IFERROR(__xludf.DUMMYFUNCTION("VALUE(REGEXEXTRACT(A8167, ""\d+""))"),12593.0)</f>
        <v>12593</v>
      </c>
    </row>
    <row r="8168">
      <c r="A8168" s="9" t="s">
        <v>27686</v>
      </c>
      <c r="B8168" s="9" t="s">
        <v>27687</v>
      </c>
      <c r="G8168" s="9" t="s">
        <v>27688</v>
      </c>
      <c r="O8168" s="10">
        <f>IFERROR(__xludf.DUMMYFUNCTION("VALUE(REGEXEXTRACT(A8168, ""\d+""))"),12594.0)</f>
        <v>12594</v>
      </c>
    </row>
    <row r="8169">
      <c r="A8169" s="9" t="s">
        <v>27689</v>
      </c>
      <c r="B8169" s="9" t="s">
        <v>27690</v>
      </c>
      <c r="G8169" s="9" t="s">
        <v>27691</v>
      </c>
      <c r="O8169" s="10">
        <f>IFERROR(__xludf.DUMMYFUNCTION("VALUE(REGEXEXTRACT(A8169, ""\d+""))"),12595.0)</f>
        <v>12595</v>
      </c>
    </row>
    <row r="8170">
      <c r="A8170" s="9" t="s">
        <v>27692</v>
      </c>
      <c r="B8170" s="9" t="s">
        <v>27693</v>
      </c>
      <c r="G8170" s="9" t="s">
        <v>27694</v>
      </c>
      <c r="O8170" s="10">
        <f>IFERROR(__xludf.DUMMYFUNCTION("VALUE(REGEXEXTRACT(A8170, ""\d+""))"),12596.0)</f>
        <v>12596</v>
      </c>
    </row>
    <row r="8171">
      <c r="A8171" s="9" t="s">
        <v>27695</v>
      </c>
      <c r="B8171" s="9" t="s">
        <v>27696</v>
      </c>
      <c r="G8171" s="9" t="s">
        <v>27697</v>
      </c>
      <c r="O8171" s="10">
        <f>IFERROR(__xludf.DUMMYFUNCTION("VALUE(REGEXEXTRACT(A8171, ""\d+""))"),12597.0)</f>
        <v>12597</v>
      </c>
    </row>
    <row r="8172">
      <c r="A8172" s="9" t="s">
        <v>27698</v>
      </c>
      <c r="B8172" s="9" t="s">
        <v>27699</v>
      </c>
      <c r="G8172" s="9" t="s">
        <v>27700</v>
      </c>
      <c r="O8172" s="10">
        <f>IFERROR(__xludf.DUMMYFUNCTION("VALUE(REGEXEXTRACT(A8172, ""\d+""))"),12598.0)</f>
        <v>12598</v>
      </c>
    </row>
    <row r="8173">
      <c r="A8173" s="9" t="s">
        <v>27701</v>
      </c>
      <c r="B8173" s="9" t="s">
        <v>27702</v>
      </c>
      <c r="G8173" s="9" t="s">
        <v>27703</v>
      </c>
      <c r="O8173" s="10">
        <f>IFERROR(__xludf.DUMMYFUNCTION("VALUE(REGEXEXTRACT(A8173, ""\d+""))"),12599.0)</f>
        <v>12599</v>
      </c>
    </row>
    <row r="8174">
      <c r="A8174" s="9" t="s">
        <v>27704</v>
      </c>
      <c r="B8174" s="9" t="s">
        <v>27705</v>
      </c>
      <c r="G8174" s="9" t="s">
        <v>27706</v>
      </c>
      <c r="O8174" s="10">
        <f>IFERROR(__xludf.DUMMYFUNCTION("VALUE(REGEXEXTRACT(A8174, ""\d+""))"),12600.0)</f>
        <v>12600</v>
      </c>
    </row>
    <row r="8175">
      <c r="A8175" s="9" t="s">
        <v>27707</v>
      </c>
      <c r="B8175" s="9" t="s">
        <v>27708</v>
      </c>
      <c r="G8175" s="9" t="s">
        <v>27709</v>
      </c>
      <c r="O8175" s="10">
        <f>IFERROR(__xludf.DUMMYFUNCTION("VALUE(REGEXEXTRACT(A8175, ""\d+""))"),12601.0)</f>
        <v>12601</v>
      </c>
    </row>
    <row r="8176">
      <c r="A8176" s="9" t="s">
        <v>27710</v>
      </c>
      <c r="B8176" s="9" t="s">
        <v>27711</v>
      </c>
      <c r="G8176" s="9" t="s">
        <v>27712</v>
      </c>
      <c r="O8176" s="10">
        <f>IFERROR(__xludf.DUMMYFUNCTION("VALUE(REGEXEXTRACT(A8176, ""\d+""))"),12602.0)</f>
        <v>12602</v>
      </c>
    </row>
    <row r="8177">
      <c r="A8177" s="9" t="s">
        <v>27713</v>
      </c>
      <c r="B8177" s="9" t="s">
        <v>27714</v>
      </c>
      <c r="G8177" s="9" t="s">
        <v>27715</v>
      </c>
      <c r="O8177" s="10">
        <f>IFERROR(__xludf.DUMMYFUNCTION("VALUE(REGEXEXTRACT(A8177, ""\d+""))"),12603.0)</f>
        <v>12603</v>
      </c>
    </row>
    <row r="8178">
      <c r="A8178" s="9" t="s">
        <v>27716</v>
      </c>
      <c r="B8178" s="9" t="s">
        <v>27717</v>
      </c>
      <c r="G8178" s="9" t="s">
        <v>27718</v>
      </c>
      <c r="O8178" s="10">
        <f>IFERROR(__xludf.DUMMYFUNCTION("VALUE(REGEXEXTRACT(A8178, ""\d+""))"),12604.0)</f>
        <v>12604</v>
      </c>
    </row>
    <row r="8179">
      <c r="A8179" s="9" t="s">
        <v>27719</v>
      </c>
      <c r="B8179" s="9" t="s">
        <v>27720</v>
      </c>
      <c r="G8179" s="9" t="s">
        <v>27721</v>
      </c>
      <c r="O8179" s="10">
        <f>IFERROR(__xludf.DUMMYFUNCTION("VALUE(REGEXEXTRACT(A8179, ""\d+""))"),12605.0)</f>
        <v>12605</v>
      </c>
    </row>
    <row r="8180">
      <c r="A8180" s="9" t="s">
        <v>27722</v>
      </c>
      <c r="B8180" s="9" t="s">
        <v>27723</v>
      </c>
      <c r="G8180" s="9" t="s">
        <v>27724</v>
      </c>
      <c r="O8180" s="10">
        <f>IFERROR(__xludf.DUMMYFUNCTION("VALUE(REGEXEXTRACT(A8180, ""\d+""))"),12606.0)</f>
        <v>12606</v>
      </c>
    </row>
    <row r="8181">
      <c r="A8181" s="9" t="s">
        <v>27725</v>
      </c>
      <c r="B8181" s="9" t="s">
        <v>27726</v>
      </c>
      <c r="G8181" s="9" t="s">
        <v>27727</v>
      </c>
      <c r="O8181" s="10">
        <f>IFERROR(__xludf.DUMMYFUNCTION("VALUE(REGEXEXTRACT(A8181, ""\d+""))"),12607.0)</f>
        <v>12607</v>
      </c>
    </row>
    <row r="8182">
      <c r="A8182" s="9" t="s">
        <v>27728</v>
      </c>
      <c r="B8182" s="9" t="s">
        <v>27729</v>
      </c>
      <c r="G8182" s="9" t="s">
        <v>27730</v>
      </c>
      <c r="O8182" s="10">
        <f>IFERROR(__xludf.DUMMYFUNCTION("VALUE(REGEXEXTRACT(A8182, ""\d+""))"),12608.0)</f>
        <v>12608</v>
      </c>
    </row>
    <row r="8183">
      <c r="A8183" s="9" t="s">
        <v>27731</v>
      </c>
      <c r="B8183" s="9" t="s">
        <v>27732</v>
      </c>
      <c r="G8183" s="9" t="s">
        <v>27733</v>
      </c>
      <c r="O8183" s="10">
        <f>IFERROR(__xludf.DUMMYFUNCTION("VALUE(REGEXEXTRACT(A8183, ""\d+""))"),12609.0)</f>
        <v>12609</v>
      </c>
    </row>
    <row r="8184">
      <c r="A8184" s="9" t="s">
        <v>27734</v>
      </c>
      <c r="B8184" s="9" t="s">
        <v>27735</v>
      </c>
      <c r="G8184" s="9" t="s">
        <v>27736</v>
      </c>
      <c r="O8184" s="10">
        <f>IFERROR(__xludf.DUMMYFUNCTION("VALUE(REGEXEXTRACT(A8184, ""\d+""))"),12610.0)</f>
        <v>12610</v>
      </c>
    </row>
    <row r="8185">
      <c r="A8185" s="9" t="s">
        <v>27737</v>
      </c>
      <c r="B8185" s="9" t="s">
        <v>27738</v>
      </c>
      <c r="G8185" s="9" t="s">
        <v>27739</v>
      </c>
      <c r="O8185" s="10">
        <f>IFERROR(__xludf.DUMMYFUNCTION("VALUE(REGEXEXTRACT(A8185, ""\d+""))"),12611.0)</f>
        <v>12611</v>
      </c>
    </row>
    <row r="8186">
      <c r="A8186" s="9" t="s">
        <v>27740</v>
      </c>
      <c r="B8186" s="9" t="s">
        <v>27741</v>
      </c>
      <c r="G8186" s="9" t="s">
        <v>27742</v>
      </c>
      <c r="O8186" s="10">
        <f>IFERROR(__xludf.DUMMYFUNCTION("VALUE(REGEXEXTRACT(A8186, ""\d+""))"),12612.0)</f>
        <v>12612</v>
      </c>
    </row>
    <row r="8187">
      <c r="A8187" s="9" t="s">
        <v>27743</v>
      </c>
      <c r="B8187" s="9" t="s">
        <v>27744</v>
      </c>
      <c r="G8187" s="9" t="s">
        <v>27745</v>
      </c>
      <c r="O8187" s="10">
        <f>IFERROR(__xludf.DUMMYFUNCTION("VALUE(REGEXEXTRACT(A8187, ""\d+""))"),12613.0)</f>
        <v>12613</v>
      </c>
    </row>
    <row r="8188">
      <c r="A8188" s="9" t="s">
        <v>27746</v>
      </c>
      <c r="B8188" s="9" t="s">
        <v>27747</v>
      </c>
      <c r="G8188" s="9" t="s">
        <v>27748</v>
      </c>
      <c r="O8188" s="10">
        <f>IFERROR(__xludf.DUMMYFUNCTION("VALUE(REGEXEXTRACT(A8188, ""\d+""))"),12614.0)</f>
        <v>12614</v>
      </c>
    </row>
    <row r="8189">
      <c r="A8189" s="9" t="s">
        <v>27749</v>
      </c>
      <c r="B8189" s="9" t="s">
        <v>27750</v>
      </c>
      <c r="G8189" s="9" t="s">
        <v>27751</v>
      </c>
      <c r="O8189" s="10">
        <f>IFERROR(__xludf.DUMMYFUNCTION("VALUE(REGEXEXTRACT(A8189, ""\d+""))"),12615.0)</f>
        <v>12615</v>
      </c>
    </row>
    <row r="8190">
      <c r="A8190" s="9" t="s">
        <v>27752</v>
      </c>
      <c r="B8190" s="9" t="s">
        <v>27753</v>
      </c>
      <c r="G8190" s="9" t="s">
        <v>27754</v>
      </c>
      <c r="O8190" s="10">
        <f>IFERROR(__xludf.DUMMYFUNCTION("VALUE(REGEXEXTRACT(A8190, ""\d+""))"),12616.0)</f>
        <v>12616</v>
      </c>
    </row>
    <row r="8191">
      <c r="A8191" s="9" t="s">
        <v>27755</v>
      </c>
      <c r="B8191" s="9" t="s">
        <v>27756</v>
      </c>
      <c r="G8191" s="9" t="s">
        <v>27757</v>
      </c>
      <c r="O8191" s="10">
        <f>IFERROR(__xludf.DUMMYFUNCTION("VALUE(REGEXEXTRACT(A8191, ""\d+""))"),12617.0)</f>
        <v>12617</v>
      </c>
    </row>
    <row r="8192">
      <c r="A8192" s="9" t="s">
        <v>27758</v>
      </c>
      <c r="B8192" s="9" t="s">
        <v>27759</v>
      </c>
      <c r="G8192" s="9" t="s">
        <v>27760</v>
      </c>
      <c r="O8192" s="10">
        <f>IFERROR(__xludf.DUMMYFUNCTION("VALUE(REGEXEXTRACT(A8192, ""\d+""))"),12618.0)</f>
        <v>12618</v>
      </c>
    </row>
    <row r="8193">
      <c r="A8193" s="9" t="s">
        <v>27761</v>
      </c>
      <c r="B8193" s="9" t="s">
        <v>27762</v>
      </c>
      <c r="G8193" s="9" t="s">
        <v>27763</v>
      </c>
      <c r="O8193" s="10">
        <f>IFERROR(__xludf.DUMMYFUNCTION("VALUE(REGEXEXTRACT(A8193, ""\d+""))"),12619.0)</f>
        <v>12619</v>
      </c>
    </row>
    <row r="8194">
      <c r="A8194" s="9" t="s">
        <v>27764</v>
      </c>
      <c r="B8194" s="9" t="s">
        <v>27765</v>
      </c>
      <c r="G8194" s="9" t="s">
        <v>27766</v>
      </c>
      <c r="O8194" s="10">
        <f>IFERROR(__xludf.DUMMYFUNCTION("VALUE(REGEXEXTRACT(A8194, ""\d+""))"),12620.0)</f>
        <v>12620</v>
      </c>
    </row>
    <row r="8195">
      <c r="A8195" s="9" t="s">
        <v>27767</v>
      </c>
      <c r="B8195" s="9" t="s">
        <v>27768</v>
      </c>
      <c r="G8195" s="9" t="s">
        <v>27769</v>
      </c>
      <c r="O8195" s="10">
        <f>IFERROR(__xludf.DUMMYFUNCTION("VALUE(REGEXEXTRACT(A8195, ""\d+""))"),12621.0)</f>
        <v>12621</v>
      </c>
    </row>
    <row r="8196">
      <c r="A8196" s="9" t="s">
        <v>27770</v>
      </c>
      <c r="B8196" s="9" t="s">
        <v>27771</v>
      </c>
      <c r="G8196" s="9" t="s">
        <v>27772</v>
      </c>
      <c r="O8196" s="10">
        <f>IFERROR(__xludf.DUMMYFUNCTION("VALUE(REGEXEXTRACT(A8196, ""\d+""))"),12622.0)</f>
        <v>12622</v>
      </c>
    </row>
    <row r="8197">
      <c r="A8197" s="9" t="s">
        <v>27773</v>
      </c>
      <c r="B8197" s="9" t="s">
        <v>27774</v>
      </c>
      <c r="G8197" s="9" t="s">
        <v>27775</v>
      </c>
      <c r="O8197" s="10">
        <f>IFERROR(__xludf.DUMMYFUNCTION("VALUE(REGEXEXTRACT(A8197, ""\d+""))"),12623.0)</f>
        <v>12623</v>
      </c>
    </row>
    <row r="8198">
      <c r="A8198" s="9" t="s">
        <v>27776</v>
      </c>
      <c r="B8198" s="9" t="s">
        <v>27777</v>
      </c>
      <c r="G8198" s="9" t="s">
        <v>27778</v>
      </c>
      <c r="O8198" s="10">
        <f>IFERROR(__xludf.DUMMYFUNCTION("VALUE(REGEXEXTRACT(A8198, ""\d+""))"),12624.0)</f>
        <v>12624</v>
      </c>
    </row>
    <row r="8199">
      <c r="A8199" s="9" t="s">
        <v>27779</v>
      </c>
      <c r="B8199" s="9" t="s">
        <v>27780</v>
      </c>
      <c r="G8199" s="9" t="s">
        <v>27781</v>
      </c>
      <c r="O8199" s="10">
        <f>IFERROR(__xludf.DUMMYFUNCTION("VALUE(REGEXEXTRACT(A8199, ""\d+""))"),12625.0)</f>
        <v>12625</v>
      </c>
    </row>
    <row r="8200">
      <c r="A8200" s="9" t="s">
        <v>27782</v>
      </c>
      <c r="B8200" s="9" t="s">
        <v>27783</v>
      </c>
      <c r="G8200" s="9" t="s">
        <v>27783</v>
      </c>
      <c r="O8200" s="10">
        <f>IFERROR(__xludf.DUMMYFUNCTION("VALUE(REGEXEXTRACT(A8200, ""\d+""))"),12626.0)</f>
        <v>12626</v>
      </c>
    </row>
    <row r="8201">
      <c r="A8201" s="9" t="s">
        <v>27784</v>
      </c>
      <c r="B8201" s="9" t="s">
        <v>27785</v>
      </c>
      <c r="G8201" s="9" t="s">
        <v>27786</v>
      </c>
      <c r="O8201" s="10">
        <f>IFERROR(__xludf.DUMMYFUNCTION("VALUE(REGEXEXTRACT(A8201, ""\d+""))"),12627.0)</f>
        <v>12627</v>
      </c>
    </row>
    <row r="8202">
      <c r="A8202" s="9" t="s">
        <v>27787</v>
      </c>
      <c r="B8202" s="9" t="s">
        <v>27788</v>
      </c>
      <c r="G8202" s="9" t="s">
        <v>27789</v>
      </c>
      <c r="O8202" s="10">
        <f>IFERROR(__xludf.DUMMYFUNCTION("VALUE(REGEXEXTRACT(A8202, ""\d+""))"),12628.0)</f>
        <v>12628</v>
      </c>
    </row>
    <row r="8203">
      <c r="A8203" s="9" t="s">
        <v>27790</v>
      </c>
      <c r="B8203" s="9" t="s">
        <v>27791</v>
      </c>
      <c r="G8203" s="9" t="s">
        <v>27792</v>
      </c>
      <c r="O8203" s="10">
        <f>IFERROR(__xludf.DUMMYFUNCTION("VALUE(REGEXEXTRACT(A8203, ""\d+""))"),12629.0)</f>
        <v>12629</v>
      </c>
    </row>
    <row r="8204">
      <c r="A8204" s="9" t="s">
        <v>27793</v>
      </c>
      <c r="B8204" s="9" t="s">
        <v>27794</v>
      </c>
      <c r="G8204" s="9" t="s">
        <v>27795</v>
      </c>
      <c r="O8204" s="10">
        <f>IFERROR(__xludf.DUMMYFUNCTION("VALUE(REGEXEXTRACT(A8204, ""\d+""))"),12630.0)</f>
        <v>12630</v>
      </c>
    </row>
    <row r="8205">
      <c r="A8205" s="9" t="s">
        <v>27796</v>
      </c>
      <c r="B8205" s="9" t="s">
        <v>27797</v>
      </c>
      <c r="G8205" s="9" t="s">
        <v>27797</v>
      </c>
      <c r="O8205" s="10">
        <f>IFERROR(__xludf.DUMMYFUNCTION("VALUE(REGEXEXTRACT(A8205, ""\d+""))"),12631.0)</f>
        <v>12631</v>
      </c>
    </row>
    <row r="8206">
      <c r="A8206" s="9" t="s">
        <v>27798</v>
      </c>
      <c r="B8206" s="9" t="s">
        <v>27799</v>
      </c>
      <c r="G8206" s="9" t="s">
        <v>27799</v>
      </c>
      <c r="O8206" s="10">
        <f>IFERROR(__xludf.DUMMYFUNCTION("VALUE(REGEXEXTRACT(A8206, ""\d+""))"),12632.0)</f>
        <v>12632</v>
      </c>
    </row>
    <row r="8207">
      <c r="A8207" s="9" t="s">
        <v>27800</v>
      </c>
      <c r="B8207" s="9" t="s">
        <v>27801</v>
      </c>
      <c r="G8207" s="9" t="s">
        <v>27801</v>
      </c>
      <c r="O8207" s="10">
        <f>IFERROR(__xludf.DUMMYFUNCTION("VALUE(REGEXEXTRACT(A8207, ""\d+""))"),12634.0)</f>
        <v>12634</v>
      </c>
    </row>
    <row r="8208">
      <c r="A8208" s="9" t="s">
        <v>27802</v>
      </c>
      <c r="B8208" s="9" t="s">
        <v>27803</v>
      </c>
      <c r="G8208" s="9" t="s">
        <v>27803</v>
      </c>
      <c r="O8208" s="10">
        <f>IFERROR(__xludf.DUMMYFUNCTION("VALUE(REGEXEXTRACT(A8208, ""\d+""))"),12635.0)</f>
        <v>12635</v>
      </c>
    </row>
    <row r="8209">
      <c r="A8209" s="9" t="s">
        <v>27804</v>
      </c>
      <c r="B8209" s="9" t="s">
        <v>27805</v>
      </c>
      <c r="G8209" s="9" t="s">
        <v>27805</v>
      </c>
      <c r="O8209" s="10">
        <f>IFERROR(__xludf.DUMMYFUNCTION("VALUE(REGEXEXTRACT(A8209, ""\d+""))"),12636.0)</f>
        <v>12636</v>
      </c>
    </row>
    <row r="8210">
      <c r="A8210" s="9" t="s">
        <v>27806</v>
      </c>
      <c r="B8210" s="9" t="s">
        <v>27807</v>
      </c>
      <c r="G8210" s="9" t="s">
        <v>27808</v>
      </c>
      <c r="O8210" s="10">
        <f>IFERROR(__xludf.DUMMYFUNCTION("VALUE(REGEXEXTRACT(A8210, ""\d+""))"),12639.0)</f>
        <v>12639</v>
      </c>
    </row>
    <row r="8211">
      <c r="A8211" s="9" t="s">
        <v>27809</v>
      </c>
      <c r="B8211" s="9" t="s">
        <v>27810</v>
      </c>
      <c r="G8211" s="9" t="s">
        <v>27811</v>
      </c>
      <c r="O8211" s="10">
        <f>IFERROR(__xludf.DUMMYFUNCTION("VALUE(REGEXEXTRACT(A8211, ""\d+""))"),12640.0)</f>
        <v>12640</v>
      </c>
    </row>
    <row r="8212">
      <c r="A8212" s="9" t="s">
        <v>27812</v>
      </c>
      <c r="B8212" s="9" t="s">
        <v>27813</v>
      </c>
      <c r="G8212" s="9" t="s">
        <v>27814</v>
      </c>
      <c r="O8212" s="10">
        <f>IFERROR(__xludf.DUMMYFUNCTION("VALUE(REGEXEXTRACT(A8212, ""\d+""))"),12641.0)</f>
        <v>12641</v>
      </c>
    </row>
    <row r="8213">
      <c r="A8213" s="9" t="s">
        <v>27815</v>
      </c>
      <c r="B8213" s="9" t="s">
        <v>27816</v>
      </c>
      <c r="G8213" s="9" t="s">
        <v>27817</v>
      </c>
      <c r="O8213" s="10">
        <f>IFERROR(__xludf.DUMMYFUNCTION("VALUE(REGEXEXTRACT(A8213, ""\d+""))"),12645.0)</f>
        <v>12645</v>
      </c>
    </row>
    <row r="8214">
      <c r="A8214" s="9" t="s">
        <v>27818</v>
      </c>
      <c r="B8214" s="9" t="s">
        <v>27819</v>
      </c>
      <c r="G8214" s="9" t="s">
        <v>27820</v>
      </c>
      <c r="O8214" s="10">
        <f>IFERROR(__xludf.DUMMYFUNCTION("VALUE(REGEXEXTRACT(A8214, ""\d+""))"),12646.0)</f>
        <v>12646</v>
      </c>
    </row>
    <row r="8215">
      <c r="A8215" s="9" t="s">
        <v>27821</v>
      </c>
      <c r="B8215" s="9" t="s">
        <v>27822</v>
      </c>
      <c r="G8215" s="9" t="s">
        <v>27823</v>
      </c>
      <c r="O8215" s="10">
        <f>IFERROR(__xludf.DUMMYFUNCTION("VALUE(REGEXEXTRACT(A8215, ""\d+""))"),12647.0)</f>
        <v>12647</v>
      </c>
    </row>
    <row r="8216">
      <c r="A8216" s="9" t="s">
        <v>27824</v>
      </c>
      <c r="B8216" s="9" t="s">
        <v>27825</v>
      </c>
      <c r="G8216" s="9" t="s">
        <v>27826</v>
      </c>
      <c r="O8216" s="10">
        <f>IFERROR(__xludf.DUMMYFUNCTION("VALUE(REGEXEXTRACT(A8216, ""\d+""))"),12648.0)</f>
        <v>12648</v>
      </c>
    </row>
    <row r="8217">
      <c r="A8217" s="9" t="s">
        <v>27827</v>
      </c>
      <c r="B8217" s="9" t="s">
        <v>27828</v>
      </c>
      <c r="G8217" s="9" t="s">
        <v>27829</v>
      </c>
      <c r="O8217" s="10">
        <f>IFERROR(__xludf.DUMMYFUNCTION("VALUE(REGEXEXTRACT(A8217, ""\d+""))"),12649.0)</f>
        <v>12649</v>
      </c>
    </row>
    <row r="8218">
      <c r="A8218" s="9" t="s">
        <v>27830</v>
      </c>
      <c r="B8218" s="9" t="s">
        <v>27831</v>
      </c>
      <c r="G8218" s="9" t="s">
        <v>27832</v>
      </c>
      <c r="O8218" s="10">
        <f>IFERROR(__xludf.DUMMYFUNCTION("VALUE(REGEXEXTRACT(A8218, ""\d+""))"),12650.0)</f>
        <v>12650</v>
      </c>
    </row>
    <row r="8219">
      <c r="A8219" s="9" t="s">
        <v>27833</v>
      </c>
      <c r="B8219" s="9" t="s">
        <v>27834</v>
      </c>
      <c r="G8219" s="9" t="s">
        <v>27835</v>
      </c>
      <c r="O8219" s="10">
        <f>IFERROR(__xludf.DUMMYFUNCTION("VALUE(REGEXEXTRACT(A8219, ""\d+""))"),12651.0)</f>
        <v>12651</v>
      </c>
    </row>
    <row r="8220">
      <c r="A8220" s="9" t="s">
        <v>27836</v>
      </c>
      <c r="B8220" s="9" t="s">
        <v>27837</v>
      </c>
      <c r="G8220" s="9" t="s">
        <v>27838</v>
      </c>
      <c r="O8220" s="10">
        <f>IFERROR(__xludf.DUMMYFUNCTION("VALUE(REGEXEXTRACT(A8220, ""\d+""))"),12652.0)</f>
        <v>12652</v>
      </c>
    </row>
    <row r="8221">
      <c r="A8221" s="9" t="s">
        <v>27839</v>
      </c>
      <c r="B8221" s="9" t="s">
        <v>27840</v>
      </c>
      <c r="G8221" s="9" t="s">
        <v>27840</v>
      </c>
      <c r="O8221" s="10">
        <f>IFERROR(__xludf.DUMMYFUNCTION("VALUE(REGEXEXTRACT(A8221, ""\d+""))"),12653.0)</f>
        <v>12653</v>
      </c>
    </row>
    <row r="8222">
      <c r="A8222" s="9" t="s">
        <v>27841</v>
      </c>
      <c r="B8222" s="9" t="s">
        <v>27842</v>
      </c>
      <c r="G8222" s="9" t="s">
        <v>27842</v>
      </c>
      <c r="O8222" s="10">
        <f>IFERROR(__xludf.DUMMYFUNCTION("VALUE(REGEXEXTRACT(A8222, ""\d+""))"),12654.0)</f>
        <v>12654</v>
      </c>
    </row>
    <row r="8223">
      <c r="A8223" s="9" t="s">
        <v>27843</v>
      </c>
      <c r="B8223" s="9" t="s">
        <v>27844</v>
      </c>
      <c r="G8223" s="9" t="s">
        <v>27844</v>
      </c>
      <c r="O8223" s="10">
        <f>IFERROR(__xludf.DUMMYFUNCTION("VALUE(REGEXEXTRACT(A8223, ""\d+""))"),12655.0)</f>
        <v>12655</v>
      </c>
    </row>
    <row r="8224">
      <c r="A8224" s="9" t="s">
        <v>27845</v>
      </c>
      <c r="B8224" s="9" t="s">
        <v>27846</v>
      </c>
      <c r="G8224" s="9" t="s">
        <v>27847</v>
      </c>
      <c r="O8224" s="10">
        <f>IFERROR(__xludf.DUMMYFUNCTION("VALUE(REGEXEXTRACT(A8224, ""\d+""))"),12657.0)</f>
        <v>12657</v>
      </c>
    </row>
    <row r="8225">
      <c r="A8225" s="9" t="s">
        <v>27848</v>
      </c>
      <c r="B8225" s="9" t="s">
        <v>27849</v>
      </c>
      <c r="G8225" s="9" t="s">
        <v>27850</v>
      </c>
      <c r="O8225" s="10">
        <f>IFERROR(__xludf.DUMMYFUNCTION("VALUE(REGEXEXTRACT(A8225, ""\d+""))"),12658.0)</f>
        <v>12658</v>
      </c>
    </row>
    <row r="8226">
      <c r="A8226" s="9" t="s">
        <v>27851</v>
      </c>
      <c r="B8226" s="9" t="s">
        <v>27852</v>
      </c>
      <c r="G8226" s="9" t="s">
        <v>27853</v>
      </c>
      <c r="O8226" s="10">
        <f>IFERROR(__xludf.DUMMYFUNCTION("VALUE(REGEXEXTRACT(A8226, ""\d+""))"),12659.0)</f>
        <v>12659</v>
      </c>
    </row>
    <row r="8227">
      <c r="A8227" s="9" t="s">
        <v>27854</v>
      </c>
      <c r="B8227" s="9" t="s">
        <v>27855</v>
      </c>
      <c r="G8227" s="9" t="s">
        <v>27856</v>
      </c>
      <c r="O8227" s="10">
        <f>IFERROR(__xludf.DUMMYFUNCTION("VALUE(REGEXEXTRACT(A8227, ""\d+""))"),12660.0)</f>
        <v>12660</v>
      </c>
    </row>
    <row r="8228">
      <c r="A8228" s="9" t="s">
        <v>27857</v>
      </c>
      <c r="B8228" s="9" t="s">
        <v>27858</v>
      </c>
      <c r="G8228" s="9" t="s">
        <v>27859</v>
      </c>
      <c r="O8228" s="10">
        <f>IFERROR(__xludf.DUMMYFUNCTION("VALUE(REGEXEXTRACT(A8228, ""\d+""))"),12661.0)</f>
        <v>12661</v>
      </c>
    </row>
    <row r="8229">
      <c r="A8229" s="9" t="s">
        <v>27860</v>
      </c>
      <c r="B8229" s="9" t="s">
        <v>27861</v>
      </c>
      <c r="G8229" s="9" t="s">
        <v>27862</v>
      </c>
      <c r="O8229" s="10">
        <f>IFERROR(__xludf.DUMMYFUNCTION("VALUE(REGEXEXTRACT(A8229, ""\d+""))"),12662.0)</f>
        <v>12662</v>
      </c>
    </row>
    <row r="8230">
      <c r="A8230" s="9" t="s">
        <v>27863</v>
      </c>
      <c r="B8230" s="9" t="s">
        <v>27864</v>
      </c>
      <c r="G8230" s="9" t="s">
        <v>27865</v>
      </c>
      <c r="O8230" s="10">
        <f>IFERROR(__xludf.DUMMYFUNCTION("VALUE(REGEXEXTRACT(A8230, ""\d+""))"),12663.0)</f>
        <v>12663</v>
      </c>
    </row>
    <row r="8231">
      <c r="A8231" s="9" t="s">
        <v>27866</v>
      </c>
      <c r="B8231" s="9" t="s">
        <v>27867</v>
      </c>
      <c r="G8231" s="9" t="s">
        <v>27868</v>
      </c>
      <c r="O8231" s="10">
        <f>IFERROR(__xludf.DUMMYFUNCTION("VALUE(REGEXEXTRACT(A8231, ""\d+""))"),12664.0)</f>
        <v>12664</v>
      </c>
    </row>
    <row r="8232">
      <c r="A8232" s="9" t="s">
        <v>27869</v>
      </c>
      <c r="B8232" s="9" t="s">
        <v>27870</v>
      </c>
      <c r="G8232" s="9" t="s">
        <v>27871</v>
      </c>
      <c r="O8232" s="10">
        <f>IFERROR(__xludf.DUMMYFUNCTION("VALUE(REGEXEXTRACT(A8232, ""\d+""))"),12665.0)</f>
        <v>12665</v>
      </c>
    </row>
    <row r="8233">
      <c r="A8233" s="9" t="s">
        <v>27872</v>
      </c>
      <c r="B8233" s="9" t="s">
        <v>27873</v>
      </c>
      <c r="G8233" s="9" t="s">
        <v>27874</v>
      </c>
      <c r="O8233" s="10">
        <f>IFERROR(__xludf.DUMMYFUNCTION("VALUE(REGEXEXTRACT(A8233, ""\d+""))"),12666.0)</f>
        <v>12666</v>
      </c>
    </row>
    <row r="8234">
      <c r="A8234" s="9" t="s">
        <v>27875</v>
      </c>
      <c r="B8234" s="9" t="s">
        <v>27876</v>
      </c>
      <c r="G8234" s="9" t="s">
        <v>27877</v>
      </c>
      <c r="O8234" s="10">
        <f>IFERROR(__xludf.DUMMYFUNCTION("VALUE(REGEXEXTRACT(A8234, ""\d+""))"),12667.0)</f>
        <v>12667</v>
      </c>
    </row>
    <row r="8235">
      <c r="A8235" s="9" t="s">
        <v>27878</v>
      </c>
      <c r="B8235" s="9" t="s">
        <v>27879</v>
      </c>
      <c r="G8235" s="9" t="s">
        <v>27880</v>
      </c>
      <c r="O8235" s="10">
        <f>IFERROR(__xludf.DUMMYFUNCTION("VALUE(REGEXEXTRACT(A8235, ""\d+""))"),12668.0)</f>
        <v>12668</v>
      </c>
    </row>
    <row r="8236">
      <c r="A8236" s="9" t="s">
        <v>27881</v>
      </c>
      <c r="B8236" s="9" t="s">
        <v>27882</v>
      </c>
      <c r="G8236" s="9" t="s">
        <v>27883</v>
      </c>
      <c r="O8236" s="10">
        <f>IFERROR(__xludf.DUMMYFUNCTION("VALUE(REGEXEXTRACT(A8236, ""\d+""))"),12669.0)</f>
        <v>12669</v>
      </c>
    </row>
    <row r="8237">
      <c r="A8237" s="9" t="s">
        <v>27884</v>
      </c>
      <c r="B8237" s="9" t="s">
        <v>27885</v>
      </c>
      <c r="G8237" s="9" t="s">
        <v>27886</v>
      </c>
      <c r="O8237" s="10">
        <f>IFERROR(__xludf.DUMMYFUNCTION("VALUE(REGEXEXTRACT(A8237, ""\d+""))"),12670.0)</f>
        <v>12670</v>
      </c>
    </row>
    <row r="8238">
      <c r="A8238" s="9" t="s">
        <v>27887</v>
      </c>
      <c r="B8238" s="9" t="s">
        <v>27888</v>
      </c>
      <c r="G8238" s="9" t="s">
        <v>27889</v>
      </c>
      <c r="O8238" s="10">
        <f>IFERROR(__xludf.DUMMYFUNCTION("VALUE(REGEXEXTRACT(A8238, ""\d+""))"),12671.0)</f>
        <v>12671</v>
      </c>
    </row>
    <row r="8239">
      <c r="A8239" s="9" t="s">
        <v>27890</v>
      </c>
      <c r="B8239" s="9" t="s">
        <v>27891</v>
      </c>
      <c r="G8239" s="9" t="s">
        <v>27892</v>
      </c>
      <c r="O8239" s="10">
        <f>IFERROR(__xludf.DUMMYFUNCTION("VALUE(REGEXEXTRACT(A8239, ""\d+""))"),12672.0)</f>
        <v>12672</v>
      </c>
    </row>
    <row r="8240">
      <c r="A8240" s="9" t="s">
        <v>27893</v>
      </c>
      <c r="B8240" s="9" t="s">
        <v>27894</v>
      </c>
      <c r="G8240" s="9" t="s">
        <v>27895</v>
      </c>
      <c r="O8240" s="10">
        <f>IFERROR(__xludf.DUMMYFUNCTION("VALUE(REGEXEXTRACT(A8240, ""\d+""))"),12673.0)</f>
        <v>12673</v>
      </c>
    </row>
    <row r="8241">
      <c r="A8241" s="9" t="s">
        <v>27896</v>
      </c>
      <c r="B8241" s="9" t="s">
        <v>27897</v>
      </c>
      <c r="G8241" s="9" t="s">
        <v>27898</v>
      </c>
      <c r="O8241" s="10">
        <f>IFERROR(__xludf.DUMMYFUNCTION("VALUE(REGEXEXTRACT(A8241, ""\d+""))"),12674.0)</f>
        <v>12674</v>
      </c>
    </row>
    <row r="8242">
      <c r="A8242" s="9" t="s">
        <v>27899</v>
      </c>
      <c r="B8242" s="9" t="s">
        <v>27900</v>
      </c>
      <c r="G8242" s="9" t="s">
        <v>27901</v>
      </c>
      <c r="O8242" s="10">
        <f>IFERROR(__xludf.DUMMYFUNCTION("VALUE(REGEXEXTRACT(A8242, ""\d+""))"),12675.0)</f>
        <v>12675</v>
      </c>
    </row>
    <row r="8243">
      <c r="A8243" s="9" t="s">
        <v>27902</v>
      </c>
      <c r="B8243" s="9" t="s">
        <v>27903</v>
      </c>
      <c r="G8243" s="9" t="s">
        <v>27904</v>
      </c>
      <c r="O8243" s="10">
        <f>IFERROR(__xludf.DUMMYFUNCTION("VALUE(REGEXEXTRACT(A8243, ""\d+""))"),12676.0)</f>
        <v>12676</v>
      </c>
    </row>
    <row r="8244">
      <c r="A8244" s="9" t="s">
        <v>27905</v>
      </c>
      <c r="B8244" s="9" t="s">
        <v>27906</v>
      </c>
      <c r="G8244" s="9" t="s">
        <v>27907</v>
      </c>
      <c r="O8244" s="10">
        <f>IFERROR(__xludf.DUMMYFUNCTION("VALUE(REGEXEXTRACT(A8244, ""\d+""))"),12677.0)</f>
        <v>12677</v>
      </c>
    </row>
    <row r="8245">
      <c r="A8245" s="9" t="s">
        <v>27908</v>
      </c>
      <c r="B8245" s="9" t="s">
        <v>27909</v>
      </c>
      <c r="G8245" s="9" t="s">
        <v>27910</v>
      </c>
      <c r="O8245" s="10">
        <f>IFERROR(__xludf.DUMMYFUNCTION("VALUE(REGEXEXTRACT(A8245, ""\d+""))"),12678.0)</f>
        <v>12678</v>
      </c>
    </row>
    <row r="8246">
      <c r="A8246" s="9" t="s">
        <v>27911</v>
      </c>
      <c r="B8246" s="9" t="s">
        <v>27912</v>
      </c>
      <c r="G8246" s="9" t="s">
        <v>27913</v>
      </c>
      <c r="O8246" s="10">
        <f>IFERROR(__xludf.DUMMYFUNCTION("VALUE(REGEXEXTRACT(A8246, ""\d+""))"),12679.0)</f>
        <v>12679</v>
      </c>
    </row>
    <row r="8247">
      <c r="A8247" s="9" t="s">
        <v>27914</v>
      </c>
      <c r="B8247" s="9" t="s">
        <v>27915</v>
      </c>
      <c r="G8247" s="9" t="s">
        <v>27916</v>
      </c>
      <c r="O8247" s="10">
        <f>IFERROR(__xludf.DUMMYFUNCTION("VALUE(REGEXEXTRACT(A8247, ""\d+""))"),12680.0)</f>
        <v>12680</v>
      </c>
    </row>
    <row r="8248">
      <c r="A8248" s="9" t="s">
        <v>27917</v>
      </c>
      <c r="B8248" s="9" t="s">
        <v>27918</v>
      </c>
      <c r="G8248" s="9" t="s">
        <v>27919</v>
      </c>
      <c r="O8248" s="10">
        <f>IFERROR(__xludf.DUMMYFUNCTION("VALUE(REGEXEXTRACT(A8248, ""\d+""))"),12681.0)</f>
        <v>12681</v>
      </c>
    </row>
    <row r="8249">
      <c r="A8249" s="9" t="s">
        <v>27920</v>
      </c>
      <c r="B8249" s="9" t="s">
        <v>27921</v>
      </c>
      <c r="G8249" s="9" t="s">
        <v>27922</v>
      </c>
      <c r="O8249" s="10">
        <f>IFERROR(__xludf.DUMMYFUNCTION("VALUE(REGEXEXTRACT(A8249, ""\d+""))"),12682.0)</f>
        <v>12682</v>
      </c>
    </row>
    <row r="8250">
      <c r="A8250" s="9" t="s">
        <v>27923</v>
      </c>
      <c r="B8250" s="9" t="s">
        <v>27924</v>
      </c>
      <c r="G8250" s="9" t="s">
        <v>27925</v>
      </c>
      <c r="O8250" s="10">
        <f>IFERROR(__xludf.DUMMYFUNCTION("VALUE(REGEXEXTRACT(A8250, ""\d+""))"),12683.0)</f>
        <v>12683</v>
      </c>
    </row>
    <row r="8251">
      <c r="A8251" s="9" t="s">
        <v>27926</v>
      </c>
      <c r="B8251" s="9" t="s">
        <v>27927</v>
      </c>
      <c r="G8251" s="9" t="s">
        <v>27928</v>
      </c>
      <c r="O8251" s="10">
        <f>IFERROR(__xludf.DUMMYFUNCTION("VALUE(REGEXEXTRACT(A8251, ""\d+""))"),12684.0)</f>
        <v>12684</v>
      </c>
    </row>
    <row r="8252">
      <c r="A8252" s="9" t="s">
        <v>27929</v>
      </c>
      <c r="B8252" s="9" t="s">
        <v>27930</v>
      </c>
      <c r="G8252" s="9" t="s">
        <v>27931</v>
      </c>
      <c r="O8252" s="10">
        <f>IFERROR(__xludf.DUMMYFUNCTION("VALUE(REGEXEXTRACT(A8252, ""\d+""))"),12685.0)</f>
        <v>12685</v>
      </c>
    </row>
    <row r="8253">
      <c r="A8253" s="9" t="s">
        <v>27932</v>
      </c>
      <c r="B8253" s="9" t="s">
        <v>27933</v>
      </c>
      <c r="G8253" s="9" t="s">
        <v>27934</v>
      </c>
      <c r="O8253" s="10">
        <f>IFERROR(__xludf.DUMMYFUNCTION("VALUE(REGEXEXTRACT(A8253, ""\d+""))"),12686.0)</f>
        <v>12686</v>
      </c>
    </row>
    <row r="8254">
      <c r="A8254" s="9" t="s">
        <v>27935</v>
      </c>
      <c r="B8254" s="9" t="s">
        <v>27936</v>
      </c>
      <c r="G8254" s="9" t="s">
        <v>27937</v>
      </c>
      <c r="O8254" s="10">
        <f>IFERROR(__xludf.DUMMYFUNCTION("VALUE(REGEXEXTRACT(A8254, ""\d+""))"),12687.0)</f>
        <v>12687</v>
      </c>
    </row>
    <row r="8255">
      <c r="A8255" s="9" t="s">
        <v>27938</v>
      </c>
      <c r="B8255" s="9" t="s">
        <v>27939</v>
      </c>
      <c r="G8255" s="9" t="s">
        <v>27940</v>
      </c>
      <c r="O8255" s="10">
        <f>IFERROR(__xludf.DUMMYFUNCTION("VALUE(REGEXEXTRACT(A8255, ""\d+""))"),12688.0)</f>
        <v>12688</v>
      </c>
    </row>
    <row r="8256">
      <c r="A8256" s="9" t="s">
        <v>27941</v>
      </c>
      <c r="B8256" s="9" t="s">
        <v>27942</v>
      </c>
      <c r="G8256" s="9" t="s">
        <v>27943</v>
      </c>
      <c r="O8256" s="10">
        <f>IFERROR(__xludf.DUMMYFUNCTION("VALUE(REGEXEXTRACT(A8256, ""\d+""))"),12689.0)</f>
        <v>12689</v>
      </c>
    </row>
    <row r="8257">
      <c r="A8257" s="9" t="s">
        <v>27944</v>
      </c>
      <c r="B8257" s="9" t="s">
        <v>27945</v>
      </c>
      <c r="G8257" s="9" t="s">
        <v>27946</v>
      </c>
      <c r="O8257" s="10">
        <f>IFERROR(__xludf.DUMMYFUNCTION("VALUE(REGEXEXTRACT(A8257, ""\d+""))"),12690.0)</f>
        <v>12690</v>
      </c>
    </row>
    <row r="8258">
      <c r="A8258" s="9" t="s">
        <v>27947</v>
      </c>
      <c r="B8258" s="9" t="s">
        <v>27948</v>
      </c>
      <c r="G8258" s="9" t="s">
        <v>27949</v>
      </c>
      <c r="O8258" s="10">
        <f>IFERROR(__xludf.DUMMYFUNCTION("VALUE(REGEXEXTRACT(A8258, ""\d+""))"),12691.0)</f>
        <v>12691</v>
      </c>
    </row>
    <row r="8259">
      <c r="A8259" s="9" t="s">
        <v>27950</v>
      </c>
      <c r="B8259" s="9" t="s">
        <v>27951</v>
      </c>
      <c r="G8259" s="9" t="s">
        <v>27952</v>
      </c>
      <c r="O8259" s="10">
        <f>IFERROR(__xludf.DUMMYFUNCTION("VALUE(REGEXEXTRACT(A8259, ""\d+""))"),12692.0)</f>
        <v>12692</v>
      </c>
    </row>
    <row r="8260">
      <c r="A8260" s="9" t="s">
        <v>27953</v>
      </c>
      <c r="B8260" s="9" t="s">
        <v>27954</v>
      </c>
      <c r="G8260" s="9" t="s">
        <v>27955</v>
      </c>
      <c r="O8260" s="10">
        <f>IFERROR(__xludf.DUMMYFUNCTION("VALUE(REGEXEXTRACT(A8260, ""\d+""))"),12693.0)</f>
        <v>12693</v>
      </c>
    </row>
    <row r="8261">
      <c r="A8261" s="9" t="s">
        <v>27956</v>
      </c>
      <c r="B8261" s="9" t="s">
        <v>27957</v>
      </c>
      <c r="G8261" s="9" t="s">
        <v>27958</v>
      </c>
      <c r="O8261" s="10">
        <f>IFERROR(__xludf.DUMMYFUNCTION("VALUE(REGEXEXTRACT(A8261, ""\d+""))"),12694.0)</f>
        <v>12694</v>
      </c>
    </row>
    <row r="8262">
      <c r="A8262" s="9" t="s">
        <v>27959</v>
      </c>
      <c r="B8262" s="9" t="s">
        <v>27960</v>
      </c>
      <c r="G8262" s="9" t="s">
        <v>27961</v>
      </c>
      <c r="O8262" s="10">
        <f>IFERROR(__xludf.DUMMYFUNCTION("VALUE(REGEXEXTRACT(A8262, ""\d+""))"),12695.0)</f>
        <v>12695</v>
      </c>
    </row>
    <row r="8263">
      <c r="A8263" s="9" t="s">
        <v>27962</v>
      </c>
      <c r="B8263" s="9" t="s">
        <v>27963</v>
      </c>
      <c r="G8263" s="9" t="s">
        <v>27964</v>
      </c>
      <c r="O8263" s="10">
        <f>IFERROR(__xludf.DUMMYFUNCTION("VALUE(REGEXEXTRACT(A8263, ""\d+""))"),12696.0)</f>
        <v>12696</v>
      </c>
    </row>
    <row r="8264">
      <c r="A8264" s="9" t="s">
        <v>27965</v>
      </c>
      <c r="B8264" s="9" t="s">
        <v>27966</v>
      </c>
      <c r="G8264" s="9" t="s">
        <v>27967</v>
      </c>
      <c r="O8264" s="10">
        <f>IFERROR(__xludf.DUMMYFUNCTION("VALUE(REGEXEXTRACT(A8264, ""\d+""))"),12697.0)</f>
        <v>12697</v>
      </c>
    </row>
    <row r="8265">
      <c r="A8265" s="9" t="s">
        <v>27968</v>
      </c>
      <c r="B8265" s="9" t="s">
        <v>27969</v>
      </c>
      <c r="G8265" s="9" t="s">
        <v>27970</v>
      </c>
      <c r="O8265" s="10">
        <f>IFERROR(__xludf.DUMMYFUNCTION("VALUE(REGEXEXTRACT(A8265, ""\d+""))"),12698.0)</f>
        <v>12698</v>
      </c>
    </row>
    <row r="8266">
      <c r="A8266" s="9" t="s">
        <v>27971</v>
      </c>
      <c r="B8266" s="9" t="s">
        <v>27972</v>
      </c>
      <c r="G8266" s="9" t="s">
        <v>27973</v>
      </c>
      <c r="O8266" s="10">
        <f>IFERROR(__xludf.DUMMYFUNCTION("VALUE(REGEXEXTRACT(A8266, ""\d+""))"),12699.0)</f>
        <v>12699</v>
      </c>
    </row>
    <row r="8267">
      <c r="A8267" s="9" t="s">
        <v>27974</v>
      </c>
      <c r="B8267" s="9" t="s">
        <v>27975</v>
      </c>
      <c r="G8267" s="9" t="s">
        <v>27976</v>
      </c>
      <c r="O8267" s="10">
        <f>IFERROR(__xludf.DUMMYFUNCTION("VALUE(REGEXEXTRACT(A8267, ""\d+""))"),12700.0)</f>
        <v>12700</v>
      </c>
    </row>
    <row r="8268">
      <c r="A8268" s="9" t="s">
        <v>27977</v>
      </c>
      <c r="B8268" s="9" t="s">
        <v>27978</v>
      </c>
      <c r="G8268" s="9" t="s">
        <v>27979</v>
      </c>
      <c r="O8268" s="10">
        <f>IFERROR(__xludf.DUMMYFUNCTION("VALUE(REGEXEXTRACT(A8268, ""\d+""))"),12701.0)</f>
        <v>12701</v>
      </c>
    </row>
    <row r="8269">
      <c r="A8269" s="9" t="s">
        <v>27980</v>
      </c>
      <c r="B8269" s="9" t="s">
        <v>27981</v>
      </c>
      <c r="G8269" s="9" t="s">
        <v>27982</v>
      </c>
      <c r="O8269" s="10">
        <f>IFERROR(__xludf.DUMMYFUNCTION("VALUE(REGEXEXTRACT(A8269, ""\d+""))"),12703.0)</f>
        <v>12703</v>
      </c>
    </row>
    <row r="8270">
      <c r="A8270" s="9" t="s">
        <v>27983</v>
      </c>
      <c r="B8270" s="9" t="s">
        <v>27984</v>
      </c>
      <c r="G8270" s="9" t="s">
        <v>27985</v>
      </c>
      <c r="O8270" s="10">
        <f>IFERROR(__xludf.DUMMYFUNCTION("VALUE(REGEXEXTRACT(A8270, ""\d+""))"),12704.0)</f>
        <v>12704</v>
      </c>
    </row>
    <row r="8271">
      <c r="A8271" s="9" t="s">
        <v>27986</v>
      </c>
      <c r="B8271" s="9" t="s">
        <v>27987</v>
      </c>
      <c r="G8271" s="9" t="s">
        <v>27988</v>
      </c>
      <c r="O8271" s="10">
        <f>IFERROR(__xludf.DUMMYFUNCTION("VALUE(REGEXEXTRACT(A8271, ""\d+""))"),12705.0)</f>
        <v>12705</v>
      </c>
    </row>
    <row r="8272">
      <c r="A8272" s="9" t="s">
        <v>27989</v>
      </c>
      <c r="B8272" s="9" t="s">
        <v>27990</v>
      </c>
      <c r="G8272" s="9" t="s">
        <v>27991</v>
      </c>
      <c r="O8272" s="10">
        <f>IFERROR(__xludf.DUMMYFUNCTION("VALUE(REGEXEXTRACT(A8272, ""\d+""))"),12706.0)</f>
        <v>12706</v>
      </c>
    </row>
    <row r="8273">
      <c r="A8273" s="9" t="s">
        <v>27992</v>
      </c>
      <c r="B8273" s="9" t="s">
        <v>27993</v>
      </c>
      <c r="G8273" s="9" t="s">
        <v>27994</v>
      </c>
      <c r="O8273" s="10">
        <f>IFERROR(__xludf.DUMMYFUNCTION("VALUE(REGEXEXTRACT(A8273, ""\d+""))"),12707.0)</f>
        <v>12707</v>
      </c>
    </row>
    <row r="8274">
      <c r="A8274" s="9" t="s">
        <v>27995</v>
      </c>
      <c r="B8274" s="9" t="s">
        <v>27996</v>
      </c>
      <c r="G8274" s="9" t="s">
        <v>27996</v>
      </c>
      <c r="O8274" s="10">
        <f>IFERROR(__xludf.DUMMYFUNCTION("VALUE(REGEXEXTRACT(A8274, ""\d+""))"),12709.0)</f>
        <v>12709</v>
      </c>
    </row>
    <row r="8275">
      <c r="A8275" s="9" t="s">
        <v>27997</v>
      </c>
      <c r="B8275" s="9" t="s">
        <v>27998</v>
      </c>
      <c r="G8275" s="9" t="s">
        <v>27999</v>
      </c>
      <c r="O8275" s="10">
        <f>IFERROR(__xludf.DUMMYFUNCTION("VALUE(REGEXEXTRACT(A8275, ""\d+""))"),12710.0)</f>
        <v>12710</v>
      </c>
    </row>
    <row r="8276">
      <c r="A8276" s="9" t="s">
        <v>28000</v>
      </c>
      <c r="B8276" s="9" t="s">
        <v>28001</v>
      </c>
      <c r="G8276" s="9" t="s">
        <v>28002</v>
      </c>
      <c r="O8276" s="10">
        <f>IFERROR(__xludf.DUMMYFUNCTION("VALUE(REGEXEXTRACT(A8276, ""\d+""))"),12711.0)</f>
        <v>12711</v>
      </c>
    </row>
    <row r="8277">
      <c r="A8277" s="9" t="s">
        <v>28003</v>
      </c>
      <c r="B8277" s="9" t="s">
        <v>28004</v>
      </c>
      <c r="G8277" s="9" t="s">
        <v>28005</v>
      </c>
      <c r="O8277" s="10">
        <f>IFERROR(__xludf.DUMMYFUNCTION("VALUE(REGEXEXTRACT(A8277, ""\d+""))"),12712.0)</f>
        <v>12712</v>
      </c>
    </row>
    <row r="8278">
      <c r="A8278" s="9" t="s">
        <v>28006</v>
      </c>
      <c r="B8278" s="9" t="s">
        <v>28007</v>
      </c>
      <c r="G8278" s="9" t="s">
        <v>28008</v>
      </c>
      <c r="O8278" s="10">
        <f>IFERROR(__xludf.DUMMYFUNCTION("VALUE(REGEXEXTRACT(A8278, ""\d+""))"),12713.0)</f>
        <v>12713</v>
      </c>
    </row>
    <row r="8279">
      <c r="A8279" s="9" t="s">
        <v>28009</v>
      </c>
      <c r="B8279" s="9" t="s">
        <v>28010</v>
      </c>
      <c r="G8279" s="9" t="s">
        <v>28011</v>
      </c>
      <c r="O8279" s="10">
        <f>IFERROR(__xludf.DUMMYFUNCTION("VALUE(REGEXEXTRACT(A8279, ""\d+""))"),12714.0)</f>
        <v>12714</v>
      </c>
    </row>
    <row r="8280">
      <c r="A8280" s="9" t="s">
        <v>28012</v>
      </c>
      <c r="B8280" s="9" t="s">
        <v>28013</v>
      </c>
      <c r="G8280" s="9" t="s">
        <v>28013</v>
      </c>
      <c r="O8280" s="10">
        <f>IFERROR(__xludf.DUMMYFUNCTION("VALUE(REGEXEXTRACT(A8280, ""\d+""))"),12715.0)</f>
        <v>12715</v>
      </c>
    </row>
    <row r="8281">
      <c r="A8281" s="9" t="s">
        <v>28014</v>
      </c>
      <c r="B8281" s="9" t="s">
        <v>28015</v>
      </c>
      <c r="G8281" s="9" t="s">
        <v>28015</v>
      </c>
      <c r="O8281" s="10">
        <f>IFERROR(__xludf.DUMMYFUNCTION("VALUE(REGEXEXTRACT(A8281, ""\d+""))"),12716.0)</f>
        <v>12716</v>
      </c>
    </row>
    <row r="8282">
      <c r="A8282" s="9" t="s">
        <v>28016</v>
      </c>
      <c r="B8282" s="9" t="s">
        <v>28017</v>
      </c>
      <c r="G8282" s="9" t="s">
        <v>28018</v>
      </c>
      <c r="O8282" s="10">
        <f>IFERROR(__xludf.DUMMYFUNCTION("VALUE(REGEXEXTRACT(A8282, ""\d+""))"),12717.0)</f>
        <v>12717</v>
      </c>
    </row>
    <row r="8283">
      <c r="A8283" s="9" t="s">
        <v>28019</v>
      </c>
      <c r="B8283" s="9" t="s">
        <v>28020</v>
      </c>
      <c r="G8283" s="9" t="s">
        <v>28021</v>
      </c>
      <c r="O8283" s="10">
        <f>IFERROR(__xludf.DUMMYFUNCTION("VALUE(REGEXEXTRACT(A8283, ""\d+""))"),12718.0)</f>
        <v>12718</v>
      </c>
    </row>
    <row r="8284">
      <c r="A8284" s="9" t="s">
        <v>28022</v>
      </c>
      <c r="B8284" s="9" t="s">
        <v>28023</v>
      </c>
      <c r="G8284" s="9" t="s">
        <v>28024</v>
      </c>
      <c r="O8284" s="10">
        <f>IFERROR(__xludf.DUMMYFUNCTION("VALUE(REGEXEXTRACT(A8284, ""\d+""))"),12719.0)</f>
        <v>12719</v>
      </c>
    </row>
    <row r="8285">
      <c r="A8285" s="9" t="s">
        <v>28025</v>
      </c>
      <c r="B8285" s="9" t="s">
        <v>28026</v>
      </c>
      <c r="G8285" s="9" t="s">
        <v>28027</v>
      </c>
      <c r="O8285" s="10">
        <f>IFERROR(__xludf.DUMMYFUNCTION("VALUE(REGEXEXTRACT(A8285, ""\d+""))"),12720.0)</f>
        <v>12720</v>
      </c>
    </row>
    <row r="8286">
      <c r="A8286" s="9" t="s">
        <v>28028</v>
      </c>
      <c r="B8286" s="9" t="s">
        <v>28029</v>
      </c>
      <c r="G8286" s="9" t="s">
        <v>28030</v>
      </c>
      <c r="O8286" s="10">
        <f>IFERROR(__xludf.DUMMYFUNCTION("VALUE(REGEXEXTRACT(A8286, ""\d+""))"),12721.0)</f>
        <v>12721</v>
      </c>
    </row>
    <row r="8287">
      <c r="A8287" s="9" t="s">
        <v>28031</v>
      </c>
      <c r="B8287" s="9" t="s">
        <v>28032</v>
      </c>
      <c r="G8287" s="9" t="s">
        <v>28033</v>
      </c>
      <c r="O8287" s="10">
        <f>IFERROR(__xludf.DUMMYFUNCTION("VALUE(REGEXEXTRACT(A8287, ""\d+""))"),12722.0)</f>
        <v>12722</v>
      </c>
    </row>
    <row r="8288">
      <c r="A8288" s="9" t="s">
        <v>28034</v>
      </c>
      <c r="B8288" s="9" t="s">
        <v>28035</v>
      </c>
      <c r="G8288" s="9" t="s">
        <v>28036</v>
      </c>
      <c r="O8288" s="10">
        <f>IFERROR(__xludf.DUMMYFUNCTION("VALUE(REGEXEXTRACT(A8288, ""\d+""))"),12723.0)</f>
        <v>12723</v>
      </c>
    </row>
    <row r="8289">
      <c r="A8289" s="9" t="s">
        <v>28037</v>
      </c>
      <c r="B8289" s="9" t="s">
        <v>28038</v>
      </c>
      <c r="G8289" s="9" t="s">
        <v>28039</v>
      </c>
      <c r="O8289" s="10">
        <f>IFERROR(__xludf.DUMMYFUNCTION("VALUE(REGEXEXTRACT(A8289, ""\d+""))"),12724.0)</f>
        <v>12724</v>
      </c>
    </row>
    <row r="8290">
      <c r="A8290" s="9" t="s">
        <v>28040</v>
      </c>
      <c r="B8290" s="9" t="s">
        <v>28041</v>
      </c>
      <c r="G8290" s="9" t="s">
        <v>28042</v>
      </c>
      <c r="O8290" s="10">
        <f>IFERROR(__xludf.DUMMYFUNCTION("VALUE(REGEXEXTRACT(A8290, ""\d+""))"),12725.0)</f>
        <v>12725</v>
      </c>
    </row>
    <row r="8291">
      <c r="A8291" s="9" t="s">
        <v>28043</v>
      </c>
      <c r="B8291" s="9" t="s">
        <v>28044</v>
      </c>
      <c r="G8291" s="9" t="s">
        <v>28045</v>
      </c>
      <c r="O8291" s="10">
        <f>IFERROR(__xludf.DUMMYFUNCTION("VALUE(REGEXEXTRACT(A8291, ""\d+""))"),12726.0)</f>
        <v>12726</v>
      </c>
    </row>
    <row r="8292">
      <c r="A8292" s="9" t="s">
        <v>28046</v>
      </c>
      <c r="B8292" s="9" t="s">
        <v>28047</v>
      </c>
      <c r="G8292" s="9" t="s">
        <v>28047</v>
      </c>
      <c r="O8292" s="10">
        <f>IFERROR(__xludf.DUMMYFUNCTION("VALUE(REGEXEXTRACT(A8292, ""\d+""))"),12727.0)</f>
        <v>12727</v>
      </c>
    </row>
    <row r="8293">
      <c r="A8293" s="9" t="s">
        <v>28048</v>
      </c>
      <c r="B8293" s="9" t="s">
        <v>28049</v>
      </c>
      <c r="G8293" s="9" t="s">
        <v>28050</v>
      </c>
      <c r="O8293" s="10">
        <f>IFERROR(__xludf.DUMMYFUNCTION("VALUE(REGEXEXTRACT(A8293, ""\d+""))"),12728.0)</f>
        <v>12728</v>
      </c>
    </row>
    <row r="8294">
      <c r="A8294" s="9" t="s">
        <v>28051</v>
      </c>
      <c r="B8294" s="9" t="s">
        <v>28052</v>
      </c>
      <c r="G8294" s="9" t="s">
        <v>28053</v>
      </c>
      <c r="O8294" s="10">
        <f>IFERROR(__xludf.DUMMYFUNCTION("VALUE(REGEXEXTRACT(A8294, ""\d+""))"),12738.0)</f>
        <v>12738</v>
      </c>
    </row>
    <row r="8295">
      <c r="A8295" s="9" t="s">
        <v>28054</v>
      </c>
      <c r="B8295" s="9" t="s">
        <v>28055</v>
      </c>
      <c r="G8295" s="9" t="s">
        <v>28056</v>
      </c>
      <c r="O8295" s="10">
        <f>IFERROR(__xludf.DUMMYFUNCTION("VALUE(REGEXEXTRACT(A8295, ""\d+""))"),12743.0)</f>
        <v>12743</v>
      </c>
    </row>
    <row r="8296">
      <c r="A8296" s="9" t="s">
        <v>28057</v>
      </c>
      <c r="B8296" s="9" t="s">
        <v>28058</v>
      </c>
      <c r="G8296" s="9" t="s">
        <v>28059</v>
      </c>
      <c r="O8296" s="10">
        <f>IFERROR(__xludf.DUMMYFUNCTION("VALUE(REGEXEXTRACT(A8296, ""\d+""))"),12744.0)</f>
        <v>12744</v>
      </c>
    </row>
    <row r="8297">
      <c r="A8297" s="9" t="s">
        <v>28060</v>
      </c>
      <c r="B8297" s="9" t="s">
        <v>28061</v>
      </c>
      <c r="G8297" s="9" t="s">
        <v>28062</v>
      </c>
      <c r="O8297" s="10">
        <f>IFERROR(__xludf.DUMMYFUNCTION("VALUE(REGEXEXTRACT(A8297, ""\d+""))"),12745.0)</f>
        <v>12745</v>
      </c>
    </row>
    <row r="8298">
      <c r="A8298" s="9" t="s">
        <v>28063</v>
      </c>
      <c r="B8298" s="9" t="s">
        <v>28064</v>
      </c>
      <c r="G8298" s="9" t="s">
        <v>28065</v>
      </c>
      <c r="O8298" s="10">
        <f>IFERROR(__xludf.DUMMYFUNCTION("VALUE(REGEXEXTRACT(A8298, ""\d+""))"),12746.0)</f>
        <v>12746</v>
      </c>
    </row>
    <row r="8299">
      <c r="A8299" s="9" t="s">
        <v>28066</v>
      </c>
      <c r="B8299" s="9" t="s">
        <v>28067</v>
      </c>
      <c r="G8299" s="9" t="s">
        <v>28068</v>
      </c>
      <c r="O8299" s="10">
        <f>IFERROR(__xludf.DUMMYFUNCTION("VALUE(REGEXEXTRACT(A8299, ""\d+""))"),12747.0)</f>
        <v>12747</v>
      </c>
    </row>
    <row r="8300">
      <c r="A8300" s="9" t="s">
        <v>28069</v>
      </c>
      <c r="B8300" s="9" t="s">
        <v>28070</v>
      </c>
      <c r="G8300" s="9" t="s">
        <v>28071</v>
      </c>
      <c r="O8300" s="10">
        <f>IFERROR(__xludf.DUMMYFUNCTION("VALUE(REGEXEXTRACT(A8300, ""\d+""))"),12748.0)</f>
        <v>12748</v>
      </c>
    </row>
    <row r="8301">
      <c r="A8301" s="9" t="s">
        <v>28072</v>
      </c>
      <c r="B8301" s="9" t="s">
        <v>28073</v>
      </c>
      <c r="G8301" s="9" t="s">
        <v>28074</v>
      </c>
      <c r="O8301" s="10">
        <f>IFERROR(__xludf.DUMMYFUNCTION("VALUE(REGEXEXTRACT(A8301, ""\d+""))"),12749.0)</f>
        <v>12749</v>
      </c>
    </row>
    <row r="8302">
      <c r="A8302" s="9" t="s">
        <v>28075</v>
      </c>
      <c r="B8302" s="9" t="s">
        <v>28076</v>
      </c>
      <c r="G8302" s="9" t="s">
        <v>28077</v>
      </c>
      <c r="O8302" s="10">
        <f>IFERROR(__xludf.DUMMYFUNCTION("VALUE(REGEXEXTRACT(A8302, ""\d+""))"),12750.0)</f>
        <v>12750</v>
      </c>
    </row>
    <row r="8303">
      <c r="A8303" s="9" t="s">
        <v>28078</v>
      </c>
      <c r="B8303" s="9" t="s">
        <v>28079</v>
      </c>
      <c r="G8303" s="9" t="s">
        <v>28080</v>
      </c>
      <c r="O8303" s="10">
        <f>IFERROR(__xludf.DUMMYFUNCTION("VALUE(REGEXEXTRACT(A8303, ""\d+""))"),12751.0)</f>
        <v>12751</v>
      </c>
    </row>
    <row r="8304">
      <c r="A8304" s="9" t="s">
        <v>28081</v>
      </c>
      <c r="B8304" s="9" t="s">
        <v>28082</v>
      </c>
      <c r="G8304" s="9" t="s">
        <v>28083</v>
      </c>
      <c r="O8304" s="10">
        <f>IFERROR(__xludf.DUMMYFUNCTION("VALUE(REGEXEXTRACT(A8304, ""\d+""))"),12752.0)</f>
        <v>12752</v>
      </c>
    </row>
    <row r="8305">
      <c r="A8305" s="9" t="s">
        <v>28084</v>
      </c>
      <c r="B8305" s="9" t="s">
        <v>28085</v>
      </c>
      <c r="G8305" s="9" t="s">
        <v>28086</v>
      </c>
      <c r="O8305" s="10">
        <f>IFERROR(__xludf.DUMMYFUNCTION("VALUE(REGEXEXTRACT(A8305, ""\d+""))"),12753.0)</f>
        <v>12753</v>
      </c>
    </row>
    <row r="8306">
      <c r="A8306" s="9" t="s">
        <v>28087</v>
      </c>
      <c r="B8306" s="9" t="s">
        <v>28088</v>
      </c>
      <c r="G8306" s="9" t="s">
        <v>28089</v>
      </c>
      <c r="O8306" s="10">
        <f>IFERROR(__xludf.DUMMYFUNCTION("VALUE(REGEXEXTRACT(A8306, ""\d+""))"),12754.0)</f>
        <v>12754</v>
      </c>
    </row>
    <row r="8307">
      <c r="A8307" s="9" t="s">
        <v>28090</v>
      </c>
      <c r="B8307" s="9" t="s">
        <v>28091</v>
      </c>
      <c r="G8307" s="9" t="s">
        <v>28092</v>
      </c>
      <c r="O8307" s="10">
        <f>IFERROR(__xludf.DUMMYFUNCTION("VALUE(REGEXEXTRACT(A8307, ""\d+""))"),12755.0)</f>
        <v>12755</v>
      </c>
    </row>
    <row r="8308">
      <c r="A8308" s="9" t="s">
        <v>28093</v>
      </c>
      <c r="B8308" s="9" t="s">
        <v>28094</v>
      </c>
      <c r="G8308" s="9" t="s">
        <v>28095</v>
      </c>
      <c r="O8308" s="10">
        <f>IFERROR(__xludf.DUMMYFUNCTION("VALUE(REGEXEXTRACT(A8308, ""\d+""))"),12756.0)</f>
        <v>12756</v>
      </c>
    </row>
    <row r="8309">
      <c r="A8309" s="9" t="s">
        <v>28096</v>
      </c>
      <c r="B8309" s="9" t="s">
        <v>28097</v>
      </c>
      <c r="G8309" s="9" t="s">
        <v>28098</v>
      </c>
      <c r="O8309" s="10">
        <f>IFERROR(__xludf.DUMMYFUNCTION("VALUE(REGEXEXTRACT(A8309, ""\d+""))"),12757.0)</f>
        <v>12757</v>
      </c>
    </row>
    <row r="8310">
      <c r="A8310" s="9" t="s">
        <v>28099</v>
      </c>
      <c r="B8310" s="9" t="s">
        <v>28100</v>
      </c>
      <c r="G8310" s="9" t="s">
        <v>28101</v>
      </c>
      <c r="O8310" s="10">
        <f>IFERROR(__xludf.DUMMYFUNCTION("VALUE(REGEXEXTRACT(A8310, ""\d+""))"),12758.0)</f>
        <v>12758</v>
      </c>
    </row>
    <row r="8311">
      <c r="A8311" s="9" t="s">
        <v>28102</v>
      </c>
      <c r="B8311" s="9" t="s">
        <v>28103</v>
      </c>
      <c r="G8311" s="9" t="s">
        <v>28104</v>
      </c>
      <c r="O8311" s="10">
        <f>IFERROR(__xludf.DUMMYFUNCTION("VALUE(REGEXEXTRACT(A8311, ""\d+""))"),12759.0)</f>
        <v>12759</v>
      </c>
    </row>
    <row r="8312">
      <c r="A8312" s="9" t="s">
        <v>28105</v>
      </c>
      <c r="B8312" s="9" t="s">
        <v>28106</v>
      </c>
      <c r="G8312" s="9" t="s">
        <v>28107</v>
      </c>
      <c r="O8312" s="10">
        <f>IFERROR(__xludf.DUMMYFUNCTION("VALUE(REGEXEXTRACT(A8312, ""\d+""))"),12760.0)</f>
        <v>12760</v>
      </c>
    </row>
    <row r="8313">
      <c r="A8313" s="9" t="s">
        <v>28108</v>
      </c>
      <c r="B8313" s="9" t="s">
        <v>28109</v>
      </c>
      <c r="G8313" s="9" t="s">
        <v>28110</v>
      </c>
      <c r="O8313" s="10">
        <f>IFERROR(__xludf.DUMMYFUNCTION("VALUE(REGEXEXTRACT(A8313, ""\d+""))"),12761.0)</f>
        <v>12761</v>
      </c>
    </row>
    <row r="8314">
      <c r="A8314" s="9" t="s">
        <v>28111</v>
      </c>
      <c r="B8314" s="9" t="s">
        <v>28112</v>
      </c>
      <c r="G8314" s="9" t="s">
        <v>28113</v>
      </c>
      <c r="O8314" s="10">
        <f>IFERROR(__xludf.DUMMYFUNCTION("VALUE(REGEXEXTRACT(A8314, ""\d+""))"),12762.0)</f>
        <v>12762</v>
      </c>
    </row>
    <row r="8315">
      <c r="A8315" s="9" t="s">
        <v>28114</v>
      </c>
      <c r="B8315" s="9" t="s">
        <v>28115</v>
      </c>
      <c r="G8315" s="9" t="s">
        <v>28116</v>
      </c>
      <c r="O8315" s="10">
        <f>IFERROR(__xludf.DUMMYFUNCTION("VALUE(REGEXEXTRACT(A8315, ""\d+""))"),12763.0)</f>
        <v>12763</v>
      </c>
    </row>
    <row r="8316">
      <c r="A8316" s="9" t="s">
        <v>28117</v>
      </c>
      <c r="B8316" s="9" t="s">
        <v>28118</v>
      </c>
      <c r="G8316" s="9" t="s">
        <v>28119</v>
      </c>
      <c r="O8316" s="10">
        <f>IFERROR(__xludf.DUMMYFUNCTION("VALUE(REGEXEXTRACT(A8316, ""\d+""))"),12764.0)</f>
        <v>12764</v>
      </c>
    </row>
    <row r="8317">
      <c r="A8317" s="9" t="s">
        <v>28120</v>
      </c>
      <c r="B8317" s="9" t="s">
        <v>28121</v>
      </c>
      <c r="G8317" s="9" t="s">
        <v>28122</v>
      </c>
      <c r="O8317" s="10">
        <f>IFERROR(__xludf.DUMMYFUNCTION("VALUE(REGEXEXTRACT(A8317, ""\d+""))"),12765.0)</f>
        <v>12765</v>
      </c>
    </row>
    <row r="8318">
      <c r="A8318" s="9" t="s">
        <v>28123</v>
      </c>
      <c r="B8318" s="9" t="s">
        <v>28124</v>
      </c>
      <c r="G8318" s="9" t="s">
        <v>28125</v>
      </c>
      <c r="O8318" s="10">
        <f>IFERROR(__xludf.DUMMYFUNCTION("VALUE(REGEXEXTRACT(A8318, ""\d+""))"),12766.0)</f>
        <v>12766</v>
      </c>
    </row>
    <row r="8319">
      <c r="A8319" s="9" t="s">
        <v>28126</v>
      </c>
      <c r="B8319" s="9" t="s">
        <v>28127</v>
      </c>
      <c r="G8319" s="9" t="s">
        <v>28128</v>
      </c>
      <c r="O8319" s="10">
        <f>IFERROR(__xludf.DUMMYFUNCTION("VALUE(REGEXEXTRACT(A8319, ""\d+""))"),12767.0)</f>
        <v>12767</v>
      </c>
    </row>
    <row r="8320">
      <c r="A8320" s="9" t="s">
        <v>28129</v>
      </c>
      <c r="B8320" s="9" t="s">
        <v>28130</v>
      </c>
      <c r="G8320" s="9" t="s">
        <v>28131</v>
      </c>
      <c r="O8320" s="10">
        <f>IFERROR(__xludf.DUMMYFUNCTION("VALUE(REGEXEXTRACT(A8320, ""\d+""))"),12768.0)</f>
        <v>12768</v>
      </c>
    </row>
    <row r="8321">
      <c r="A8321" s="9" t="s">
        <v>28132</v>
      </c>
      <c r="B8321" s="9" t="s">
        <v>28133</v>
      </c>
      <c r="G8321" s="9" t="s">
        <v>28134</v>
      </c>
      <c r="O8321" s="10">
        <f>IFERROR(__xludf.DUMMYFUNCTION("VALUE(REGEXEXTRACT(A8321, ""\d+""))"),12769.0)</f>
        <v>12769</v>
      </c>
    </row>
    <row r="8322">
      <c r="A8322" s="9" t="s">
        <v>28135</v>
      </c>
      <c r="B8322" s="9" t="s">
        <v>28136</v>
      </c>
      <c r="G8322" s="9" t="s">
        <v>28137</v>
      </c>
      <c r="O8322" s="10">
        <f>IFERROR(__xludf.DUMMYFUNCTION("VALUE(REGEXEXTRACT(A8322, ""\d+""))"),12770.0)</f>
        <v>12770</v>
      </c>
    </row>
    <row r="8323">
      <c r="A8323" s="9" t="s">
        <v>28138</v>
      </c>
      <c r="B8323" s="9" t="s">
        <v>28139</v>
      </c>
      <c r="G8323" s="9" t="s">
        <v>28140</v>
      </c>
      <c r="O8323" s="10">
        <f>IFERROR(__xludf.DUMMYFUNCTION("VALUE(REGEXEXTRACT(A8323, ""\d+""))"),12771.0)</f>
        <v>12771</v>
      </c>
    </row>
    <row r="8324">
      <c r="A8324" s="9" t="s">
        <v>28141</v>
      </c>
      <c r="B8324" s="9" t="s">
        <v>28142</v>
      </c>
      <c r="G8324" s="9" t="s">
        <v>28143</v>
      </c>
      <c r="O8324" s="10">
        <f>IFERROR(__xludf.DUMMYFUNCTION("VALUE(REGEXEXTRACT(A8324, ""\d+""))"),12772.0)</f>
        <v>12772</v>
      </c>
    </row>
    <row r="8325">
      <c r="A8325" s="9" t="s">
        <v>28144</v>
      </c>
      <c r="B8325" s="9" t="s">
        <v>28145</v>
      </c>
      <c r="G8325" s="9" t="s">
        <v>28146</v>
      </c>
      <c r="O8325" s="10">
        <f>IFERROR(__xludf.DUMMYFUNCTION("VALUE(REGEXEXTRACT(A8325, ""\d+""))"),12773.0)</f>
        <v>12773</v>
      </c>
    </row>
    <row r="8326">
      <c r="A8326" s="9" t="s">
        <v>28147</v>
      </c>
      <c r="B8326" s="9" t="s">
        <v>28148</v>
      </c>
      <c r="G8326" s="9" t="s">
        <v>28148</v>
      </c>
      <c r="O8326" s="10">
        <f>IFERROR(__xludf.DUMMYFUNCTION("VALUE(REGEXEXTRACT(A8326, ""\d+""))"),12775.0)</f>
        <v>12775</v>
      </c>
    </row>
    <row r="8327">
      <c r="A8327" s="9" t="s">
        <v>28149</v>
      </c>
      <c r="B8327" s="9" t="s">
        <v>28150</v>
      </c>
      <c r="G8327" s="9" t="s">
        <v>28150</v>
      </c>
      <c r="O8327" s="10">
        <f>IFERROR(__xludf.DUMMYFUNCTION("VALUE(REGEXEXTRACT(A8327, ""\d+""))"),12776.0)</f>
        <v>12776</v>
      </c>
    </row>
    <row r="8328">
      <c r="A8328" s="9" t="s">
        <v>28151</v>
      </c>
      <c r="B8328" s="9" t="s">
        <v>28152</v>
      </c>
      <c r="G8328" s="9" t="s">
        <v>28152</v>
      </c>
      <c r="O8328" s="10">
        <f>IFERROR(__xludf.DUMMYFUNCTION("VALUE(REGEXEXTRACT(A8328, ""\d+""))"),12777.0)</f>
        <v>12777</v>
      </c>
    </row>
    <row r="8329">
      <c r="A8329" s="9" t="s">
        <v>28153</v>
      </c>
      <c r="B8329" s="9" t="s">
        <v>28154</v>
      </c>
      <c r="G8329" s="9" t="s">
        <v>28154</v>
      </c>
      <c r="O8329" s="10">
        <f>IFERROR(__xludf.DUMMYFUNCTION("VALUE(REGEXEXTRACT(A8329, ""\d+""))"),12778.0)</f>
        <v>12778</v>
      </c>
    </row>
    <row r="8330">
      <c r="A8330" s="9" t="s">
        <v>28155</v>
      </c>
      <c r="B8330" s="9" t="s">
        <v>28156</v>
      </c>
      <c r="G8330" s="9" t="s">
        <v>28156</v>
      </c>
      <c r="O8330" s="10">
        <f>IFERROR(__xludf.DUMMYFUNCTION("VALUE(REGEXEXTRACT(A8330, ""\d+""))"),12779.0)</f>
        <v>12779</v>
      </c>
    </row>
    <row r="8331">
      <c r="A8331" s="9" t="s">
        <v>28157</v>
      </c>
      <c r="B8331" s="9" t="s">
        <v>28158</v>
      </c>
      <c r="G8331" s="9" t="s">
        <v>28158</v>
      </c>
      <c r="O8331" s="10">
        <f>IFERROR(__xludf.DUMMYFUNCTION("VALUE(REGEXEXTRACT(A8331, ""\d+""))"),12780.0)</f>
        <v>12780</v>
      </c>
    </row>
    <row r="8332">
      <c r="A8332" s="9" t="s">
        <v>28159</v>
      </c>
      <c r="B8332" s="9" t="s">
        <v>28160</v>
      </c>
      <c r="G8332" s="9" t="s">
        <v>28161</v>
      </c>
      <c r="O8332" s="10">
        <f>IFERROR(__xludf.DUMMYFUNCTION("VALUE(REGEXEXTRACT(A8332, ""\d+""))"),12781.0)</f>
        <v>12781</v>
      </c>
    </row>
    <row r="8333">
      <c r="A8333" s="9" t="s">
        <v>28162</v>
      </c>
      <c r="B8333" s="9" t="s">
        <v>28163</v>
      </c>
      <c r="G8333" s="9" t="s">
        <v>28164</v>
      </c>
      <c r="O8333" s="10">
        <f>IFERROR(__xludf.DUMMYFUNCTION("VALUE(REGEXEXTRACT(A8333, ""\d+""))"),12782.0)</f>
        <v>12782</v>
      </c>
    </row>
    <row r="8334">
      <c r="A8334" s="9" t="s">
        <v>28165</v>
      </c>
      <c r="B8334" s="9" t="s">
        <v>28166</v>
      </c>
      <c r="G8334" s="9" t="s">
        <v>28167</v>
      </c>
      <c r="O8334" s="10">
        <f>IFERROR(__xludf.DUMMYFUNCTION("VALUE(REGEXEXTRACT(A8334, ""\d+""))"),12783.0)</f>
        <v>12783</v>
      </c>
    </row>
    <row r="8335">
      <c r="A8335" s="9" t="s">
        <v>28168</v>
      </c>
      <c r="B8335" s="9" t="s">
        <v>28169</v>
      </c>
      <c r="G8335" s="9" t="s">
        <v>28170</v>
      </c>
      <c r="O8335" s="10">
        <f>IFERROR(__xludf.DUMMYFUNCTION("VALUE(REGEXEXTRACT(A8335, ""\d+""))"),12784.0)</f>
        <v>12784</v>
      </c>
    </row>
    <row r="8336">
      <c r="A8336" s="9" t="s">
        <v>28171</v>
      </c>
      <c r="B8336" s="9" t="s">
        <v>28172</v>
      </c>
      <c r="G8336" s="9" t="s">
        <v>28172</v>
      </c>
      <c r="O8336" s="10">
        <f>IFERROR(__xludf.DUMMYFUNCTION("VALUE(REGEXEXTRACT(A8336, ""\d+""))"),12785.0)</f>
        <v>12785</v>
      </c>
    </row>
    <row r="8337">
      <c r="A8337" s="9" t="s">
        <v>28173</v>
      </c>
      <c r="B8337" s="9" t="s">
        <v>28174</v>
      </c>
      <c r="G8337" s="9" t="s">
        <v>28174</v>
      </c>
      <c r="O8337" s="10">
        <f>IFERROR(__xludf.DUMMYFUNCTION("VALUE(REGEXEXTRACT(A8337, ""\d+""))"),12786.0)</f>
        <v>12786</v>
      </c>
    </row>
    <row r="8338">
      <c r="A8338" s="9" t="s">
        <v>28175</v>
      </c>
      <c r="B8338" s="9" t="s">
        <v>28176</v>
      </c>
      <c r="G8338" s="9" t="s">
        <v>28177</v>
      </c>
      <c r="O8338" s="10">
        <f>IFERROR(__xludf.DUMMYFUNCTION("VALUE(REGEXEXTRACT(A8338, ""\d+""))"),12787.0)</f>
        <v>12787</v>
      </c>
    </row>
    <row r="8339">
      <c r="A8339" s="9" t="s">
        <v>28178</v>
      </c>
      <c r="B8339" s="9" t="s">
        <v>28179</v>
      </c>
      <c r="G8339" s="9" t="s">
        <v>28180</v>
      </c>
      <c r="O8339" s="10">
        <f>IFERROR(__xludf.DUMMYFUNCTION("VALUE(REGEXEXTRACT(A8339, ""\d+""))"),12788.0)</f>
        <v>12788</v>
      </c>
    </row>
    <row r="8340">
      <c r="A8340" s="9" t="s">
        <v>28181</v>
      </c>
      <c r="B8340" s="9" t="s">
        <v>28182</v>
      </c>
      <c r="G8340" s="9" t="s">
        <v>28183</v>
      </c>
      <c r="O8340" s="10">
        <f>IFERROR(__xludf.DUMMYFUNCTION("VALUE(REGEXEXTRACT(A8340, ""\d+""))"),12789.0)</f>
        <v>12789</v>
      </c>
    </row>
    <row r="8341">
      <c r="A8341" s="9" t="s">
        <v>28184</v>
      </c>
      <c r="B8341" s="9" t="s">
        <v>28185</v>
      </c>
      <c r="G8341" s="9" t="s">
        <v>28185</v>
      </c>
      <c r="O8341" s="10">
        <f>IFERROR(__xludf.DUMMYFUNCTION("VALUE(REGEXEXTRACT(A8341, ""\d+""))"),12790.0)</f>
        <v>12790</v>
      </c>
    </row>
    <row r="8342">
      <c r="A8342" s="9" t="s">
        <v>28186</v>
      </c>
      <c r="B8342" s="9" t="s">
        <v>28187</v>
      </c>
      <c r="G8342" s="9" t="s">
        <v>28187</v>
      </c>
      <c r="O8342" s="10">
        <f>IFERROR(__xludf.DUMMYFUNCTION("VALUE(REGEXEXTRACT(A8342, ""\d+""))"),12791.0)</f>
        <v>12791</v>
      </c>
    </row>
    <row r="8343">
      <c r="A8343" s="9" t="s">
        <v>28188</v>
      </c>
      <c r="B8343" s="9" t="s">
        <v>28189</v>
      </c>
      <c r="G8343" s="9" t="s">
        <v>28190</v>
      </c>
      <c r="O8343" s="10">
        <f>IFERROR(__xludf.DUMMYFUNCTION("VALUE(REGEXEXTRACT(A8343, ""\d+""))"),12792.0)</f>
        <v>12792</v>
      </c>
    </row>
    <row r="8344">
      <c r="A8344" s="9" t="s">
        <v>28191</v>
      </c>
      <c r="B8344" s="9" t="s">
        <v>28192</v>
      </c>
      <c r="G8344" s="9" t="s">
        <v>28193</v>
      </c>
      <c r="O8344" s="10">
        <f>IFERROR(__xludf.DUMMYFUNCTION("VALUE(REGEXEXTRACT(A8344, ""\d+""))"),12793.0)</f>
        <v>12793</v>
      </c>
    </row>
    <row r="8345">
      <c r="A8345" s="9" t="s">
        <v>28194</v>
      </c>
      <c r="B8345" s="9" t="s">
        <v>28195</v>
      </c>
      <c r="G8345" s="9" t="s">
        <v>28196</v>
      </c>
      <c r="O8345" s="10">
        <f>IFERROR(__xludf.DUMMYFUNCTION("VALUE(REGEXEXTRACT(A8345, ""\d+""))"),12794.0)</f>
        <v>12794</v>
      </c>
    </row>
    <row r="8346">
      <c r="A8346" s="9" t="s">
        <v>28197</v>
      </c>
      <c r="B8346" s="9" t="s">
        <v>28198</v>
      </c>
      <c r="G8346" s="9" t="s">
        <v>28199</v>
      </c>
      <c r="O8346" s="10">
        <f>IFERROR(__xludf.DUMMYFUNCTION("VALUE(REGEXEXTRACT(A8346, ""\d+""))"),12795.0)</f>
        <v>12795</v>
      </c>
    </row>
    <row r="8347">
      <c r="A8347" s="9" t="s">
        <v>28200</v>
      </c>
      <c r="B8347" s="9" t="s">
        <v>28201</v>
      </c>
      <c r="G8347" s="9" t="s">
        <v>28202</v>
      </c>
      <c r="O8347" s="10">
        <f>IFERROR(__xludf.DUMMYFUNCTION("VALUE(REGEXEXTRACT(A8347, ""\d+""))"),12796.0)</f>
        <v>12796</v>
      </c>
    </row>
    <row r="8348">
      <c r="A8348" s="9" t="s">
        <v>28203</v>
      </c>
      <c r="B8348" s="9" t="s">
        <v>28204</v>
      </c>
      <c r="G8348" s="9" t="s">
        <v>28205</v>
      </c>
      <c r="O8348" s="10">
        <f>IFERROR(__xludf.DUMMYFUNCTION("VALUE(REGEXEXTRACT(A8348, ""\d+""))"),12797.0)</f>
        <v>12797</v>
      </c>
    </row>
    <row r="8349">
      <c r="A8349" s="9" t="s">
        <v>28206</v>
      </c>
      <c r="B8349" s="9" t="s">
        <v>28207</v>
      </c>
      <c r="G8349" s="9" t="s">
        <v>28208</v>
      </c>
      <c r="O8349" s="10">
        <f>IFERROR(__xludf.DUMMYFUNCTION("VALUE(REGEXEXTRACT(A8349, ""\d+""))"),12798.0)</f>
        <v>12798</v>
      </c>
    </row>
    <row r="8350">
      <c r="A8350" s="9" t="s">
        <v>28209</v>
      </c>
      <c r="B8350" s="9" t="s">
        <v>28210</v>
      </c>
      <c r="G8350" s="9" t="s">
        <v>28210</v>
      </c>
      <c r="O8350" s="10">
        <f>IFERROR(__xludf.DUMMYFUNCTION("VALUE(REGEXEXTRACT(A8350, ""\d+""))"),12799.0)</f>
        <v>12799</v>
      </c>
    </row>
    <row r="8351">
      <c r="A8351" s="9" t="s">
        <v>28211</v>
      </c>
      <c r="B8351" s="9" t="s">
        <v>28212</v>
      </c>
      <c r="G8351" s="9" t="s">
        <v>28212</v>
      </c>
      <c r="O8351" s="10">
        <f>IFERROR(__xludf.DUMMYFUNCTION("VALUE(REGEXEXTRACT(A8351, ""\d+""))"),12800.0)</f>
        <v>12800</v>
      </c>
    </row>
    <row r="8352">
      <c r="A8352" s="9" t="s">
        <v>28213</v>
      </c>
      <c r="B8352" s="9" t="s">
        <v>28214</v>
      </c>
      <c r="G8352" s="9" t="s">
        <v>28215</v>
      </c>
      <c r="O8352" s="10">
        <f>IFERROR(__xludf.DUMMYFUNCTION("VALUE(REGEXEXTRACT(A8352, ""\d+""))"),12801.0)</f>
        <v>12801</v>
      </c>
    </row>
    <row r="8353">
      <c r="A8353" s="9" t="s">
        <v>28216</v>
      </c>
      <c r="B8353" s="9" t="s">
        <v>28217</v>
      </c>
      <c r="G8353" s="9" t="s">
        <v>28218</v>
      </c>
      <c r="O8353" s="10">
        <f>IFERROR(__xludf.DUMMYFUNCTION("VALUE(REGEXEXTRACT(A8353, ""\d+""))"),12802.0)</f>
        <v>12802</v>
      </c>
    </row>
    <row r="8354">
      <c r="A8354" s="9" t="s">
        <v>28219</v>
      </c>
      <c r="B8354" s="9" t="s">
        <v>28220</v>
      </c>
      <c r="G8354" s="9" t="s">
        <v>28221</v>
      </c>
      <c r="O8354" s="10">
        <f>IFERROR(__xludf.DUMMYFUNCTION("VALUE(REGEXEXTRACT(A8354, ""\d+""))"),12803.0)</f>
        <v>12803</v>
      </c>
    </row>
    <row r="8355">
      <c r="A8355" s="9" t="s">
        <v>28222</v>
      </c>
      <c r="B8355" s="9" t="s">
        <v>28223</v>
      </c>
      <c r="G8355" s="9" t="s">
        <v>28224</v>
      </c>
      <c r="O8355" s="10">
        <f>IFERROR(__xludf.DUMMYFUNCTION("VALUE(REGEXEXTRACT(A8355, ""\d+""))"),12804.0)</f>
        <v>12804</v>
      </c>
    </row>
    <row r="8356">
      <c r="A8356" s="9" t="s">
        <v>28225</v>
      </c>
      <c r="B8356" s="9" t="s">
        <v>28226</v>
      </c>
      <c r="G8356" s="9" t="s">
        <v>28227</v>
      </c>
      <c r="O8356" s="10">
        <f>IFERROR(__xludf.DUMMYFUNCTION("VALUE(REGEXEXTRACT(A8356, ""\d+""))"),12805.0)</f>
        <v>12805</v>
      </c>
    </row>
    <row r="8357">
      <c r="A8357" s="9" t="s">
        <v>28228</v>
      </c>
      <c r="B8357" s="9" t="s">
        <v>28229</v>
      </c>
      <c r="G8357" s="9" t="s">
        <v>28230</v>
      </c>
      <c r="O8357" s="10">
        <f>IFERROR(__xludf.DUMMYFUNCTION("VALUE(REGEXEXTRACT(A8357, ""\d+""))"),12806.0)</f>
        <v>12806</v>
      </c>
    </row>
    <row r="8358">
      <c r="A8358" s="9" t="s">
        <v>28231</v>
      </c>
      <c r="B8358" s="9" t="s">
        <v>28232</v>
      </c>
      <c r="G8358" s="9" t="s">
        <v>28233</v>
      </c>
      <c r="O8358" s="10">
        <f>IFERROR(__xludf.DUMMYFUNCTION("VALUE(REGEXEXTRACT(A8358, ""\d+""))"),12807.0)</f>
        <v>12807</v>
      </c>
    </row>
    <row r="8359">
      <c r="A8359" s="9" t="s">
        <v>28234</v>
      </c>
      <c r="B8359" s="9" t="s">
        <v>28235</v>
      </c>
      <c r="G8359" s="9" t="s">
        <v>28236</v>
      </c>
      <c r="O8359" s="10">
        <f>IFERROR(__xludf.DUMMYFUNCTION("VALUE(REGEXEXTRACT(A8359, ""\d+""))"),12808.0)</f>
        <v>12808</v>
      </c>
    </row>
    <row r="8360">
      <c r="A8360" s="9" t="s">
        <v>28237</v>
      </c>
      <c r="B8360" s="9" t="s">
        <v>28238</v>
      </c>
      <c r="G8360" s="9" t="s">
        <v>28239</v>
      </c>
      <c r="O8360" s="10">
        <f>IFERROR(__xludf.DUMMYFUNCTION("VALUE(REGEXEXTRACT(A8360, ""\d+""))"),12809.0)</f>
        <v>12809</v>
      </c>
    </row>
    <row r="8361">
      <c r="A8361" s="9" t="s">
        <v>28240</v>
      </c>
      <c r="B8361" s="9" t="s">
        <v>28241</v>
      </c>
      <c r="G8361" s="9" t="s">
        <v>28242</v>
      </c>
      <c r="O8361" s="10">
        <f>IFERROR(__xludf.DUMMYFUNCTION("VALUE(REGEXEXTRACT(A8361, ""\d+""))"),12810.0)</f>
        <v>12810</v>
      </c>
    </row>
    <row r="8362">
      <c r="A8362" s="9" t="s">
        <v>28243</v>
      </c>
      <c r="B8362" s="9" t="s">
        <v>28244</v>
      </c>
      <c r="G8362" s="9" t="s">
        <v>28245</v>
      </c>
      <c r="O8362" s="10">
        <f>IFERROR(__xludf.DUMMYFUNCTION("VALUE(REGEXEXTRACT(A8362, ""\d+""))"),12811.0)</f>
        <v>12811</v>
      </c>
    </row>
    <row r="8363">
      <c r="A8363" s="9" t="s">
        <v>28246</v>
      </c>
      <c r="B8363" s="9" t="s">
        <v>28247</v>
      </c>
      <c r="G8363" s="9" t="s">
        <v>28248</v>
      </c>
      <c r="O8363" s="10">
        <f>IFERROR(__xludf.DUMMYFUNCTION("VALUE(REGEXEXTRACT(A8363, ""\d+""))"),12812.0)</f>
        <v>12812</v>
      </c>
    </row>
    <row r="8364">
      <c r="A8364" s="9" t="s">
        <v>28249</v>
      </c>
      <c r="B8364" s="9" t="s">
        <v>28250</v>
      </c>
      <c r="G8364" s="9" t="s">
        <v>28250</v>
      </c>
      <c r="O8364" s="10">
        <f>IFERROR(__xludf.DUMMYFUNCTION("VALUE(REGEXEXTRACT(A8364, ""\d+""))"),12813.0)</f>
        <v>12813</v>
      </c>
    </row>
    <row r="8365">
      <c r="A8365" s="9" t="s">
        <v>28251</v>
      </c>
      <c r="B8365" s="9" t="s">
        <v>28252</v>
      </c>
      <c r="G8365" s="9" t="s">
        <v>28252</v>
      </c>
      <c r="O8365" s="10">
        <f>IFERROR(__xludf.DUMMYFUNCTION("VALUE(REGEXEXTRACT(A8365, ""\d+""))"),12814.0)</f>
        <v>12814</v>
      </c>
    </row>
    <row r="8366">
      <c r="A8366" s="9" t="s">
        <v>28253</v>
      </c>
      <c r="B8366" s="9" t="s">
        <v>28254</v>
      </c>
      <c r="G8366" s="9" t="s">
        <v>28254</v>
      </c>
      <c r="O8366" s="10">
        <f>IFERROR(__xludf.DUMMYFUNCTION("VALUE(REGEXEXTRACT(A8366, ""\d+""))"),12815.0)</f>
        <v>12815</v>
      </c>
    </row>
    <row r="8367">
      <c r="A8367" s="9" t="s">
        <v>28255</v>
      </c>
      <c r="B8367" s="9" t="s">
        <v>28256</v>
      </c>
      <c r="G8367" s="9" t="s">
        <v>28256</v>
      </c>
      <c r="O8367" s="10">
        <f>IFERROR(__xludf.DUMMYFUNCTION("VALUE(REGEXEXTRACT(A8367, ""\d+""))"),12816.0)</f>
        <v>12816</v>
      </c>
    </row>
    <row r="8368">
      <c r="A8368" s="9" t="s">
        <v>28257</v>
      </c>
      <c r="B8368" s="9" t="s">
        <v>28258</v>
      </c>
      <c r="G8368" s="9" t="s">
        <v>28259</v>
      </c>
      <c r="O8368" s="10">
        <f>IFERROR(__xludf.DUMMYFUNCTION("VALUE(REGEXEXTRACT(A8368, ""\d+""))"),12817.0)</f>
        <v>12817</v>
      </c>
    </row>
    <row r="8369">
      <c r="A8369" s="9" t="s">
        <v>28260</v>
      </c>
      <c r="B8369" s="9" t="s">
        <v>28261</v>
      </c>
      <c r="G8369" s="9" t="s">
        <v>28262</v>
      </c>
      <c r="O8369" s="10">
        <f>IFERROR(__xludf.DUMMYFUNCTION("VALUE(REGEXEXTRACT(A8369, ""\d+""))"),12819.0)</f>
        <v>12819</v>
      </c>
    </row>
    <row r="8370">
      <c r="A8370" s="9" t="s">
        <v>28263</v>
      </c>
      <c r="B8370" s="9" t="s">
        <v>28264</v>
      </c>
      <c r="G8370" s="9" t="s">
        <v>28265</v>
      </c>
      <c r="O8370" s="10">
        <f>IFERROR(__xludf.DUMMYFUNCTION("VALUE(REGEXEXTRACT(A8370, ""\d+""))"),12820.0)</f>
        <v>12820</v>
      </c>
    </row>
    <row r="8371">
      <c r="A8371" s="9" t="s">
        <v>28266</v>
      </c>
      <c r="B8371" s="9" t="s">
        <v>28267</v>
      </c>
      <c r="G8371" s="9" t="s">
        <v>28268</v>
      </c>
      <c r="O8371" s="10">
        <f>IFERROR(__xludf.DUMMYFUNCTION("VALUE(REGEXEXTRACT(A8371, ""\d+""))"),12821.0)</f>
        <v>12821</v>
      </c>
    </row>
    <row r="8372">
      <c r="A8372" s="9" t="s">
        <v>28269</v>
      </c>
      <c r="B8372" s="9" t="s">
        <v>28270</v>
      </c>
      <c r="G8372" s="9" t="s">
        <v>28271</v>
      </c>
      <c r="O8372" s="10">
        <f>IFERROR(__xludf.DUMMYFUNCTION("VALUE(REGEXEXTRACT(A8372, ""\d+""))"),12822.0)</f>
        <v>12822</v>
      </c>
    </row>
    <row r="8373">
      <c r="A8373" s="9" t="s">
        <v>28272</v>
      </c>
      <c r="B8373" s="9" t="s">
        <v>28273</v>
      </c>
      <c r="G8373" s="9" t="s">
        <v>28274</v>
      </c>
      <c r="O8373" s="10">
        <f>IFERROR(__xludf.DUMMYFUNCTION("VALUE(REGEXEXTRACT(A8373, ""\d+""))"),12823.0)</f>
        <v>12823</v>
      </c>
    </row>
    <row r="8374">
      <c r="A8374" s="9" t="s">
        <v>28275</v>
      </c>
      <c r="B8374" s="9" t="s">
        <v>28276</v>
      </c>
      <c r="G8374" s="9" t="s">
        <v>28277</v>
      </c>
      <c r="O8374" s="10">
        <f>IFERROR(__xludf.DUMMYFUNCTION("VALUE(REGEXEXTRACT(A8374, ""\d+""))"),12824.0)</f>
        <v>12824</v>
      </c>
    </row>
    <row r="8375">
      <c r="A8375" s="9" t="s">
        <v>28278</v>
      </c>
      <c r="B8375" s="9" t="s">
        <v>28279</v>
      </c>
      <c r="G8375" s="9" t="s">
        <v>28280</v>
      </c>
      <c r="O8375" s="10">
        <f>IFERROR(__xludf.DUMMYFUNCTION("VALUE(REGEXEXTRACT(A8375, ""\d+""))"),12825.0)</f>
        <v>12825</v>
      </c>
    </row>
    <row r="8376">
      <c r="A8376" s="9" t="s">
        <v>28281</v>
      </c>
      <c r="B8376" s="9" t="s">
        <v>28282</v>
      </c>
      <c r="G8376" s="9" t="s">
        <v>28283</v>
      </c>
      <c r="O8376" s="10">
        <f>IFERROR(__xludf.DUMMYFUNCTION("VALUE(REGEXEXTRACT(A8376, ""\d+""))"),12826.0)</f>
        <v>12826</v>
      </c>
    </row>
    <row r="8377">
      <c r="A8377" s="9" t="s">
        <v>28284</v>
      </c>
      <c r="B8377" s="9" t="s">
        <v>28285</v>
      </c>
      <c r="G8377" s="9" t="s">
        <v>28286</v>
      </c>
      <c r="O8377" s="10">
        <f>IFERROR(__xludf.DUMMYFUNCTION("VALUE(REGEXEXTRACT(A8377, ""\d+""))"),12827.0)</f>
        <v>12827</v>
      </c>
    </row>
    <row r="8378">
      <c r="A8378" s="9" t="s">
        <v>28287</v>
      </c>
      <c r="B8378" s="9" t="s">
        <v>28288</v>
      </c>
      <c r="G8378" s="9" t="s">
        <v>28289</v>
      </c>
      <c r="O8378" s="10">
        <f>IFERROR(__xludf.DUMMYFUNCTION("VALUE(REGEXEXTRACT(A8378, ""\d+""))"),12828.0)</f>
        <v>12828</v>
      </c>
    </row>
    <row r="8379">
      <c r="A8379" s="9" t="s">
        <v>28290</v>
      </c>
      <c r="B8379" s="9" t="s">
        <v>28291</v>
      </c>
      <c r="G8379" s="9" t="s">
        <v>28292</v>
      </c>
      <c r="O8379" s="10">
        <f>IFERROR(__xludf.DUMMYFUNCTION("VALUE(REGEXEXTRACT(A8379, ""\d+""))"),12829.0)</f>
        <v>12829</v>
      </c>
    </row>
    <row r="8380">
      <c r="A8380" s="9" t="s">
        <v>28293</v>
      </c>
      <c r="B8380" s="9" t="s">
        <v>28294</v>
      </c>
      <c r="G8380" s="9" t="s">
        <v>28295</v>
      </c>
      <c r="O8380" s="10">
        <f>IFERROR(__xludf.DUMMYFUNCTION("VALUE(REGEXEXTRACT(A8380, ""\d+""))"),12830.0)</f>
        <v>12830</v>
      </c>
    </row>
    <row r="8381">
      <c r="A8381" s="9" t="s">
        <v>28296</v>
      </c>
      <c r="B8381" s="9" t="s">
        <v>28297</v>
      </c>
      <c r="G8381" s="9" t="s">
        <v>28298</v>
      </c>
      <c r="O8381" s="10">
        <f>IFERROR(__xludf.DUMMYFUNCTION("VALUE(REGEXEXTRACT(A8381, ""\d+""))"),12831.0)</f>
        <v>12831</v>
      </c>
    </row>
    <row r="8382">
      <c r="A8382" s="9" t="s">
        <v>28299</v>
      </c>
      <c r="B8382" s="9" t="s">
        <v>28300</v>
      </c>
      <c r="G8382" s="9" t="s">
        <v>28301</v>
      </c>
      <c r="O8382" s="10">
        <f>IFERROR(__xludf.DUMMYFUNCTION("VALUE(REGEXEXTRACT(A8382, ""\d+""))"),12832.0)</f>
        <v>12832</v>
      </c>
    </row>
    <row r="8383">
      <c r="A8383" s="9" t="s">
        <v>28302</v>
      </c>
      <c r="B8383" s="9" t="s">
        <v>28303</v>
      </c>
      <c r="G8383" s="9" t="s">
        <v>28304</v>
      </c>
      <c r="O8383" s="10">
        <f>IFERROR(__xludf.DUMMYFUNCTION("VALUE(REGEXEXTRACT(A8383, ""\d+""))"),12833.0)</f>
        <v>12833</v>
      </c>
    </row>
    <row r="8384">
      <c r="A8384" s="9" t="s">
        <v>28305</v>
      </c>
      <c r="B8384" s="9" t="s">
        <v>28306</v>
      </c>
      <c r="G8384" s="9" t="s">
        <v>28307</v>
      </c>
      <c r="O8384" s="10">
        <f>IFERROR(__xludf.DUMMYFUNCTION("VALUE(REGEXEXTRACT(A8384, ""\d+""))"),12834.0)</f>
        <v>12834</v>
      </c>
    </row>
    <row r="8385">
      <c r="A8385" s="9" t="s">
        <v>28308</v>
      </c>
      <c r="B8385" s="9" t="s">
        <v>28309</v>
      </c>
      <c r="G8385" s="9" t="s">
        <v>28310</v>
      </c>
      <c r="O8385" s="10">
        <f>IFERROR(__xludf.DUMMYFUNCTION("VALUE(REGEXEXTRACT(A8385, ""\d+""))"),12835.0)</f>
        <v>12835</v>
      </c>
    </row>
    <row r="8386">
      <c r="A8386" s="9" t="s">
        <v>28311</v>
      </c>
      <c r="B8386" s="9" t="s">
        <v>28312</v>
      </c>
      <c r="G8386" s="9" t="s">
        <v>28313</v>
      </c>
      <c r="O8386" s="10">
        <f>IFERROR(__xludf.DUMMYFUNCTION("VALUE(REGEXEXTRACT(A8386, ""\d+""))"),12836.0)</f>
        <v>12836</v>
      </c>
    </row>
    <row r="8387">
      <c r="A8387" s="9" t="s">
        <v>28314</v>
      </c>
      <c r="B8387" s="9" t="s">
        <v>28315</v>
      </c>
      <c r="G8387" s="9" t="s">
        <v>28316</v>
      </c>
      <c r="O8387" s="10">
        <f>IFERROR(__xludf.DUMMYFUNCTION("VALUE(REGEXEXTRACT(A8387, ""\d+""))"),12837.0)</f>
        <v>12837</v>
      </c>
    </row>
    <row r="8388">
      <c r="A8388" s="9" t="s">
        <v>28317</v>
      </c>
      <c r="B8388" s="9" t="s">
        <v>28318</v>
      </c>
      <c r="G8388" s="9" t="s">
        <v>28319</v>
      </c>
      <c r="O8388" s="10">
        <f>IFERROR(__xludf.DUMMYFUNCTION("VALUE(REGEXEXTRACT(A8388, ""\d+""))"),12838.0)</f>
        <v>12838</v>
      </c>
    </row>
    <row r="8389">
      <c r="A8389" s="9" t="s">
        <v>28320</v>
      </c>
      <c r="B8389" s="9" t="s">
        <v>28321</v>
      </c>
      <c r="G8389" s="9" t="s">
        <v>28322</v>
      </c>
      <c r="O8389" s="10">
        <f>IFERROR(__xludf.DUMMYFUNCTION("VALUE(REGEXEXTRACT(A8389, ""\d+""))"),12839.0)</f>
        <v>12839</v>
      </c>
    </row>
    <row r="8390">
      <c r="A8390" s="9" t="s">
        <v>28323</v>
      </c>
      <c r="B8390" s="9" t="s">
        <v>28324</v>
      </c>
      <c r="G8390" s="9" t="s">
        <v>28325</v>
      </c>
      <c r="O8390" s="10">
        <f>IFERROR(__xludf.DUMMYFUNCTION("VALUE(REGEXEXTRACT(A8390, ""\d+""))"),12840.0)</f>
        <v>12840</v>
      </c>
    </row>
    <row r="8391">
      <c r="A8391" s="9" t="s">
        <v>28326</v>
      </c>
      <c r="B8391" s="9" t="s">
        <v>28327</v>
      </c>
      <c r="G8391" s="9" t="s">
        <v>28328</v>
      </c>
      <c r="O8391" s="10">
        <f>IFERROR(__xludf.DUMMYFUNCTION("VALUE(REGEXEXTRACT(A8391, ""\d+""))"),12841.0)</f>
        <v>12841</v>
      </c>
    </row>
    <row r="8392">
      <c r="A8392" s="9" t="s">
        <v>28329</v>
      </c>
      <c r="B8392" s="9" t="s">
        <v>28330</v>
      </c>
      <c r="G8392" s="9" t="s">
        <v>28331</v>
      </c>
      <c r="O8392" s="10">
        <f>IFERROR(__xludf.DUMMYFUNCTION("VALUE(REGEXEXTRACT(A8392, ""\d+""))"),12842.0)</f>
        <v>12842</v>
      </c>
    </row>
    <row r="8393">
      <c r="A8393" s="9" t="s">
        <v>28332</v>
      </c>
      <c r="B8393" s="9" t="s">
        <v>28333</v>
      </c>
      <c r="G8393" s="9" t="s">
        <v>28334</v>
      </c>
      <c r="O8393" s="10">
        <f>IFERROR(__xludf.DUMMYFUNCTION("VALUE(REGEXEXTRACT(A8393, ""\d+""))"),12843.0)</f>
        <v>12843</v>
      </c>
    </row>
    <row r="8394">
      <c r="A8394" s="9" t="s">
        <v>28335</v>
      </c>
      <c r="B8394" s="9" t="s">
        <v>28336</v>
      </c>
      <c r="G8394" s="9" t="s">
        <v>28337</v>
      </c>
      <c r="O8394" s="10">
        <f>IFERROR(__xludf.DUMMYFUNCTION("VALUE(REGEXEXTRACT(A8394, ""\d+""))"),12844.0)</f>
        <v>12844</v>
      </c>
    </row>
    <row r="8395">
      <c r="A8395" s="9" t="s">
        <v>28338</v>
      </c>
      <c r="B8395" s="9" t="s">
        <v>28339</v>
      </c>
      <c r="G8395" s="9" t="s">
        <v>28340</v>
      </c>
      <c r="O8395" s="10">
        <f>IFERROR(__xludf.DUMMYFUNCTION("VALUE(REGEXEXTRACT(A8395, ""\d+""))"),12845.0)</f>
        <v>12845</v>
      </c>
    </row>
    <row r="8396">
      <c r="A8396" s="9" t="s">
        <v>28341</v>
      </c>
      <c r="B8396" s="9" t="s">
        <v>28342</v>
      </c>
      <c r="G8396" s="9" t="s">
        <v>28343</v>
      </c>
      <c r="O8396" s="10">
        <f>IFERROR(__xludf.DUMMYFUNCTION("VALUE(REGEXEXTRACT(A8396, ""\d+""))"),12846.0)</f>
        <v>12846</v>
      </c>
    </row>
    <row r="8397">
      <c r="A8397" s="9" t="s">
        <v>28344</v>
      </c>
      <c r="B8397" s="9" t="s">
        <v>28345</v>
      </c>
      <c r="G8397" s="9" t="s">
        <v>28346</v>
      </c>
      <c r="O8397" s="10">
        <f>IFERROR(__xludf.DUMMYFUNCTION("VALUE(REGEXEXTRACT(A8397, ""\d+""))"),12847.0)</f>
        <v>12847</v>
      </c>
    </row>
    <row r="8398">
      <c r="A8398" s="9" t="s">
        <v>28347</v>
      </c>
      <c r="B8398" s="9" t="s">
        <v>28348</v>
      </c>
      <c r="G8398" s="9" t="s">
        <v>28349</v>
      </c>
      <c r="O8398" s="10">
        <f>IFERROR(__xludf.DUMMYFUNCTION("VALUE(REGEXEXTRACT(A8398, ""\d+""))"),12848.0)</f>
        <v>12848</v>
      </c>
    </row>
    <row r="8399">
      <c r="A8399" s="9" t="s">
        <v>28350</v>
      </c>
      <c r="B8399" s="9" t="s">
        <v>28351</v>
      </c>
      <c r="G8399" s="9" t="s">
        <v>28352</v>
      </c>
      <c r="O8399" s="10">
        <f>IFERROR(__xludf.DUMMYFUNCTION("VALUE(REGEXEXTRACT(A8399, ""\d+""))"),12849.0)</f>
        <v>12849</v>
      </c>
    </row>
    <row r="8400">
      <c r="A8400" s="9" t="s">
        <v>28353</v>
      </c>
      <c r="B8400" s="9" t="s">
        <v>28354</v>
      </c>
      <c r="G8400" s="9" t="s">
        <v>28355</v>
      </c>
      <c r="O8400" s="10">
        <f>IFERROR(__xludf.DUMMYFUNCTION("VALUE(REGEXEXTRACT(A8400, ""\d+""))"),12850.0)</f>
        <v>12850</v>
      </c>
    </row>
    <row r="8401">
      <c r="A8401" s="9" t="s">
        <v>28356</v>
      </c>
      <c r="B8401" s="9" t="s">
        <v>28357</v>
      </c>
      <c r="G8401" s="9" t="s">
        <v>28358</v>
      </c>
      <c r="O8401" s="10">
        <f>IFERROR(__xludf.DUMMYFUNCTION("VALUE(REGEXEXTRACT(A8401, ""\d+""))"),12851.0)</f>
        <v>12851</v>
      </c>
    </row>
    <row r="8402">
      <c r="A8402" s="9" t="s">
        <v>28359</v>
      </c>
      <c r="B8402" s="9" t="s">
        <v>28360</v>
      </c>
      <c r="G8402" s="9" t="s">
        <v>28361</v>
      </c>
      <c r="O8402" s="10">
        <f>IFERROR(__xludf.DUMMYFUNCTION("VALUE(REGEXEXTRACT(A8402, ""\d+""))"),12852.0)</f>
        <v>12852</v>
      </c>
    </row>
    <row r="8403">
      <c r="A8403" s="9" t="s">
        <v>28362</v>
      </c>
      <c r="B8403" s="9" t="s">
        <v>28363</v>
      </c>
      <c r="G8403" s="9" t="s">
        <v>28364</v>
      </c>
      <c r="O8403" s="10">
        <f>IFERROR(__xludf.DUMMYFUNCTION("VALUE(REGEXEXTRACT(A8403, ""\d+""))"),12853.0)</f>
        <v>12853</v>
      </c>
    </row>
    <row r="8404">
      <c r="A8404" s="9" t="s">
        <v>28365</v>
      </c>
      <c r="B8404" s="9" t="s">
        <v>28366</v>
      </c>
      <c r="G8404" s="9" t="s">
        <v>28367</v>
      </c>
      <c r="O8404" s="10">
        <f>IFERROR(__xludf.DUMMYFUNCTION("VALUE(REGEXEXTRACT(A8404, ""\d+""))"),12854.0)</f>
        <v>12854</v>
      </c>
    </row>
    <row r="8405">
      <c r="A8405" s="9" t="s">
        <v>28368</v>
      </c>
      <c r="B8405" s="9" t="s">
        <v>28369</v>
      </c>
      <c r="G8405" s="9" t="s">
        <v>28370</v>
      </c>
      <c r="O8405" s="10">
        <f>IFERROR(__xludf.DUMMYFUNCTION("VALUE(REGEXEXTRACT(A8405, ""\d+""))"),12855.0)</f>
        <v>12855</v>
      </c>
    </row>
    <row r="8406">
      <c r="A8406" s="9" t="s">
        <v>28371</v>
      </c>
      <c r="B8406" s="9" t="s">
        <v>28372</v>
      </c>
      <c r="G8406" s="9" t="s">
        <v>28373</v>
      </c>
      <c r="O8406" s="10">
        <f>IFERROR(__xludf.DUMMYFUNCTION("VALUE(REGEXEXTRACT(A8406, ""\d+""))"),12856.0)</f>
        <v>12856</v>
      </c>
    </row>
    <row r="8407">
      <c r="A8407" s="9" t="s">
        <v>28374</v>
      </c>
      <c r="B8407" s="9" t="s">
        <v>28375</v>
      </c>
      <c r="G8407" s="9" t="s">
        <v>28376</v>
      </c>
      <c r="O8407" s="10">
        <f>IFERROR(__xludf.DUMMYFUNCTION("VALUE(REGEXEXTRACT(A8407, ""\d+""))"),12857.0)</f>
        <v>12857</v>
      </c>
    </row>
    <row r="8408">
      <c r="A8408" s="9" t="s">
        <v>28377</v>
      </c>
      <c r="B8408" s="9" t="s">
        <v>28378</v>
      </c>
      <c r="G8408" s="9" t="s">
        <v>28379</v>
      </c>
      <c r="O8408" s="10">
        <f>IFERROR(__xludf.DUMMYFUNCTION("VALUE(REGEXEXTRACT(A8408, ""\d+""))"),12858.0)</f>
        <v>12858</v>
      </c>
    </row>
    <row r="8409">
      <c r="A8409" s="9" t="s">
        <v>28380</v>
      </c>
      <c r="B8409" s="9" t="s">
        <v>28381</v>
      </c>
      <c r="G8409" s="9" t="s">
        <v>28382</v>
      </c>
      <c r="O8409" s="10">
        <f>IFERROR(__xludf.DUMMYFUNCTION("VALUE(REGEXEXTRACT(A8409, ""\d+""))"),12859.0)</f>
        <v>12859</v>
      </c>
    </row>
    <row r="8410">
      <c r="A8410" s="9" t="s">
        <v>28383</v>
      </c>
      <c r="B8410" s="9" t="s">
        <v>28384</v>
      </c>
      <c r="G8410" s="9" t="s">
        <v>28385</v>
      </c>
      <c r="O8410" s="10">
        <f>IFERROR(__xludf.DUMMYFUNCTION("VALUE(REGEXEXTRACT(A8410, ""\d+""))"),12860.0)</f>
        <v>12860</v>
      </c>
    </row>
    <row r="8411">
      <c r="A8411" s="9" t="s">
        <v>28386</v>
      </c>
      <c r="B8411" s="9" t="s">
        <v>28387</v>
      </c>
      <c r="G8411" s="9" t="s">
        <v>28388</v>
      </c>
      <c r="O8411" s="10">
        <f>IFERROR(__xludf.DUMMYFUNCTION("VALUE(REGEXEXTRACT(A8411, ""\d+""))"),12861.0)</f>
        <v>12861</v>
      </c>
    </row>
    <row r="8412">
      <c r="A8412" s="9" t="s">
        <v>28389</v>
      </c>
      <c r="B8412" s="9" t="s">
        <v>28390</v>
      </c>
      <c r="G8412" s="9" t="s">
        <v>28391</v>
      </c>
      <c r="O8412" s="10">
        <f>IFERROR(__xludf.DUMMYFUNCTION("VALUE(REGEXEXTRACT(A8412, ""\d+""))"),12862.0)</f>
        <v>12862</v>
      </c>
    </row>
    <row r="8413">
      <c r="A8413" s="9" t="s">
        <v>28392</v>
      </c>
      <c r="B8413" s="9" t="s">
        <v>28393</v>
      </c>
      <c r="G8413" s="9" t="s">
        <v>28394</v>
      </c>
      <c r="O8413" s="10">
        <f>IFERROR(__xludf.DUMMYFUNCTION("VALUE(REGEXEXTRACT(A8413, ""\d+""))"),12863.0)</f>
        <v>12863</v>
      </c>
    </row>
    <row r="8414">
      <c r="A8414" s="9" t="s">
        <v>28395</v>
      </c>
      <c r="B8414" s="9" t="s">
        <v>28396</v>
      </c>
      <c r="G8414" s="9" t="s">
        <v>28397</v>
      </c>
      <c r="O8414" s="10">
        <f>IFERROR(__xludf.DUMMYFUNCTION("VALUE(REGEXEXTRACT(A8414, ""\d+""))"),12872.0)</f>
        <v>12872</v>
      </c>
    </row>
    <row r="8415">
      <c r="A8415" s="9" t="s">
        <v>28398</v>
      </c>
      <c r="B8415" s="9" t="s">
        <v>28399</v>
      </c>
      <c r="G8415" s="9" t="s">
        <v>28400</v>
      </c>
      <c r="O8415" s="10">
        <f>IFERROR(__xludf.DUMMYFUNCTION("VALUE(REGEXEXTRACT(A8415, ""\d+""))"),12873.0)</f>
        <v>12873</v>
      </c>
    </row>
    <row r="8416">
      <c r="A8416" s="9" t="s">
        <v>28401</v>
      </c>
      <c r="B8416" s="9" t="s">
        <v>28402</v>
      </c>
      <c r="G8416" s="9" t="s">
        <v>28403</v>
      </c>
      <c r="O8416" s="10">
        <f>IFERROR(__xludf.DUMMYFUNCTION("VALUE(REGEXEXTRACT(A8416, ""\d+""))"),12874.0)</f>
        <v>12874</v>
      </c>
    </row>
    <row r="8417">
      <c r="A8417" s="9" t="s">
        <v>28404</v>
      </c>
      <c r="B8417" s="9" t="s">
        <v>28405</v>
      </c>
      <c r="G8417" s="9" t="s">
        <v>28406</v>
      </c>
      <c r="O8417" s="10">
        <f>IFERROR(__xludf.DUMMYFUNCTION("VALUE(REGEXEXTRACT(A8417, ""\d+""))"),12875.0)</f>
        <v>12875</v>
      </c>
    </row>
    <row r="8418">
      <c r="A8418" s="9" t="s">
        <v>28407</v>
      </c>
      <c r="B8418" s="9" t="s">
        <v>28408</v>
      </c>
      <c r="G8418" s="9" t="s">
        <v>28409</v>
      </c>
      <c r="O8418" s="10">
        <f>IFERROR(__xludf.DUMMYFUNCTION("VALUE(REGEXEXTRACT(A8418, ""\d+""))"),12876.0)</f>
        <v>12876</v>
      </c>
    </row>
    <row r="8419">
      <c r="A8419" s="9" t="s">
        <v>28410</v>
      </c>
      <c r="B8419" s="9" t="s">
        <v>28411</v>
      </c>
      <c r="G8419" s="9" t="s">
        <v>28412</v>
      </c>
      <c r="O8419" s="10">
        <f>IFERROR(__xludf.DUMMYFUNCTION("VALUE(REGEXEXTRACT(A8419, ""\d+""))"),12877.0)</f>
        <v>12877</v>
      </c>
    </row>
    <row r="8420">
      <c r="A8420" s="9" t="s">
        <v>28413</v>
      </c>
      <c r="B8420" s="9" t="s">
        <v>28414</v>
      </c>
      <c r="G8420" s="9" t="s">
        <v>28415</v>
      </c>
      <c r="O8420" s="10">
        <f>IFERROR(__xludf.DUMMYFUNCTION("VALUE(REGEXEXTRACT(A8420, ""\d+""))"),12878.0)</f>
        <v>12878</v>
      </c>
    </row>
    <row r="8421">
      <c r="A8421" s="9" t="s">
        <v>28416</v>
      </c>
      <c r="B8421" s="9" t="s">
        <v>28417</v>
      </c>
      <c r="G8421" s="9" t="s">
        <v>28418</v>
      </c>
      <c r="O8421" s="10">
        <f>IFERROR(__xludf.DUMMYFUNCTION("VALUE(REGEXEXTRACT(A8421, ""\d+""))"),12879.0)</f>
        <v>12879</v>
      </c>
    </row>
    <row r="8422">
      <c r="A8422" s="9" t="s">
        <v>28419</v>
      </c>
      <c r="B8422" s="9" t="s">
        <v>28420</v>
      </c>
      <c r="G8422" s="9" t="s">
        <v>28421</v>
      </c>
      <c r="O8422" s="10">
        <f>IFERROR(__xludf.DUMMYFUNCTION("VALUE(REGEXEXTRACT(A8422, ""\d+""))"),12880.0)</f>
        <v>12880</v>
      </c>
    </row>
    <row r="8423">
      <c r="A8423" s="9" t="s">
        <v>28422</v>
      </c>
      <c r="B8423" s="9" t="s">
        <v>28423</v>
      </c>
      <c r="G8423" s="9" t="s">
        <v>28424</v>
      </c>
      <c r="O8423" s="10">
        <f>IFERROR(__xludf.DUMMYFUNCTION("VALUE(REGEXEXTRACT(A8423, ""\d+""))"),12881.0)</f>
        <v>12881</v>
      </c>
    </row>
    <row r="8424">
      <c r="A8424" s="9" t="s">
        <v>28425</v>
      </c>
      <c r="B8424" s="9" t="s">
        <v>28426</v>
      </c>
      <c r="G8424" s="9" t="s">
        <v>28427</v>
      </c>
      <c r="O8424" s="10">
        <f>IFERROR(__xludf.DUMMYFUNCTION("VALUE(REGEXEXTRACT(A8424, ""\d+""))"),12882.0)</f>
        <v>12882</v>
      </c>
    </row>
    <row r="8425">
      <c r="A8425" s="9" t="s">
        <v>28428</v>
      </c>
      <c r="B8425" s="9" t="s">
        <v>28429</v>
      </c>
      <c r="G8425" s="9" t="s">
        <v>28430</v>
      </c>
      <c r="O8425" s="10">
        <f>IFERROR(__xludf.DUMMYFUNCTION("VALUE(REGEXEXTRACT(A8425, ""\d+""))"),12883.0)</f>
        <v>12883</v>
      </c>
    </row>
    <row r="8426">
      <c r="A8426" s="9" t="s">
        <v>28431</v>
      </c>
      <c r="B8426" s="9" t="s">
        <v>28432</v>
      </c>
      <c r="G8426" s="9" t="s">
        <v>28433</v>
      </c>
      <c r="O8426" s="10">
        <f>IFERROR(__xludf.DUMMYFUNCTION("VALUE(REGEXEXTRACT(A8426, ""\d+""))"),12884.0)</f>
        <v>12884</v>
      </c>
    </row>
    <row r="8427">
      <c r="A8427" s="9" t="s">
        <v>28434</v>
      </c>
      <c r="B8427" s="9" t="s">
        <v>28435</v>
      </c>
      <c r="G8427" s="9" t="s">
        <v>28436</v>
      </c>
      <c r="O8427" s="10">
        <f>IFERROR(__xludf.DUMMYFUNCTION("VALUE(REGEXEXTRACT(A8427, ""\d+""))"),12885.0)</f>
        <v>12885</v>
      </c>
    </row>
    <row r="8428">
      <c r="A8428" s="9" t="s">
        <v>28437</v>
      </c>
      <c r="B8428" s="9" t="s">
        <v>28438</v>
      </c>
      <c r="G8428" s="9" t="s">
        <v>28439</v>
      </c>
      <c r="O8428" s="10">
        <f>IFERROR(__xludf.DUMMYFUNCTION("VALUE(REGEXEXTRACT(A8428, ""\d+""))"),12886.0)</f>
        <v>12886</v>
      </c>
    </row>
    <row r="8429">
      <c r="A8429" s="9" t="s">
        <v>28440</v>
      </c>
      <c r="B8429" s="9" t="s">
        <v>28441</v>
      </c>
      <c r="G8429" s="9" t="s">
        <v>28442</v>
      </c>
      <c r="O8429" s="10">
        <f>IFERROR(__xludf.DUMMYFUNCTION("VALUE(REGEXEXTRACT(A8429, ""\d+""))"),12887.0)</f>
        <v>12887</v>
      </c>
    </row>
    <row r="8430">
      <c r="A8430" s="9" t="s">
        <v>28443</v>
      </c>
      <c r="B8430" s="9" t="s">
        <v>28444</v>
      </c>
      <c r="G8430" s="9" t="s">
        <v>28444</v>
      </c>
      <c r="O8430" s="10">
        <f>IFERROR(__xludf.DUMMYFUNCTION("VALUE(REGEXEXTRACT(A8430, ""\d+""))"),12890.0)</f>
        <v>12890</v>
      </c>
    </row>
    <row r="8431">
      <c r="A8431" s="9" t="s">
        <v>28445</v>
      </c>
      <c r="B8431" s="9" t="s">
        <v>28446</v>
      </c>
      <c r="G8431" s="9" t="s">
        <v>28446</v>
      </c>
      <c r="O8431" s="10">
        <f>IFERROR(__xludf.DUMMYFUNCTION("VALUE(REGEXEXTRACT(A8431, ""\d+""))"),12891.0)</f>
        <v>12891</v>
      </c>
    </row>
    <row r="8432">
      <c r="A8432" s="9" t="s">
        <v>28447</v>
      </c>
      <c r="B8432" s="9" t="s">
        <v>28448</v>
      </c>
      <c r="G8432" s="9" t="s">
        <v>28448</v>
      </c>
      <c r="O8432" s="10">
        <f>IFERROR(__xludf.DUMMYFUNCTION("VALUE(REGEXEXTRACT(A8432, ""\d+""))"),12892.0)</f>
        <v>12892</v>
      </c>
    </row>
    <row r="8433">
      <c r="A8433" s="9" t="s">
        <v>28449</v>
      </c>
      <c r="B8433" s="9" t="s">
        <v>28450</v>
      </c>
      <c r="G8433" s="9" t="s">
        <v>28450</v>
      </c>
      <c r="O8433" s="10">
        <f>IFERROR(__xludf.DUMMYFUNCTION("VALUE(REGEXEXTRACT(A8433, ""\d+""))"),12895.0)</f>
        <v>12895</v>
      </c>
    </row>
    <row r="8434">
      <c r="A8434" s="9" t="s">
        <v>28451</v>
      </c>
      <c r="B8434" s="9" t="s">
        <v>28452</v>
      </c>
      <c r="G8434" s="9" t="s">
        <v>28453</v>
      </c>
      <c r="O8434" s="10">
        <f>IFERROR(__xludf.DUMMYFUNCTION("VALUE(REGEXEXTRACT(A8434, ""\d+""))"),12901.0)</f>
        <v>12901</v>
      </c>
    </row>
    <row r="8435">
      <c r="A8435" s="9" t="s">
        <v>28454</v>
      </c>
      <c r="B8435" s="9" t="s">
        <v>28452</v>
      </c>
      <c r="G8435" s="9" t="s">
        <v>28453</v>
      </c>
      <c r="O8435" s="10">
        <f>IFERROR(__xludf.DUMMYFUNCTION("VALUE(REGEXEXTRACT(A8435, ""\d+""))"),12902.0)</f>
        <v>12902</v>
      </c>
    </row>
    <row r="8436">
      <c r="A8436" s="9" t="s">
        <v>28455</v>
      </c>
      <c r="B8436" s="9" t="s">
        <v>28452</v>
      </c>
      <c r="G8436" s="9" t="s">
        <v>28453</v>
      </c>
      <c r="O8436" s="10">
        <f>IFERROR(__xludf.DUMMYFUNCTION("VALUE(REGEXEXTRACT(A8436, ""\d+""))"),12903.0)</f>
        <v>12903</v>
      </c>
    </row>
    <row r="8437">
      <c r="A8437" s="9" t="s">
        <v>28456</v>
      </c>
      <c r="B8437" s="9" t="s">
        <v>28457</v>
      </c>
      <c r="G8437" s="9" t="s">
        <v>28458</v>
      </c>
      <c r="O8437" s="10">
        <f>IFERROR(__xludf.DUMMYFUNCTION("VALUE(REGEXEXTRACT(A8437, ""\d+""))"),12904.0)</f>
        <v>12904</v>
      </c>
    </row>
    <row r="8438">
      <c r="A8438" s="9" t="s">
        <v>28459</v>
      </c>
      <c r="B8438" s="9" t="s">
        <v>28457</v>
      </c>
      <c r="G8438" s="9" t="s">
        <v>28458</v>
      </c>
      <c r="O8438" s="10">
        <f>IFERROR(__xludf.DUMMYFUNCTION("VALUE(REGEXEXTRACT(A8438, ""\d+""))"),12905.0)</f>
        <v>12905</v>
      </c>
    </row>
    <row r="8439">
      <c r="A8439" s="9" t="s">
        <v>28460</v>
      </c>
      <c r="B8439" s="9" t="s">
        <v>28457</v>
      </c>
      <c r="G8439" s="9" t="s">
        <v>28458</v>
      </c>
      <c r="O8439" s="10">
        <f>IFERROR(__xludf.DUMMYFUNCTION("VALUE(REGEXEXTRACT(A8439, ""\d+""))"),12906.0)</f>
        <v>12906</v>
      </c>
    </row>
    <row r="8440">
      <c r="A8440" s="9" t="s">
        <v>28461</v>
      </c>
      <c r="B8440" s="9" t="s">
        <v>28462</v>
      </c>
      <c r="G8440" s="9" t="s">
        <v>28463</v>
      </c>
      <c r="O8440" s="10">
        <f>IFERROR(__xludf.DUMMYFUNCTION("VALUE(REGEXEXTRACT(A8440, ""\d+""))"),12907.0)</f>
        <v>12907</v>
      </c>
    </row>
    <row r="8441">
      <c r="A8441" s="9" t="s">
        <v>28464</v>
      </c>
      <c r="B8441" s="9" t="s">
        <v>28465</v>
      </c>
      <c r="G8441" s="9" t="s">
        <v>28466</v>
      </c>
      <c r="O8441" s="10">
        <f>IFERROR(__xludf.DUMMYFUNCTION("VALUE(REGEXEXTRACT(A8441, ""\d+""))"),12908.0)</f>
        <v>12908</v>
      </c>
    </row>
    <row r="8442">
      <c r="A8442" s="9" t="s">
        <v>28467</v>
      </c>
      <c r="B8442" s="9" t="s">
        <v>28468</v>
      </c>
      <c r="G8442" s="9" t="s">
        <v>28469</v>
      </c>
      <c r="O8442" s="10">
        <f>IFERROR(__xludf.DUMMYFUNCTION("VALUE(REGEXEXTRACT(A8442, ""\d+""))"),12909.0)</f>
        <v>12909</v>
      </c>
    </row>
    <row r="8443">
      <c r="A8443" s="9" t="s">
        <v>28470</v>
      </c>
      <c r="B8443" s="9" t="s">
        <v>28471</v>
      </c>
      <c r="G8443" s="9" t="s">
        <v>28472</v>
      </c>
      <c r="O8443" s="10">
        <f>IFERROR(__xludf.DUMMYFUNCTION("VALUE(REGEXEXTRACT(A8443, ""\d+""))"),12910.0)</f>
        <v>12910</v>
      </c>
    </row>
    <row r="8444">
      <c r="A8444" s="9" t="s">
        <v>28473</v>
      </c>
      <c r="B8444" s="9" t="s">
        <v>28474</v>
      </c>
      <c r="G8444" s="9" t="s">
        <v>28475</v>
      </c>
      <c r="O8444" s="10">
        <f>IFERROR(__xludf.DUMMYFUNCTION("VALUE(REGEXEXTRACT(A8444, ""\d+""))"),12911.0)</f>
        <v>12911</v>
      </c>
    </row>
    <row r="8445">
      <c r="A8445" s="9" t="s">
        <v>28476</v>
      </c>
      <c r="B8445" s="9" t="s">
        <v>28477</v>
      </c>
      <c r="G8445" s="9" t="s">
        <v>28478</v>
      </c>
      <c r="O8445" s="10">
        <f>IFERROR(__xludf.DUMMYFUNCTION("VALUE(REGEXEXTRACT(A8445, ""\d+""))"),12912.0)</f>
        <v>12912</v>
      </c>
    </row>
    <row r="8446">
      <c r="A8446" s="9" t="s">
        <v>28479</v>
      </c>
      <c r="B8446" s="9" t="s">
        <v>28480</v>
      </c>
      <c r="G8446" s="9" t="s">
        <v>28481</v>
      </c>
      <c r="O8446" s="10">
        <f>IFERROR(__xludf.DUMMYFUNCTION("VALUE(REGEXEXTRACT(A8446, ""\d+""))"),12913.0)</f>
        <v>12913</v>
      </c>
    </row>
    <row r="8447">
      <c r="A8447" s="9" t="s">
        <v>28482</v>
      </c>
      <c r="B8447" s="9" t="s">
        <v>28483</v>
      </c>
      <c r="G8447" s="9" t="s">
        <v>28484</v>
      </c>
      <c r="O8447" s="10">
        <f>IFERROR(__xludf.DUMMYFUNCTION("VALUE(REGEXEXTRACT(A8447, ""\d+""))"),12914.0)</f>
        <v>12914</v>
      </c>
    </row>
    <row r="8448">
      <c r="A8448" s="9" t="s">
        <v>28485</v>
      </c>
      <c r="B8448" s="9" t="s">
        <v>28486</v>
      </c>
      <c r="G8448" s="9" t="s">
        <v>28487</v>
      </c>
      <c r="O8448" s="10">
        <f>IFERROR(__xludf.DUMMYFUNCTION("VALUE(REGEXEXTRACT(A8448, ""\d+""))"),12915.0)</f>
        <v>12915</v>
      </c>
    </row>
    <row r="8449">
      <c r="A8449" s="9" t="s">
        <v>28488</v>
      </c>
      <c r="B8449" s="9" t="s">
        <v>28489</v>
      </c>
      <c r="G8449" s="9" t="s">
        <v>28490</v>
      </c>
      <c r="O8449" s="10">
        <f>IFERROR(__xludf.DUMMYFUNCTION("VALUE(REGEXEXTRACT(A8449, ""\d+""))"),12927.0)</f>
        <v>12927</v>
      </c>
    </row>
    <row r="8450">
      <c r="A8450" s="9" t="s">
        <v>28491</v>
      </c>
      <c r="B8450" s="9" t="s">
        <v>28492</v>
      </c>
      <c r="G8450" s="9" t="s">
        <v>28493</v>
      </c>
      <c r="O8450" s="10">
        <f>IFERROR(__xludf.DUMMYFUNCTION("VALUE(REGEXEXTRACT(A8450, ""\d+""))"),12928.0)</f>
        <v>12928</v>
      </c>
    </row>
    <row r="8451">
      <c r="A8451" s="9" t="s">
        <v>28494</v>
      </c>
      <c r="B8451" s="9" t="s">
        <v>28495</v>
      </c>
      <c r="G8451" s="9" t="s">
        <v>28496</v>
      </c>
      <c r="O8451" s="10">
        <f>IFERROR(__xludf.DUMMYFUNCTION("VALUE(REGEXEXTRACT(A8451, ""\d+""))"),12929.0)</f>
        <v>12929</v>
      </c>
    </row>
    <row r="8452">
      <c r="A8452" s="9" t="s">
        <v>28497</v>
      </c>
      <c r="B8452" s="9" t="s">
        <v>28498</v>
      </c>
      <c r="G8452" s="9" t="s">
        <v>28499</v>
      </c>
      <c r="O8452" s="10">
        <f>IFERROR(__xludf.DUMMYFUNCTION("VALUE(REGEXEXTRACT(A8452, ""\d+""))"),12931.0)</f>
        <v>12931</v>
      </c>
    </row>
    <row r="8453">
      <c r="A8453" s="9" t="s">
        <v>28500</v>
      </c>
      <c r="B8453" s="9" t="s">
        <v>28501</v>
      </c>
      <c r="G8453" s="9" t="s">
        <v>28502</v>
      </c>
      <c r="O8453" s="10">
        <f>IFERROR(__xludf.DUMMYFUNCTION("VALUE(REGEXEXTRACT(A8453, ""\d+""))"),12932.0)</f>
        <v>12932</v>
      </c>
    </row>
    <row r="8454">
      <c r="A8454" s="9" t="s">
        <v>28503</v>
      </c>
      <c r="B8454" s="9" t="s">
        <v>28504</v>
      </c>
      <c r="G8454" s="9" t="s">
        <v>28505</v>
      </c>
      <c r="O8454" s="10">
        <f>IFERROR(__xludf.DUMMYFUNCTION("VALUE(REGEXEXTRACT(A8454, ""\d+""))"),12933.0)</f>
        <v>12933</v>
      </c>
    </row>
    <row r="8455">
      <c r="A8455" s="9" t="s">
        <v>28506</v>
      </c>
      <c r="B8455" s="9" t="s">
        <v>28507</v>
      </c>
      <c r="G8455" s="9" t="s">
        <v>28508</v>
      </c>
      <c r="O8455" s="10">
        <f>IFERROR(__xludf.DUMMYFUNCTION("VALUE(REGEXEXTRACT(A8455, ""\d+""))"),12934.0)</f>
        <v>12934</v>
      </c>
    </row>
    <row r="8456">
      <c r="A8456" s="9" t="s">
        <v>28509</v>
      </c>
      <c r="B8456" s="9" t="s">
        <v>28510</v>
      </c>
      <c r="G8456" s="9" t="s">
        <v>28511</v>
      </c>
      <c r="O8456" s="10">
        <f>IFERROR(__xludf.DUMMYFUNCTION("VALUE(REGEXEXTRACT(A8456, ""\d+""))"),12935.0)</f>
        <v>12935</v>
      </c>
    </row>
    <row r="8457">
      <c r="A8457" s="9" t="s">
        <v>28512</v>
      </c>
      <c r="B8457" s="9" t="s">
        <v>28513</v>
      </c>
      <c r="G8457" s="9" t="s">
        <v>28514</v>
      </c>
      <c r="O8457" s="10">
        <f>IFERROR(__xludf.DUMMYFUNCTION("VALUE(REGEXEXTRACT(A8457, ""\d+""))"),12936.0)</f>
        <v>12936</v>
      </c>
    </row>
    <row r="8458">
      <c r="A8458" s="9" t="s">
        <v>28515</v>
      </c>
      <c r="B8458" s="9" t="s">
        <v>28516</v>
      </c>
      <c r="G8458" s="9" t="s">
        <v>28517</v>
      </c>
      <c r="O8458" s="10">
        <f>IFERROR(__xludf.DUMMYFUNCTION("VALUE(REGEXEXTRACT(A8458, ""\d+""))"),12937.0)</f>
        <v>12937</v>
      </c>
    </row>
    <row r="8459">
      <c r="A8459" s="9" t="s">
        <v>28518</v>
      </c>
      <c r="B8459" s="9" t="s">
        <v>28519</v>
      </c>
      <c r="G8459" s="9" t="s">
        <v>28520</v>
      </c>
      <c r="O8459" s="10">
        <f>IFERROR(__xludf.DUMMYFUNCTION("VALUE(REGEXEXTRACT(A8459, ""\d+""))"),12938.0)</f>
        <v>12938</v>
      </c>
    </row>
    <row r="8460">
      <c r="A8460" s="9" t="s">
        <v>28521</v>
      </c>
      <c r="B8460" s="9" t="s">
        <v>28522</v>
      </c>
      <c r="G8460" s="9" t="s">
        <v>28523</v>
      </c>
      <c r="O8460" s="10">
        <f>IFERROR(__xludf.DUMMYFUNCTION("VALUE(REGEXEXTRACT(A8460, ""\d+""))"),12939.0)</f>
        <v>12939</v>
      </c>
    </row>
    <row r="8461">
      <c r="A8461" s="9" t="s">
        <v>28524</v>
      </c>
      <c r="B8461" s="9" t="s">
        <v>28525</v>
      </c>
      <c r="G8461" s="9" t="s">
        <v>28526</v>
      </c>
      <c r="O8461" s="10">
        <f>IFERROR(__xludf.DUMMYFUNCTION("VALUE(REGEXEXTRACT(A8461, ""\d+""))"),12940.0)</f>
        <v>12940</v>
      </c>
    </row>
    <row r="8462">
      <c r="A8462" s="9" t="s">
        <v>28527</v>
      </c>
      <c r="B8462" s="9" t="s">
        <v>28528</v>
      </c>
      <c r="G8462" s="9" t="s">
        <v>28529</v>
      </c>
      <c r="O8462" s="10">
        <f>IFERROR(__xludf.DUMMYFUNCTION("VALUE(REGEXEXTRACT(A8462, ""\d+""))"),12941.0)</f>
        <v>12941</v>
      </c>
    </row>
    <row r="8463">
      <c r="A8463" s="9" t="s">
        <v>28530</v>
      </c>
      <c r="B8463" s="9" t="s">
        <v>28531</v>
      </c>
      <c r="G8463" s="9" t="s">
        <v>28532</v>
      </c>
      <c r="O8463" s="10">
        <f>IFERROR(__xludf.DUMMYFUNCTION("VALUE(REGEXEXTRACT(A8463, ""\d+""))"),12942.0)</f>
        <v>12942</v>
      </c>
    </row>
    <row r="8464">
      <c r="A8464" s="9" t="s">
        <v>28533</v>
      </c>
      <c r="B8464" s="9" t="s">
        <v>28534</v>
      </c>
      <c r="G8464" s="9" t="s">
        <v>28535</v>
      </c>
      <c r="O8464" s="10">
        <f>IFERROR(__xludf.DUMMYFUNCTION("VALUE(REGEXEXTRACT(A8464, ""\d+""))"),12943.0)</f>
        <v>12943</v>
      </c>
    </row>
    <row r="8465">
      <c r="A8465" s="9" t="s">
        <v>28536</v>
      </c>
      <c r="B8465" s="9" t="s">
        <v>28537</v>
      </c>
      <c r="G8465" s="9" t="s">
        <v>28538</v>
      </c>
      <c r="O8465" s="10">
        <f>IFERROR(__xludf.DUMMYFUNCTION("VALUE(REGEXEXTRACT(A8465, ""\d+""))"),12944.0)</f>
        <v>12944</v>
      </c>
    </row>
    <row r="8466">
      <c r="A8466" s="9" t="s">
        <v>28539</v>
      </c>
      <c r="B8466" s="9" t="s">
        <v>28540</v>
      </c>
      <c r="G8466" s="9" t="s">
        <v>28541</v>
      </c>
      <c r="O8466" s="10">
        <f>IFERROR(__xludf.DUMMYFUNCTION("VALUE(REGEXEXTRACT(A8466, ""\d+""))"),12945.0)</f>
        <v>12945</v>
      </c>
    </row>
    <row r="8467">
      <c r="A8467" s="9" t="s">
        <v>28542</v>
      </c>
      <c r="B8467" s="9" t="s">
        <v>28543</v>
      </c>
      <c r="G8467" s="9" t="s">
        <v>28544</v>
      </c>
      <c r="O8467" s="10">
        <f>IFERROR(__xludf.DUMMYFUNCTION("VALUE(REGEXEXTRACT(A8467, ""\d+""))"),12946.0)</f>
        <v>12946</v>
      </c>
    </row>
    <row r="8468">
      <c r="A8468" s="9" t="s">
        <v>28545</v>
      </c>
      <c r="B8468" s="9" t="s">
        <v>28546</v>
      </c>
      <c r="G8468" s="9" t="s">
        <v>28547</v>
      </c>
      <c r="O8468" s="10">
        <f>IFERROR(__xludf.DUMMYFUNCTION("VALUE(REGEXEXTRACT(A8468, ""\d+""))"),12947.0)</f>
        <v>12947</v>
      </c>
    </row>
    <row r="8469">
      <c r="A8469" s="9" t="s">
        <v>28548</v>
      </c>
      <c r="B8469" s="9" t="s">
        <v>28549</v>
      </c>
      <c r="G8469" s="9" t="s">
        <v>28550</v>
      </c>
      <c r="O8469" s="10">
        <f>IFERROR(__xludf.DUMMYFUNCTION("VALUE(REGEXEXTRACT(A8469, ""\d+""))"),12949.0)</f>
        <v>12949</v>
      </c>
    </row>
    <row r="8470">
      <c r="A8470" s="9" t="s">
        <v>28551</v>
      </c>
      <c r="B8470" s="9" t="s">
        <v>28552</v>
      </c>
      <c r="G8470" s="9" t="s">
        <v>28553</v>
      </c>
      <c r="O8470" s="10">
        <f>IFERROR(__xludf.DUMMYFUNCTION("VALUE(REGEXEXTRACT(A8470, ""\d+""))"),12950.0)</f>
        <v>12950</v>
      </c>
    </row>
    <row r="8471">
      <c r="A8471" s="9" t="s">
        <v>28554</v>
      </c>
      <c r="B8471" s="9" t="s">
        <v>28555</v>
      </c>
      <c r="G8471" s="9" t="s">
        <v>28556</v>
      </c>
      <c r="O8471" s="10">
        <f>IFERROR(__xludf.DUMMYFUNCTION("VALUE(REGEXEXTRACT(A8471, ""\d+""))"),12951.0)</f>
        <v>12951</v>
      </c>
    </row>
    <row r="8472">
      <c r="A8472" s="9" t="s">
        <v>28557</v>
      </c>
      <c r="B8472" s="9" t="s">
        <v>28558</v>
      </c>
      <c r="G8472" s="9" t="s">
        <v>28559</v>
      </c>
      <c r="O8472" s="10">
        <f>IFERROR(__xludf.DUMMYFUNCTION("VALUE(REGEXEXTRACT(A8472, ""\d+""))"),12952.0)</f>
        <v>12952</v>
      </c>
    </row>
    <row r="8473">
      <c r="A8473" s="9" t="s">
        <v>28560</v>
      </c>
      <c r="B8473" s="9" t="s">
        <v>28561</v>
      </c>
      <c r="G8473" s="9" t="s">
        <v>28562</v>
      </c>
      <c r="O8473" s="10">
        <f>IFERROR(__xludf.DUMMYFUNCTION("VALUE(REGEXEXTRACT(A8473, ""\d+""))"),12953.0)</f>
        <v>12953</v>
      </c>
    </row>
    <row r="8474">
      <c r="A8474" s="9" t="s">
        <v>28563</v>
      </c>
      <c r="B8474" s="9" t="s">
        <v>28564</v>
      </c>
      <c r="G8474" s="9" t="s">
        <v>28565</v>
      </c>
      <c r="O8474" s="10">
        <f>IFERROR(__xludf.DUMMYFUNCTION("VALUE(REGEXEXTRACT(A8474, ""\d+""))"),12954.0)</f>
        <v>12954</v>
      </c>
    </row>
    <row r="8475">
      <c r="A8475" s="9" t="s">
        <v>28566</v>
      </c>
      <c r="B8475" s="9" t="s">
        <v>28567</v>
      </c>
      <c r="G8475" s="9" t="s">
        <v>28568</v>
      </c>
      <c r="O8475" s="10">
        <f>IFERROR(__xludf.DUMMYFUNCTION("VALUE(REGEXEXTRACT(A8475, ""\d+""))"),12955.0)</f>
        <v>12955</v>
      </c>
    </row>
    <row r="8476">
      <c r="A8476" s="9" t="s">
        <v>28569</v>
      </c>
      <c r="B8476" s="9" t="s">
        <v>28570</v>
      </c>
      <c r="G8476" s="9" t="s">
        <v>28571</v>
      </c>
      <c r="O8476" s="10">
        <f>IFERROR(__xludf.DUMMYFUNCTION("VALUE(REGEXEXTRACT(A8476, ""\d+""))"),12956.0)</f>
        <v>12956</v>
      </c>
    </row>
    <row r="8477">
      <c r="A8477" s="9" t="s">
        <v>28572</v>
      </c>
      <c r="B8477" s="9" t="s">
        <v>28573</v>
      </c>
      <c r="G8477" s="9" t="s">
        <v>28573</v>
      </c>
      <c r="O8477" s="10">
        <f>IFERROR(__xludf.DUMMYFUNCTION("VALUE(REGEXEXTRACT(A8477, ""\d+""))"),12957.0)</f>
        <v>12957</v>
      </c>
    </row>
    <row r="8478">
      <c r="A8478" s="9" t="s">
        <v>28574</v>
      </c>
      <c r="B8478" s="9" t="s">
        <v>28575</v>
      </c>
      <c r="G8478" s="9" t="s">
        <v>28575</v>
      </c>
      <c r="O8478" s="10">
        <f>IFERROR(__xludf.DUMMYFUNCTION("VALUE(REGEXEXTRACT(A8478, ""\d+""))"),12958.0)</f>
        <v>12958</v>
      </c>
    </row>
    <row r="8479">
      <c r="A8479" s="9" t="s">
        <v>28576</v>
      </c>
      <c r="B8479" s="9" t="s">
        <v>28577</v>
      </c>
      <c r="G8479" s="9" t="s">
        <v>28578</v>
      </c>
      <c r="O8479" s="10">
        <f>IFERROR(__xludf.DUMMYFUNCTION("VALUE(REGEXEXTRACT(A8479, ""\d+""))"),12959.0)</f>
        <v>12959</v>
      </c>
    </row>
    <row r="8480">
      <c r="A8480" s="9" t="s">
        <v>28579</v>
      </c>
      <c r="B8480" s="9" t="s">
        <v>28580</v>
      </c>
      <c r="G8480" s="9" t="s">
        <v>28581</v>
      </c>
      <c r="O8480" s="10">
        <f>IFERROR(__xludf.DUMMYFUNCTION("VALUE(REGEXEXTRACT(A8480, ""\d+""))"),12961.0)</f>
        <v>12961</v>
      </c>
    </row>
    <row r="8481">
      <c r="A8481" s="9" t="s">
        <v>28582</v>
      </c>
      <c r="B8481" s="9" t="s">
        <v>28583</v>
      </c>
      <c r="G8481" s="9" t="s">
        <v>28584</v>
      </c>
      <c r="O8481" s="10">
        <f>IFERROR(__xludf.DUMMYFUNCTION("VALUE(REGEXEXTRACT(A8481, ""\d+""))"),12962.0)</f>
        <v>12962</v>
      </c>
    </row>
    <row r="8482">
      <c r="A8482" s="9" t="s">
        <v>28585</v>
      </c>
      <c r="B8482" s="9" t="s">
        <v>28586</v>
      </c>
      <c r="G8482" s="9" t="s">
        <v>28587</v>
      </c>
      <c r="O8482" s="10">
        <f>IFERROR(__xludf.DUMMYFUNCTION("VALUE(REGEXEXTRACT(A8482, ""\d+""))"),12963.0)</f>
        <v>12963</v>
      </c>
    </row>
    <row r="8483">
      <c r="A8483" s="9" t="s">
        <v>28588</v>
      </c>
      <c r="B8483" s="9" t="s">
        <v>28589</v>
      </c>
      <c r="G8483" s="9" t="s">
        <v>28589</v>
      </c>
      <c r="O8483" s="10">
        <f>IFERROR(__xludf.DUMMYFUNCTION("VALUE(REGEXEXTRACT(A8483, ""\d+""))"),12964.0)</f>
        <v>12964</v>
      </c>
    </row>
    <row r="8484">
      <c r="A8484" s="9" t="s">
        <v>28590</v>
      </c>
      <c r="B8484" s="9" t="s">
        <v>28591</v>
      </c>
      <c r="G8484" s="9" t="s">
        <v>28592</v>
      </c>
      <c r="O8484" s="10">
        <f>IFERROR(__xludf.DUMMYFUNCTION("VALUE(REGEXEXTRACT(A8484, ""\d+""))"),12965.0)</f>
        <v>12965</v>
      </c>
    </row>
    <row r="8485">
      <c r="A8485" s="9" t="s">
        <v>28593</v>
      </c>
      <c r="B8485" s="9" t="s">
        <v>28594</v>
      </c>
      <c r="G8485" s="9" t="s">
        <v>28595</v>
      </c>
      <c r="O8485" s="10">
        <f>IFERROR(__xludf.DUMMYFUNCTION("VALUE(REGEXEXTRACT(A8485, ""\d+""))"),12966.0)</f>
        <v>12966</v>
      </c>
    </row>
    <row r="8486">
      <c r="A8486" s="9" t="s">
        <v>28596</v>
      </c>
      <c r="B8486" s="9" t="s">
        <v>28597</v>
      </c>
      <c r="G8486" s="9" t="s">
        <v>28598</v>
      </c>
      <c r="O8486" s="10">
        <f>IFERROR(__xludf.DUMMYFUNCTION("VALUE(REGEXEXTRACT(A8486, ""\d+""))"),12967.0)</f>
        <v>12967</v>
      </c>
    </row>
    <row r="8487">
      <c r="A8487" s="9" t="s">
        <v>28599</v>
      </c>
      <c r="B8487" s="9" t="s">
        <v>28600</v>
      </c>
      <c r="G8487" s="9" t="s">
        <v>28601</v>
      </c>
      <c r="O8487" s="10">
        <f>IFERROR(__xludf.DUMMYFUNCTION("VALUE(REGEXEXTRACT(A8487, ""\d+""))"),12968.0)</f>
        <v>12968</v>
      </c>
    </row>
    <row r="8488">
      <c r="A8488" s="9" t="s">
        <v>28602</v>
      </c>
      <c r="B8488" s="9" t="s">
        <v>28603</v>
      </c>
      <c r="G8488" s="9" t="s">
        <v>28604</v>
      </c>
      <c r="O8488" s="10">
        <f>IFERROR(__xludf.DUMMYFUNCTION("VALUE(REGEXEXTRACT(A8488, ""\d+""))"),12969.0)</f>
        <v>12969</v>
      </c>
    </row>
    <row r="8489">
      <c r="A8489" s="9" t="s">
        <v>28605</v>
      </c>
      <c r="B8489" s="9" t="s">
        <v>28606</v>
      </c>
      <c r="G8489" s="9" t="s">
        <v>28607</v>
      </c>
      <c r="O8489" s="10">
        <f>IFERROR(__xludf.DUMMYFUNCTION("VALUE(REGEXEXTRACT(A8489, ""\d+""))"),12970.0)</f>
        <v>12970</v>
      </c>
    </row>
    <row r="8490">
      <c r="A8490" s="9" t="s">
        <v>28608</v>
      </c>
      <c r="B8490" s="9" t="s">
        <v>28609</v>
      </c>
      <c r="G8490" s="9" t="s">
        <v>28610</v>
      </c>
      <c r="O8490" s="10">
        <f>IFERROR(__xludf.DUMMYFUNCTION("VALUE(REGEXEXTRACT(A8490, ""\d+""))"),12971.0)</f>
        <v>12971</v>
      </c>
    </row>
    <row r="8491">
      <c r="A8491" s="9" t="s">
        <v>28611</v>
      </c>
      <c r="B8491" s="9" t="s">
        <v>28612</v>
      </c>
      <c r="G8491" s="9" t="s">
        <v>28613</v>
      </c>
      <c r="O8491" s="10">
        <f>IFERROR(__xludf.DUMMYFUNCTION("VALUE(REGEXEXTRACT(A8491, ""\d+""))"),12972.0)</f>
        <v>12972</v>
      </c>
    </row>
    <row r="8492">
      <c r="A8492" s="9" t="s">
        <v>28614</v>
      </c>
      <c r="B8492" s="9" t="s">
        <v>28615</v>
      </c>
      <c r="G8492" s="9" t="s">
        <v>28616</v>
      </c>
      <c r="O8492" s="10">
        <f>IFERROR(__xludf.DUMMYFUNCTION("VALUE(REGEXEXTRACT(A8492, ""\d+""))"),12973.0)</f>
        <v>12973</v>
      </c>
    </row>
    <row r="8493">
      <c r="A8493" s="9" t="s">
        <v>28617</v>
      </c>
      <c r="B8493" s="9" t="s">
        <v>28618</v>
      </c>
      <c r="G8493" s="9" t="s">
        <v>28619</v>
      </c>
      <c r="O8493" s="10">
        <f>IFERROR(__xludf.DUMMYFUNCTION("VALUE(REGEXEXTRACT(A8493, ""\d+""))"),12974.0)</f>
        <v>12974</v>
      </c>
    </row>
    <row r="8494">
      <c r="A8494" s="9" t="s">
        <v>28620</v>
      </c>
      <c r="B8494" s="9" t="s">
        <v>28621</v>
      </c>
      <c r="G8494" s="9" t="s">
        <v>28621</v>
      </c>
      <c r="O8494" s="10">
        <f>IFERROR(__xludf.DUMMYFUNCTION("VALUE(REGEXEXTRACT(A8494, ""\d+""))"),12976.0)</f>
        <v>12976</v>
      </c>
    </row>
    <row r="8495">
      <c r="A8495" s="9" t="s">
        <v>28622</v>
      </c>
      <c r="B8495" s="9" t="s">
        <v>28623</v>
      </c>
      <c r="G8495" s="9" t="s">
        <v>28624</v>
      </c>
      <c r="O8495" s="10">
        <f>IFERROR(__xludf.DUMMYFUNCTION("VALUE(REGEXEXTRACT(A8495, ""\d+""))"),12977.0)</f>
        <v>12977</v>
      </c>
    </row>
    <row r="8496">
      <c r="A8496" s="9" t="s">
        <v>28625</v>
      </c>
      <c r="B8496" s="9" t="s">
        <v>28626</v>
      </c>
      <c r="G8496" s="9" t="s">
        <v>28627</v>
      </c>
      <c r="O8496" s="10">
        <f>IFERROR(__xludf.DUMMYFUNCTION("VALUE(REGEXEXTRACT(A8496, ""\d+""))"),12978.0)</f>
        <v>12978</v>
      </c>
    </row>
    <row r="8497">
      <c r="A8497" s="9" t="s">
        <v>28628</v>
      </c>
      <c r="B8497" s="9" t="s">
        <v>28629</v>
      </c>
      <c r="G8497" s="9" t="s">
        <v>28630</v>
      </c>
      <c r="O8497" s="10">
        <f>IFERROR(__xludf.DUMMYFUNCTION("VALUE(REGEXEXTRACT(A8497, ""\d+""))"),12979.0)</f>
        <v>12979</v>
      </c>
    </row>
    <row r="8498">
      <c r="A8498" s="9" t="s">
        <v>28631</v>
      </c>
      <c r="B8498" s="9" t="s">
        <v>28632</v>
      </c>
      <c r="G8498" s="9" t="s">
        <v>28633</v>
      </c>
      <c r="O8498" s="10">
        <f>IFERROR(__xludf.DUMMYFUNCTION("VALUE(REGEXEXTRACT(A8498, ""\d+""))"),12980.0)</f>
        <v>12980</v>
      </c>
    </row>
    <row r="8499">
      <c r="A8499" s="9" t="s">
        <v>28634</v>
      </c>
      <c r="B8499" s="9" t="s">
        <v>28635</v>
      </c>
      <c r="G8499" s="9" t="s">
        <v>28636</v>
      </c>
      <c r="O8499" s="10">
        <f>IFERROR(__xludf.DUMMYFUNCTION("VALUE(REGEXEXTRACT(A8499, ""\d+""))"),12981.0)</f>
        <v>12981</v>
      </c>
    </row>
    <row r="8500">
      <c r="A8500" s="9" t="s">
        <v>28637</v>
      </c>
      <c r="B8500" s="9" t="s">
        <v>28638</v>
      </c>
      <c r="G8500" s="9" t="s">
        <v>28639</v>
      </c>
      <c r="O8500" s="10">
        <f>IFERROR(__xludf.DUMMYFUNCTION("VALUE(REGEXEXTRACT(A8500, ""\d+""))"),12982.0)</f>
        <v>12982</v>
      </c>
    </row>
    <row r="8501">
      <c r="A8501" s="9" t="s">
        <v>28640</v>
      </c>
      <c r="B8501" s="9" t="s">
        <v>28641</v>
      </c>
      <c r="G8501" s="9" t="s">
        <v>28642</v>
      </c>
      <c r="O8501" s="10">
        <f>IFERROR(__xludf.DUMMYFUNCTION("VALUE(REGEXEXTRACT(A8501, ""\d+""))"),12983.0)</f>
        <v>12983</v>
      </c>
    </row>
    <row r="8502">
      <c r="A8502" s="9" t="s">
        <v>28643</v>
      </c>
      <c r="B8502" s="9" t="s">
        <v>28644</v>
      </c>
      <c r="G8502" s="9" t="s">
        <v>28645</v>
      </c>
      <c r="O8502" s="10">
        <f>IFERROR(__xludf.DUMMYFUNCTION("VALUE(REGEXEXTRACT(A8502, ""\d+""))"),12984.0)</f>
        <v>12984</v>
      </c>
    </row>
    <row r="8503">
      <c r="A8503" s="9" t="s">
        <v>28646</v>
      </c>
      <c r="B8503" s="9" t="s">
        <v>28647</v>
      </c>
      <c r="G8503" s="9" t="s">
        <v>28648</v>
      </c>
      <c r="O8503" s="10">
        <f>IFERROR(__xludf.DUMMYFUNCTION("VALUE(REGEXEXTRACT(A8503, ""\d+""))"),12985.0)</f>
        <v>12985</v>
      </c>
    </row>
    <row r="8504">
      <c r="A8504" s="9" t="s">
        <v>28649</v>
      </c>
      <c r="B8504" s="9" t="s">
        <v>28650</v>
      </c>
      <c r="G8504" s="9" t="s">
        <v>28651</v>
      </c>
      <c r="O8504" s="10">
        <f>IFERROR(__xludf.DUMMYFUNCTION("VALUE(REGEXEXTRACT(A8504, ""\d+""))"),12986.0)</f>
        <v>12986</v>
      </c>
    </row>
    <row r="8505">
      <c r="A8505" s="9" t="s">
        <v>28652</v>
      </c>
      <c r="B8505" s="9" t="s">
        <v>28653</v>
      </c>
      <c r="G8505" s="9" t="s">
        <v>28653</v>
      </c>
      <c r="O8505" s="10">
        <f>IFERROR(__xludf.DUMMYFUNCTION("VALUE(REGEXEXTRACT(A8505, ""\d+""))"),12987.0)</f>
        <v>12987</v>
      </c>
    </row>
    <row r="8506">
      <c r="A8506" s="9" t="s">
        <v>28654</v>
      </c>
      <c r="B8506" s="9" t="s">
        <v>28655</v>
      </c>
      <c r="G8506" s="9" t="s">
        <v>28655</v>
      </c>
      <c r="O8506" s="10">
        <f>IFERROR(__xludf.DUMMYFUNCTION("VALUE(REGEXEXTRACT(A8506, ""\d+""))"),12988.0)</f>
        <v>12988</v>
      </c>
    </row>
    <row r="8507">
      <c r="A8507" s="9" t="s">
        <v>28656</v>
      </c>
      <c r="B8507" s="9" t="s">
        <v>28657</v>
      </c>
      <c r="G8507" s="9" t="s">
        <v>28657</v>
      </c>
      <c r="O8507" s="10">
        <f>IFERROR(__xludf.DUMMYFUNCTION("VALUE(REGEXEXTRACT(A8507, ""\d+""))"),12989.0)</f>
        <v>12989</v>
      </c>
    </row>
    <row r="8508">
      <c r="A8508" s="9" t="s">
        <v>28658</v>
      </c>
      <c r="B8508" s="9" t="s">
        <v>28659</v>
      </c>
      <c r="G8508" s="9" t="s">
        <v>28659</v>
      </c>
      <c r="O8508" s="10">
        <f>IFERROR(__xludf.DUMMYFUNCTION("VALUE(REGEXEXTRACT(A8508, ""\d+""))"),12990.0)</f>
        <v>12990</v>
      </c>
    </row>
    <row r="8509">
      <c r="A8509" s="9" t="s">
        <v>28660</v>
      </c>
      <c r="B8509" s="9" t="s">
        <v>28661</v>
      </c>
      <c r="G8509" s="9" t="s">
        <v>28661</v>
      </c>
      <c r="O8509" s="10">
        <f>IFERROR(__xludf.DUMMYFUNCTION("VALUE(REGEXEXTRACT(A8509, ""\d+""))"),12991.0)</f>
        <v>12991</v>
      </c>
    </row>
    <row r="8510">
      <c r="A8510" s="9" t="s">
        <v>28662</v>
      </c>
      <c r="B8510" s="9" t="s">
        <v>28663</v>
      </c>
      <c r="G8510" s="9" t="s">
        <v>28663</v>
      </c>
      <c r="O8510" s="10">
        <f>IFERROR(__xludf.DUMMYFUNCTION("VALUE(REGEXEXTRACT(A8510, ""\d+""))"),12992.0)</f>
        <v>12992</v>
      </c>
    </row>
    <row r="8511">
      <c r="A8511" s="9" t="s">
        <v>28664</v>
      </c>
      <c r="B8511" s="9" t="s">
        <v>28665</v>
      </c>
      <c r="G8511" s="9" t="s">
        <v>28665</v>
      </c>
      <c r="O8511" s="10">
        <f>IFERROR(__xludf.DUMMYFUNCTION("VALUE(REGEXEXTRACT(A8511, ""\d+""))"),12993.0)</f>
        <v>12993</v>
      </c>
    </row>
    <row r="8512">
      <c r="A8512" s="9" t="s">
        <v>28666</v>
      </c>
      <c r="B8512" s="9" t="s">
        <v>28667</v>
      </c>
      <c r="G8512" s="9" t="s">
        <v>28667</v>
      </c>
      <c r="O8512" s="10">
        <f>IFERROR(__xludf.DUMMYFUNCTION("VALUE(REGEXEXTRACT(A8512, ""\d+""))"),12994.0)</f>
        <v>12994</v>
      </c>
    </row>
    <row r="8513">
      <c r="A8513" s="9" t="s">
        <v>28668</v>
      </c>
      <c r="B8513" s="9" t="s">
        <v>28669</v>
      </c>
      <c r="G8513" s="9" t="s">
        <v>28670</v>
      </c>
      <c r="O8513" s="10">
        <f>IFERROR(__xludf.DUMMYFUNCTION("VALUE(REGEXEXTRACT(A8513, ""\d+""))"),12995.0)</f>
        <v>12995</v>
      </c>
    </row>
    <row r="8514">
      <c r="A8514" s="9" t="s">
        <v>28671</v>
      </c>
      <c r="B8514" s="9" t="s">
        <v>28672</v>
      </c>
      <c r="G8514" s="9" t="s">
        <v>28672</v>
      </c>
      <c r="O8514" s="10">
        <f>IFERROR(__xludf.DUMMYFUNCTION("VALUE(REGEXEXTRACT(A8514, ""\d+""))"),12996.0)</f>
        <v>12996</v>
      </c>
    </row>
    <row r="8515">
      <c r="A8515" s="9" t="s">
        <v>28673</v>
      </c>
      <c r="B8515" s="9" t="s">
        <v>28674</v>
      </c>
      <c r="G8515" s="9" t="s">
        <v>28675</v>
      </c>
      <c r="O8515" s="10">
        <f>IFERROR(__xludf.DUMMYFUNCTION("VALUE(REGEXEXTRACT(A8515, ""\d+""))"),12997.0)</f>
        <v>12997</v>
      </c>
    </row>
    <row r="8516">
      <c r="A8516" s="9" t="s">
        <v>28676</v>
      </c>
      <c r="B8516" s="9" t="s">
        <v>28677</v>
      </c>
      <c r="G8516" s="9" t="s">
        <v>28678</v>
      </c>
      <c r="O8516" s="10">
        <f>IFERROR(__xludf.DUMMYFUNCTION("VALUE(REGEXEXTRACT(A8516, ""\d+""))"),12998.0)</f>
        <v>12998</v>
      </c>
    </row>
    <row r="8517">
      <c r="A8517" s="9" t="s">
        <v>28679</v>
      </c>
      <c r="B8517" s="9" t="s">
        <v>28680</v>
      </c>
      <c r="G8517" s="9" t="s">
        <v>28681</v>
      </c>
      <c r="O8517" s="10">
        <f>IFERROR(__xludf.DUMMYFUNCTION("VALUE(REGEXEXTRACT(A8517, ""\d+""))"),12999.0)</f>
        <v>12999</v>
      </c>
    </row>
    <row r="8518">
      <c r="A8518" s="9" t="s">
        <v>28682</v>
      </c>
      <c r="B8518" s="9" t="s">
        <v>28683</v>
      </c>
      <c r="G8518" s="9" t="s">
        <v>28684</v>
      </c>
      <c r="O8518" s="10">
        <f>IFERROR(__xludf.DUMMYFUNCTION("VALUE(REGEXEXTRACT(A8518, ""\d+""))"),13000.0)</f>
        <v>13000</v>
      </c>
    </row>
    <row r="8519">
      <c r="A8519" s="9" t="s">
        <v>28685</v>
      </c>
      <c r="B8519" s="9" t="s">
        <v>28686</v>
      </c>
      <c r="G8519" s="9" t="s">
        <v>28687</v>
      </c>
      <c r="O8519" s="10">
        <f>IFERROR(__xludf.DUMMYFUNCTION("VALUE(REGEXEXTRACT(A8519, ""\d+""))"),13001.0)</f>
        <v>13001</v>
      </c>
    </row>
    <row r="8520">
      <c r="A8520" s="9" t="s">
        <v>28688</v>
      </c>
      <c r="B8520" s="9" t="s">
        <v>28689</v>
      </c>
      <c r="G8520" s="9" t="s">
        <v>28690</v>
      </c>
      <c r="O8520" s="10">
        <f>IFERROR(__xludf.DUMMYFUNCTION("VALUE(REGEXEXTRACT(A8520, ""\d+""))"),13002.0)</f>
        <v>13002</v>
      </c>
    </row>
    <row r="8521">
      <c r="A8521" s="9" t="s">
        <v>28691</v>
      </c>
      <c r="B8521" s="9" t="s">
        <v>28692</v>
      </c>
      <c r="G8521" s="9" t="s">
        <v>28693</v>
      </c>
      <c r="O8521" s="10">
        <f>IFERROR(__xludf.DUMMYFUNCTION("VALUE(REGEXEXTRACT(A8521, ""\d+""))"),13003.0)</f>
        <v>13003</v>
      </c>
    </row>
    <row r="8522">
      <c r="A8522" s="9" t="s">
        <v>28694</v>
      </c>
      <c r="B8522" s="9" t="s">
        <v>28695</v>
      </c>
      <c r="G8522" s="9" t="s">
        <v>28696</v>
      </c>
      <c r="O8522" s="10">
        <f>IFERROR(__xludf.DUMMYFUNCTION("VALUE(REGEXEXTRACT(A8522, ""\d+""))"),13004.0)</f>
        <v>13004</v>
      </c>
    </row>
    <row r="8523">
      <c r="A8523" s="9" t="s">
        <v>28697</v>
      </c>
      <c r="B8523" s="9" t="s">
        <v>28698</v>
      </c>
      <c r="G8523" s="9" t="s">
        <v>28698</v>
      </c>
      <c r="O8523" s="10">
        <f>IFERROR(__xludf.DUMMYFUNCTION("VALUE(REGEXEXTRACT(A8523, ""\d+""))"),13005.0)</f>
        <v>13005</v>
      </c>
    </row>
    <row r="8524">
      <c r="A8524" s="9" t="s">
        <v>28699</v>
      </c>
      <c r="B8524" s="9" t="s">
        <v>28700</v>
      </c>
      <c r="G8524" s="9" t="s">
        <v>28701</v>
      </c>
      <c r="O8524" s="10">
        <f>IFERROR(__xludf.DUMMYFUNCTION("VALUE(REGEXEXTRACT(A8524, ""\d+""))"),13006.0)</f>
        <v>13006</v>
      </c>
    </row>
    <row r="8525">
      <c r="A8525" s="9" t="s">
        <v>28702</v>
      </c>
      <c r="B8525" s="9" t="s">
        <v>28703</v>
      </c>
      <c r="G8525" s="9" t="s">
        <v>28704</v>
      </c>
      <c r="O8525" s="10">
        <f>IFERROR(__xludf.DUMMYFUNCTION("VALUE(REGEXEXTRACT(A8525, ""\d+""))"),13007.0)</f>
        <v>13007</v>
      </c>
    </row>
    <row r="8526">
      <c r="A8526" s="9" t="s">
        <v>28705</v>
      </c>
      <c r="B8526" s="9" t="s">
        <v>28706</v>
      </c>
      <c r="G8526" s="9" t="s">
        <v>28707</v>
      </c>
      <c r="O8526" s="10">
        <f>IFERROR(__xludf.DUMMYFUNCTION("VALUE(REGEXEXTRACT(A8526, ""\d+""))"),13008.0)</f>
        <v>13008</v>
      </c>
    </row>
    <row r="8527">
      <c r="A8527" s="9" t="s">
        <v>28708</v>
      </c>
      <c r="B8527" s="9" t="s">
        <v>28709</v>
      </c>
      <c r="G8527" s="9" t="s">
        <v>28710</v>
      </c>
      <c r="O8527" s="10">
        <f>IFERROR(__xludf.DUMMYFUNCTION("VALUE(REGEXEXTRACT(A8527, ""\d+""))"),13009.0)</f>
        <v>13009</v>
      </c>
    </row>
    <row r="8528">
      <c r="A8528" s="9" t="s">
        <v>28711</v>
      </c>
      <c r="B8528" s="9" t="s">
        <v>28712</v>
      </c>
      <c r="G8528" s="9" t="s">
        <v>28713</v>
      </c>
      <c r="O8528" s="10">
        <f>IFERROR(__xludf.DUMMYFUNCTION("VALUE(REGEXEXTRACT(A8528, ""\d+""))"),13010.0)</f>
        <v>13010</v>
      </c>
    </row>
    <row r="8529">
      <c r="A8529" s="9" t="s">
        <v>28714</v>
      </c>
      <c r="B8529" s="9" t="s">
        <v>28715</v>
      </c>
      <c r="G8529" s="9" t="s">
        <v>28716</v>
      </c>
      <c r="O8529" s="10">
        <f>IFERROR(__xludf.DUMMYFUNCTION("VALUE(REGEXEXTRACT(A8529, ""\d+""))"),13011.0)</f>
        <v>13011</v>
      </c>
    </row>
    <row r="8530">
      <c r="A8530" s="9" t="s">
        <v>28717</v>
      </c>
      <c r="B8530" s="9" t="s">
        <v>28718</v>
      </c>
      <c r="G8530" s="9" t="s">
        <v>28719</v>
      </c>
      <c r="O8530" s="10">
        <f>IFERROR(__xludf.DUMMYFUNCTION("VALUE(REGEXEXTRACT(A8530, ""\d+""))"),13012.0)</f>
        <v>13012</v>
      </c>
    </row>
    <row r="8531">
      <c r="A8531" s="9" t="s">
        <v>28720</v>
      </c>
      <c r="B8531" s="9" t="s">
        <v>28721</v>
      </c>
      <c r="G8531" s="9" t="s">
        <v>28722</v>
      </c>
      <c r="O8531" s="10">
        <f>IFERROR(__xludf.DUMMYFUNCTION("VALUE(REGEXEXTRACT(A8531, ""\d+""))"),13013.0)</f>
        <v>13013</v>
      </c>
    </row>
    <row r="8532">
      <c r="A8532" s="9" t="s">
        <v>28723</v>
      </c>
      <c r="B8532" s="9" t="s">
        <v>28724</v>
      </c>
      <c r="G8532" s="9" t="s">
        <v>28724</v>
      </c>
      <c r="O8532" s="10">
        <f>IFERROR(__xludf.DUMMYFUNCTION("VALUE(REGEXEXTRACT(A8532, ""\d+""))"),13014.0)</f>
        <v>13014</v>
      </c>
    </row>
    <row r="8533">
      <c r="A8533" s="9" t="s">
        <v>28725</v>
      </c>
      <c r="B8533" s="9" t="s">
        <v>28726</v>
      </c>
      <c r="G8533" s="9" t="s">
        <v>28727</v>
      </c>
      <c r="O8533" s="10">
        <f>IFERROR(__xludf.DUMMYFUNCTION("VALUE(REGEXEXTRACT(A8533, ""\d+""))"),13015.0)</f>
        <v>13015</v>
      </c>
    </row>
    <row r="8534">
      <c r="A8534" s="9" t="s">
        <v>28728</v>
      </c>
      <c r="B8534" s="9" t="s">
        <v>28729</v>
      </c>
      <c r="G8534" s="9" t="s">
        <v>28730</v>
      </c>
      <c r="O8534" s="10">
        <f>IFERROR(__xludf.DUMMYFUNCTION("VALUE(REGEXEXTRACT(A8534, ""\d+""))"),13016.0)</f>
        <v>13016</v>
      </c>
    </row>
    <row r="8535">
      <c r="A8535" s="9" t="s">
        <v>28731</v>
      </c>
      <c r="B8535" s="9" t="s">
        <v>28732</v>
      </c>
      <c r="G8535" s="9" t="s">
        <v>28733</v>
      </c>
      <c r="O8535" s="10">
        <f>IFERROR(__xludf.DUMMYFUNCTION("VALUE(REGEXEXTRACT(A8535, ""\d+""))"),13017.0)</f>
        <v>13017</v>
      </c>
    </row>
    <row r="8536">
      <c r="A8536" s="9" t="s">
        <v>28734</v>
      </c>
      <c r="B8536" s="9" t="s">
        <v>28735</v>
      </c>
      <c r="G8536" s="9" t="s">
        <v>28736</v>
      </c>
      <c r="O8536" s="10">
        <f>IFERROR(__xludf.DUMMYFUNCTION("VALUE(REGEXEXTRACT(A8536, ""\d+""))"),13018.0)</f>
        <v>13018</v>
      </c>
    </row>
    <row r="8537">
      <c r="A8537" s="9" t="s">
        <v>28737</v>
      </c>
      <c r="B8537" s="9" t="s">
        <v>28738</v>
      </c>
      <c r="G8537" s="9" t="s">
        <v>28739</v>
      </c>
      <c r="O8537" s="10">
        <f>IFERROR(__xludf.DUMMYFUNCTION("VALUE(REGEXEXTRACT(A8537, ""\d+""))"),13019.0)</f>
        <v>13019</v>
      </c>
    </row>
    <row r="8538">
      <c r="A8538" s="9" t="s">
        <v>28740</v>
      </c>
      <c r="B8538" s="9" t="s">
        <v>28741</v>
      </c>
      <c r="G8538" s="9" t="s">
        <v>28742</v>
      </c>
      <c r="O8538" s="10">
        <f>IFERROR(__xludf.DUMMYFUNCTION("VALUE(REGEXEXTRACT(A8538, ""\d+""))"),13020.0)</f>
        <v>13020</v>
      </c>
    </row>
    <row r="8539">
      <c r="A8539" s="9" t="s">
        <v>28743</v>
      </c>
      <c r="B8539" s="9" t="s">
        <v>28744</v>
      </c>
      <c r="G8539" s="9" t="s">
        <v>28745</v>
      </c>
      <c r="O8539" s="10">
        <f>IFERROR(__xludf.DUMMYFUNCTION("VALUE(REGEXEXTRACT(A8539, ""\d+""))"),13021.0)</f>
        <v>13021</v>
      </c>
    </row>
    <row r="8540">
      <c r="A8540" s="9" t="s">
        <v>28746</v>
      </c>
      <c r="B8540" s="9" t="s">
        <v>28747</v>
      </c>
      <c r="G8540" s="9" t="s">
        <v>28748</v>
      </c>
      <c r="O8540" s="10">
        <f>IFERROR(__xludf.DUMMYFUNCTION("VALUE(REGEXEXTRACT(A8540, ""\d+""))"),13022.0)</f>
        <v>13022</v>
      </c>
    </row>
    <row r="8541">
      <c r="A8541" s="9" t="s">
        <v>28749</v>
      </c>
      <c r="B8541" s="9" t="s">
        <v>28750</v>
      </c>
      <c r="G8541" s="9" t="s">
        <v>28750</v>
      </c>
      <c r="O8541" s="10">
        <f>IFERROR(__xludf.DUMMYFUNCTION("VALUE(REGEXEXTRACT(A8541, ""\d+""))"),13023.0)</f>
        <v>13023</v>
      </c>
    </row>
    <row r="8542">
      <c r="A8542" s="9" t="s">
        <v>28751</v>
      </c>
      <c r="B8542" s="9" t="s">
        <v>28752</v>
      </c>
      <c r="G8542" s="9" t="s">
        <v>28753</v>
      </c>
      <c r="O8542" s="10">
        <f>IFERROR(__xludf.DUMMYFUNCTION("VALUE(REGEXEXTRACT(A8542, ""\d+""))"),13024.0)</f>
        <v>13024</v>
      </c>
    </row>
    <row r="8543">
      <c r="A8543" s="9" t="s">
        <v>28754</v>
      </c>
      <c r="B8543" s="9" t="s">
        <v>28755</v>
      </c>
      <c r="G8543" s="9" t="s">
        <v>28756</v>
      </c>
      <c r="O8543" s="10">
        <f>IFERROR(__xludf.DUMMYFUNCTION("VALUE(REGEXEXTRACT(A8543, ""\d+""))"),13025.0)</f>
        <v>13025</v>
      </c>
    </row>
    <row r="8544">
      <c r="A8544" s="9" t="s">
        <v>28757</v>
      </c>
      <c r="B8544" s="9" t="s">
        <v>28758</v>
      </c>
      <c r="G8544" s="9" t="s">
        <v>28759</v>
      </c>
      <c r="O8544" s="10">
        <f>IFERROR(__xludf.DUMMYFUNCTION("VALUE(REGEXEXTRACT(A8544, ""\d+""))"),13026.0)</f>
        <v>13026</v>
      </c>
    </row>
    <row r="8545">
      <c r="A8545" s="9" t="s">
        <v>28760</v>
      </c>
      <c r="B8545" s="9" t="s">
        <v>28761</v>
      </c>
      <c r="G8545" s="9" t="s">
        <v>28762</v>
      </c>
      <c r="O8545" s="10">
        <f>IFERROR(__xludf.DUMMYFUNCTION("VALUE(REGEXEXTRACT(A8545, ""\d+""))"),13027.0)</f>
        <v>13027</v>
      </c>
    </row>
    <row r="8546">
      <c r="A8546" s="9" t="s">
        <v>28763</v>
      </c>
      <c r="B8546" s="9" t="s">
        <v>28764</v>
      </c>
      <c r="G8546" s="9" t="s">
        <v>28765</v>
      </c>
      <c r="O8546" s="10">
        <f>IFERROR(__xludf.DUMMYFUNCTION("VALUE(REGEXEXTRACT(A8546, ""\d+""))"),13028.0)</f>
        <v>13028</v>
      </c>
    </row>
    <row r="8547">
      <c r="A8547" s="9" t="s">
        <v>28766</v>
      </c>
      <c r="B8547" s="9" t="s">
        <v>28767</v>
      </c>
      <c r="G8547" s="9" t="s">
        <v>28768</v>
      </c>
      <c r="O8547" s="10">
        <f>IFERROR(__xludf.DUMMYFUNCTION("VALUE(REGEXEXTRACT(A8547, ""\d+""))"),13029.0)</f>
        <v>13029</v>
      </c>
    </row>
    <row r="8548">
      <c r="A8548" s="9" t="s">
        <v>28769</v>
      </c>
      <c r="B8548" s="9" t="s">
        <v>28770</v>
      </c>
      <c r="G8548" s="9" t="s">
        <v>28771</v>
      </c>
      <c r="O8548" s="10">
        <f>IFERROR(__xludf.DUMMYFUNCTION("VALUE(REGEXEXTRACT(A8548, ""\d+""))"),13030.0)</f>
        <v>13030</v>
      </c>
    </row>
    <row r="8549">
      <c r="A8549" s="9" t="s">
        <v>28772</v>
      </c>
      <c r="B8549" s="9" t="s">
        <v>28773</v>
      </c>
      <c r="G8549" s="9" t="s">
        <v>28774</v>
      </c>
      <c r="O8549" s="10">
        <f>IFERROR(__xludf.DUMMYFUNCTION("VALUE(REGEXEXTRACT(A8549, ""\d+""))"),13031.0)</f>
        <v>13031</v>
      </c>
    </row>
    <row r="8550">
      <c r="A8550" s="9" t="s">
        <v>28775</v>
      </c>
      <c r="B8550" s="9" t="s">
        <v>28776</v>
      </c>
      <c r="G8550" s="9" t="s">
        <v>28776</v>
      </c>
      <c r="O8550" s="10">
        <f>IFERROR(__xludf.DUMMYFUNCTION("VALUE(REGEXEXTRACT(A8550, ""\d+""))"),13032.0)</f>
        <v>13032</v>
      </c>
    </row>
    <row r="8551">
      <c r="A8551" s="9" t="s">
        <v>28777</v>
      </c>
      <c r="B8551" s="9" t="s">
        <v>28778</v>
      </c>
      <c r="G8551" s="9" t="s">
        <v>28779</v>
      </c>
      <c r="O8551" s="10">
        <f>IFERROR(__xludf.DUMMYFUNCTION("VALUE(REGEXEXTRACT(A8551, ""\d+""))"),13033.0)</f>
        <v>13033</v>
      </c>
    </row>
    <row r="8552">
      <c r="A8552" s="9" t="s">
        <v>28780</v>
      </c>
      <c r="B8552" s="9" t="s">
        <v>28781</v>
      </c>
      <c r="G8552" s="9" t="s">
        <v>28782</v>
      </c>
      <c r="O8552" s="10">
        <f>IFERROR(__xludf.DUMMYFUNCTION("VALUE(REGEXEXTRACT(A8552, ""\d+""))"),13034.0)</f>
        <v>13034</v>
      </c>
    </row>
    <row r="8553">
      <c r="A8553" s="9" t="s">
        <v>28783</v>
      </c>
      <c r="B8553" s="9" t="s">
        <v>28784</v>
      </c>
      <c r="G8553" s="9" t="s">
        <v>28785</v>
      </c>
      <c r="O8553" s="10">
        <f>IFERROR(__xludf.DUMMYFUNCTION("VALUE(REGEXEXTRACT(A8553, ""\d+""))"),13035.0)</f>
        <v>13035</v>
      </c>
    </row>
    <row r="8554">
      <c r="A8554" s="9" t="s">
        <v>28786</v>
      </c>
      <c r="B8554" s="9" t="s">
        <v>28787</v>
      </c>
      <c r="G8554" s="9" t="s">
        <v>28788</v>
      </c>
      <c r="O8554" s="10">
        <f>IFERROR(__xludf.DUMMYFUNCTION("VALUE(REGEXEXTRACT(A8554, ""\d+""))"),13036.0)</f>
        <v>13036</v>
      </c>
    </row>
    <row r="8555">
      <c r="A8555" s="9" t="s">
        <v>28789</v>
      </c>
      <c r="B8555" s="9" t="s">
        <v>28790</v>
      </c>
      <c r="G8555" s="9" t="s">
        <v>28791</v>
      </c>
      <c r="O8555" s="10">
        <f>IFERROR(__xludf.DUMMYFUNCTION("VALUE(REGEXEXTRACT(A8555, ""\d+""))"),13037.0)</f>
        <v>13037</v>
      </c>
    </row>
    <row r="8556">
      <c r="A8556" s="9" t="s">
        <v>28792</v>
      </c>
      <c r="B8556" s="9" t="s">
        <v>28793</v>
      </c>
      <c r="G8556" s="9" t="s">
        <v>28794</v>
      </c>
      <c r="O8556" s="10">
        <f>IFERROR(__xludf.DUMMYFUNCTION("VALUE(REGEXEXTRACT(A8556, ""\d+""))"),13038.0)</f>
        <v>13038</v>
      </c>
    </row>
    <row r="8557">
      <c r="A8557" s="9" t="s">
        <v>28795</v>
      </c>
      <c r="B8557" s="9" t="s">
        <v>28796</v>
      </c>
      <c r="G8557" s="9" t="s">
        <v>28797</v>
      </c>
      <c r="O8557" s="10">
        <f>IFERROR(__xludf.DUMMYFUNCTION("VALUE(REGEXEXTRACT(A8557, ""\d+""))"),13039.0)</f>
        <v>13039</v>
      </c>
    </row>
    <row r="8558">
      <c r="A8558" s="9" t="s">
        <v>28798</v>
      </c>
      <c r="B8558" s="9" t="s">
        <v>28799</v>
      </c>
      <c r="G8558" s="9" t="s">
        <v>28800</v>
      </c>
      <c r="O8558" s="10">
        <f>IFERROR(__xludf.DUMMYFUNCTION("VALUE(REGEXEXTRACT(A8558, ""\d+""))"),13040.0)</f>
        <v>13040</v>
      </c>
    </row>
    <row r="8559">
      <c r="A8559" s="9" t="s">
        <v>28801</v>
      </c>
      <c r="B8559" s="9" t="s">
        <v>28802</v>
      </c>
      <c r="G8559" s="9" t="s">
        <v>28802</v>
      </c>
      <c r="O8559" s="10">
        <f>IFERROR(__xludf.DUMMYFUNCTION("VALUE(REGEXEXTRACT(A8559, ""\d+""))"),13041.0)</f>
        <v>13041</v>
      </c>
    </row>
    <row r="8560">
      <c r="A8560" s="9" t="s">
        <v>28803</v>
      </c>
      <c r="B8560" s="9" t="s">
        <v>28804</v>
      </c>
      <c r="G8560" s="9" t="s">
        <v>28805</v>
      </c>
      <c r="O8560" s="10">
        <f>IFERROR(__xludf.DUMMYFUNCTION("VALUE(REGEXEXTRACT(A8560, ""\d+""))"),13042.0)</f>
        <v>13042</v>
      </c>
    </row>
    <row r="8561">
      <c r="A8561" s="9" t="s">
        <v>28806</v>
      </c>
      <c r="B8561" s="9" t="s">
        <v>28807</v>
      </c>
      <c r="G8561" s="9" t="s">
        <v>28808</v>
      </c>
      <c r="O8561" s="10">
        <f>IFERROR(__xludf.DUMMYFUNCTION("VALUE(REGEXEXTRACT(A8561, ""\d+""))"),13043.0)</f>
        <v>13043</v>
      </c>
    </row>
    <row r="8562">
      <c r="A8562" s="9" t="s">
        <v>28809</v>
      </c>
      <c r="B8562" s="9" t="s">
        <v>28810</v>
      </c>
      <c r="G8562" s="9" t="s">
        <v>28811</v>
      </c>
      <c r="O8562" s="10">
        <f>IFERROR(__xludf.DUMMYFUNCTION("VALUE(REGEXEXTRACT(A8562, ""\d+""))"),13044.0)</f>
        <v>13044</v>
      </c>
    </row>
    <row r="8563">
      <c r="A8563" s="9" t="s">
        <v>28812</v>
      </c>
      <c r="B8563" s="9" t="s">
        <v>28813</v>
      </c>
      <c r="G8563" s="9" t="s">
        <v>28814</v>
      </c>
      <c r="O8563" s="10">
        <f>IFERROR(__xludf.DUMMYFUNCTION("VALUE(REGEXEXTRACT(A8563, ""\d+""))"),13045.0)</f>
        <v>13045</v>
      </c>
    </row>
    <row r="8564">
      <c r="A8564" s="9" t="s">
        <v>28815</v>
      </c>
      <c r="B8564" s="9" t="s">
        <v>28816</v>
      </c>
      <c r="G8564" s="9" t="s">
        <v>28817</v>
      </c>
      <c r="O8564" s="10">
        <f>IFERROR(__xludf.DUMMYFUNCTION("VALUE(REGEXEXTRACT(A8564, ""\d+""))"),13046.0)</f>
        <v>13046</v>
      </c>
    </row>
    <row r="8565">
      <c r="A8565" s="9" t="s">
        <v>28818</v>
      </c>
      <c r="B8565" s="9" t="s">
        <v>28819</v>
      </c>
      <c r="G8565" s="9" t="s">
        <v>28820</v>
      </c>
      <c r="O8565" s="10">
        <f>IFERROR(__xludf.DUMMYFUNCTION("VALUE(REGEXEXTRACT(A8565, ""\d+""))"),13047.0)</f>
        <v>13047</v>
      </c>
    </row>
    <row r="8566">
      <c r="A8566" s="9" t="s">
        <v>28821</v>
      </c>
      <c r="B8566" s="9" t="s">
        <v>28822</v>
      </c>
      <c r="G8566" s="9" t="s">
        <v>28823</v>
      </c>
      <c r="O8566" s="10">
        <f>IFERROR(__xludf.DUMMYFUNCTION("VALUE(REGEXEXTRACT(A8566, ""\d+""))"),13048.0)</f>
        <v>13048</v>
      </c>
    </row>
    <row r="8567">
      <c r="A8567" s="9" t="s">
        <v>28824</v>
      </c>
      <c r="B8567" s="9" t="s">
        <v>28825</v>
      </c>
      <c r="G8567" s="9" t="s">
        <v>28826</v>
      </c>
      <c r="O8567" s="10">
        <f>IFERROR(__xludf.DUMMYFUNCTION("VALUE(REGEXEXTRACT(A8567, ""\d+""))"),13049.0)</f>
        <v>13049</v>
      </c>
    </row>
    <row r="8568">
      <c r="A8568" s="9" t="s">
        <v>28827</v>
      </c>
      <c r="B8568" s="9" t="s">
        <v>28828</v>
      </c>
      <c r="G8568" s="9" t="s">
        <v>28829</v>
      </c>
      <c r="O8568" s="10">
        <f>IFERROR(__xludf.DUMMYFUNCTION("VALUE(REGEXEXTRACT(A8568, ""\d+""))"),13050.0)</f>
        <v>13050</v>
      </c>
    </row>
    <row r="8569">
      <c r="A8569" s="9" t="s">
        <v>28830</v>
      </c>
      <c r="B8569" s="9" t="s">
        <v>28831</v>
      </c>
      <c r="G8569" s="9" t="s">
        <v>28832</v>
      </c>
      <c r="O8569" s="10">
        <f>IFERROR(__xludf.DUMMYFUNCTION("VALUE(REGEXEXTRACT(A8569, ""\d+""))"),13051.0)</f>
        <v>13051</v>
      </c>
    </row>
    <row r="8570">
      <c r="A8570" s="9" t="s">
        <v>28833</v>
      </c>
      <c r="B8570" s="9" t="s">
        <v>28831</v>
      </c>
      <c r="G8570" s="9" t="s">
        <v>28832</v>
      </c>
      <c r="O8570" s="10">
        <f>IFERROR(__xludf.DUMMYFUNCTION("VALUE(REGEXEXTRACT(A8570, ""\d+""))"),13052.0)</f>
        <v>13052</v>
      </c>
    </row>
    <row r="8571">
      <c r="A8571" s="9" t="s">
        <v>28834</v>
      </c>
      <c r="B8571" s="9" t="s">
        <v>28835</v>
      </c>
      <c r="G8571" s="9" t="s">
        <v>28835</v>
      </c>
      <c r="O8571" s="10">
        <f>IFERROR(__xludf.DUMMYFUNCTION("VALUE(REGEXEXTRACT(A8571, ""\d+""))"),13053.0)</f>
        <v>13053</v>
      </c>
    </row>
    <row r="8572">
      <c r="A8572" s="9" t="s">
        <v>28836</v>
      </c>
      <c r="B8572" s="9" t="s">
        <v>28837</v>
      </c>
      <c r="G8572" s="9" t="s">
        <v>28838</v>
      </c>
      <c r="O8572" s="10">
        <f>IFERROR(__xludf.DUMMYFUNCTION("VALUE(REGEXEXTRACT(A8572, ""\d+""))"),13054.0)</f>
        <v>13054</v>
      </c>
    </row>
    <row r="8573">
      <c r="A8573" s="9" t="s">
        <v>28839</v>
      </c>
      <c r="B8573" s="9" t="s">
        <v>10188</v>
      </c>
      <c r="G8573" s="9" t="s">
        <v>10189</v>
      </c>
      <c r="O8573" s="10">
        <f>IFERROR(__xludf.DUMMYFUNCTION("VALUE(REGEXEXTRACT(A8573, ""\d+""))"),13055.0)</f>
        <v>13055</v>
      </c>
    </row>
    <row r="8574">
      <c r="A8574" s="9" t="s">
        <v>28840</v>
      </c>
      <c r="B8574" s="9" t="s">
        <v>28841</v>
      </c>
      <c r="G8574" s="9" t="s">
        <v>28842</v>
      </c>
      <c r="O8574" s="10">
        <f>IFERROR(__xludf.DUMMYFUNCTION("VALUE(REGEXEXTRACT(A8574, ""\d+""))"),13056.0)</f>
        <v>13056</v>
      </c>
    </row>
    <row r="8575">
      <c r="A8575" s="9" t="s">
        <v>28843</v>
      </c>
      <c r="B8575" s="9" t="s">
        <v>28844</v>
      </c>
      <c r="G8575" s="9" t="s">
        <v>28845</v>
      </c>
      <c r="O8575" s="10">
        <f>IFERROR(__xludf.DUMMYFUNCTION("VALUE(REGEXEXTRACT(A8575, ""\d+""))"),13057.0)</f>
        <v>13057</v>
      </c>
    </row>
    <row r="8576">
      <c r="A8576" s="9" t="s">
        <v>28846</v>
      </c>
      <c r="B8576" s="9" t="s">
        <v>28847</v>
      </c>
      <c r="G8576" s="9" t="s">
        <v>28848</v>
      </c>
      <c r="O8576" s="10">
        <f>IFERROR(__xludf.DUMMYFUNCTION("VALUE(REGEXEXTRACT(A8576, ""\d+""))"),13058.0)</f>
        <v>13058</v>
      </c>
    </row>
    <row r="8577">
      <c r="A8577" s="9" t="s">
        <v>28849</v>
      </c>
      <c r="B8577" s="9" t="s">
        <v>28850</v>
      </c>
      <c r="G8577" s="9" t="s">
        <v>28851</v>
      </c>
      <c r="O8577" s="10">
        <f>IFERROR(__xludf.DUMMYFUNCTION("VALUE(REGEXEXTRACT(A8577, ""\d+""))"),13059.0)</f>
        <v>13059</v>
      </c>
    </row>
    <row r="8578">
      <c r="A8578" s="9" t="s">
        <v>28852</v>
      </c>
      <c r="B8578" s="9" t="s">
        <v>28853</v>
      </c>
      <c r="G8578" s="9" t="s">
        <v>28854</v>
      </c>
      <c r="O8578" s="10">
        <f>IFERROR(__xludf.DUMMYFUNCTION("VALUE(REGEXEXTRACT(A8578, ""\d+""))"),13060.0)</f>
        <v>13060</v>
      </c>
    </row>
    <row r="8579">
      <c r="A8579" s="9" t="s">
        <v>28855</v>
      </c>
      <c r="B8579" s="9" t="s">
        <v>28856</v>
      </c>
      <c r="G8579" s="9" t="s">
        <v>28857</v>
      </c>
      <c r="O8579" s="10">
        <f>IFERROR(__xludf.DUMMYFUNCTION("VALUE(REGEXEXTRACT(A8579, ""\d+""))"),13061.0)</f>
        <v>13061</v>
      </c>
    </row>
    <row r="8580">
      <c r="A8580" s="9" t="s">
        <v>28858</v>
      </c>
      <c r="B8580" s="9" t="s">
        <v>28859</v>
      </c>
      <c r="G8580" s="9" t="s">
        <v>28860</v>
      </c>
      <c r="O8580" s="10">
        <f>IFERROR(__xludf.DUMMYFUNCTION("VALUE(REGEXEXTRACT(A8580, ""\d+""))"),13062.0)</f>
        <v>13062</v>
      </c>
    </row>
    <row r="8581">
      <c r="A8581" s="9" t="s">
        <v>28861</v>
      </c>
      <c r="B8581" s="9" t="s">
        <v>28862</v>
      </c>
      <c r="G8581" s="9" t="s">
        <v>28863</v>
      </c>
      <c r="O8581" s="10">
        <f>IFERROR(__xludf.DUMMYFUNCTION("VALUE(REGEXEXTRACT(A8581, ""\d+""))"),13063.0)</f>
        <v>13063</v>
      </c>
    </row>
    <row r="8582">
      <c r="A8582" s="9" t="s">
        <v>28864</v>
      </c>
      <c r="B8582" s="9" t="s">
        <v>28865</v>
      </c>
      <c r="G8582" s="9" t="s">
        <v>28866</v>
      </c>
      <c r="O8582" s="10">
        <f>IFERROR(__xludf.DUMMYFUNCTION("VALUE(REGEXEXTRACT(A8582, ""\d+""))"),13067.0)</f>
        <v>13067</v>
      </c>
    </row>
    <row r="8583">
      <c r="A8583" s="9" t="s">
        <v>28867</v>
      </c>
      <c r="B8583" s="9" t="s">
        <v>28868</v>
      </c>
      <c r="G8583" s="9" t="s">
        <v>28866</v>
      </c>
      <c r="O8583" s="10">
        <f>IFERROR(__xludf.DUMMYFUNCTION("VALUE(REGEXEXTRACT(A8583, ""\d+""))"),13068.0)</f>
        <v>13068</v>
      </c>
    </row>
    <row r="8584">
      <c r="A8584" s="9" t="s">
        <v>28869</v>
      </c>
      <c r="B8584" s="9" t="s">
        <v>28870</v>
      </c>
      <c r="G8584" s="9" t="s">
        <v>28870</v>
      </c>
      <c r="O8584" s="10">
        <f>IFERROR(__xludf.DUMMYFUNCTION("VALUE(REGEXEXTRACT(A8584, ""\d+""))"),13069.0)</f>
        <v>13069</v>
      </c>
    </row>
    <row r="8585">
      <c r="A8585" s="9" t="s">
        <v>28871</v>
      </c>
      <c r="B8585" s="9" t="s">
        <v>28872</v>
      </c>
      <c r="G8585" s="9" t="s">
        <v>28866</v>
      </c>
      <c r="O8585" s="10">
        <f>IFERROR(__xludf.DUMMYFUNCTION("VALUE(REGEXEXTRACT(A8585, ""\d+""))"),13070.0)</f>
        <v>13070</v>
      </c>
    </row>
    <row r="8586">
      <c r="A8586" s="9" t="s">
        <v>28873</v>
      </c>
      <c r="B8586" s="9" t="s">
        <v>28874</v>
      </c>
      <c r="G8586" s="9" t="s">
        <v>28875</v>
      </c>
      <c r="O8586" s="10">
        <f>IFERROR(__xludf.DUMMYFUNCTION("VALUE(REGEXEXTRACT(A8586, ""\d+""))"),13071.0)</f>
        <v>13071</v>
      </c>
    </row>
    <row r="8587">
      <c r="A8587" s="9" t="s">
        <v>28876</v>
      </c>
      <c r="B8587" s="9" t="s">
        <v>28877</v>
      </c>
      <c r="G8587" s="9" t="s">
        <v>28877</v>
      </c>
      <c r="O8587" s="10">
        <f>IFERROR(__xludf.DUMMYFUNCTION("VALUE(REGEXEXTRACT(A8587, ""\d+""))"),13072.0)</f>
        <v>13072</v>
      </c>
    </row>
    <row r="8588">
      <c r="A8588" s="9" t="s">
        <v>28878</v>
      </c>
      <c r="B8588" s="9" t="s">
        <v>28879</v>
      </c>
      <c r="G8588" s="9" t="s">
        <v>28866</v>
      </c>
      <c r="O8588" s="10">
        <f>IFERROR(__xludf.DUMMYFUNCTION("VALUE(REGEXEXTRACT(A8588, ""\d+""))"),13073.0)</f>
        <v>13073</v>
      </c>
    </row>
    <row r="8589">
      <c r="A8589" s="9" t="s">
        <v>28880</v>
      </c>
      <c r="B8589" s="9" t="s">
        <v>28881</v>
      </c>
      <c r="G8589" s="9" t="s">
        <v>28882</v>
      </c>
      <c r="O8589" s="10">
        <f>IFERROR(__xludf.DUMMYFUNCTION("VALUE(REGEXEXTRACT(A8589, ""\d+""))"),13074.0)</f>
        <v>13074</v>
      </c>
    </row>
    <row r="8590">
      <c r="A8590" s="9" t="s">
        <v>28883</v>
      </c>
      <c r="B8590" s="9" t="s">
        <v>28884</v>
      </c>
      <c r="G8590" s="9" t="s">
        <v>28885</v>
      </c>
      <c r="O8590" s="10">
        <f>IFERROR(__xludf.DUMMYFUNCTION("VALUE(REGEXEXTRACT(A8590, ""\d+""))"),13075.0)</f>
        <v>13075</v>
      </c>
    </row>
    <row r="8591">
      <c r="A8591" s="9" t="s">
        <v>28886</v>
      </c>
      <c r="B8591" s="9" t="s">
        <v>28887</v>
      </c>
      <c r="G8591" s="9" t="s">
        <v>28888</v>
      </c>
      <c r="O8591" s="10">
        <f>IFERROR(__xludf.DUMMYFUNCTION("VALUE(REGEXEXTRACT(A8591, ""\d+""))"),13076.0)</f>
        <v>13076</v>
      </c>
    </row>
    <row r="8592">
      <c r="A8592" s="9" t="s">
        <v>28889</v>
      </c>
      <c r="B8592" s="9" t="s">
        <v>28890</v>
      </c>
      <c r="G8592" s="9" t="s">
        <v>28891</v>
      </c>
      <c r="O8592" s="10">
        <f>IFERROR(__xludf.DUMMYFUNCTION("VALUE(REGEXEXTRACT(A8592, ""\d+""))"),13077.0)</f>
        <v>13077</v>
      </c>
    </row>
    <row r="8593">
      <c r="A8593" s="9" t="s">
        <v>28892</v>
      </c>
      <c r="B8593" s="9" t="s">
        <v>28893</v>
      </c>
      <c r="G8593" s="9" t="s">
        <v>28894</v>
      </c>
      <c r="O8593" s="10">
        <f>IFERROR(__xludf.DUMMYFUNCTION("VALUE(REGEXEXTRACT(A8593, ""\d+""))"),13078.0)</f>
        <v>13078</v>
      </c>
    </row>
    <row r="8594">
      <c r="A8594" s="9" t="s">
        <v>28895</v>
      </c>
      <c r="B8594" s="9" t="s">
        <v>28896</v>
      </c>
      <c r="G8594" s="9" t="s">
        <v>28897</v>
      </c>
      <c r="O8594" s="10">
        <f>IFERROR(__xludf.DUMMYFUNCTION("VALUE(REGEXEXTRACT(A8594, ""\d+""))"),13079.0)</f>
        <v>13079</v>
      </c>
    </row>
    <row r="8595">
      <c r="A8595" s="9" t="s">
        <v>28898</v>
      </c>
      <c r="B8595" s="9" t="s">
        <v>28899</v>
      </c>
      <c r="G8595" s="9" t="s">
        <v>28900</v>
      </c>
      <c r="O8595" s="10">
        <f>IFERROR(__xludf.DUMMYFUNCTION("VALUE(REGEXEXTRACT(A8595, ""\d+""))"),13080.0)</f>
        <v>13080</v>
      </c>
    </row>
    <row r="8596">
      <c r="A8596" s="9" t="s">
        <v>28901</v>
      </c>
      <c r="B8596" s="9" t="s">
        <v>28902</v>
      </c>
      <c r="G8596" s="9" t="s">
        <v>28903</v>
      </c>
      <c r="O8596" s="10">
        <f>IFERROR(__xludf.DUMMYFUNCTION("VALUE(REGEXEXTRACT(A8596, ""\d+""))"),13081.0)</f>
        <v>13081</v>
      </c>
    </row>
    <row r="8597">
      <c r="A8597" s="9" t="s">
        <v>28904</v>
      </c>
      <c r="B8597" s="9" t="s">
        <v>28905</v>
      </c>
      <c r="G8597" s="9" t="s">
        <v>28906</v>
      </c>
      <c r="O8597" s="10">
        <f>IFERROR(__xludf.DUMMYFUNCTION("VALUE(REGEXEXTRACT(A8597, ""\d+""))"),13082.0)</f>
        <v>13082</v>
      </c>
    </row>
    <row r="8598">
      <c r="A8598" s="9" t="s">
        <v>28907</v>
      </c>
      <c r="B8598" s="9" t="s">
        <v>28908</v>
      </c>
      <c r="G8598" s="9" t="s">
        <v>28909</v>
      </c>
      <c r="O8598" s="10">
        <f>IFERROR(__xludf.DUMMYFUNCTION("VALUE(REGEXEXTRACT(A8598, ""\d+""))"),13083.0)</f>
        <v>13083</v>
      </c>
    </row>
    <row r="8599">
      <c r="A8599" s="9" t="s">
        <v>28910</v>
      </c>
      <c r="B8599" s="9" t="s">
        <v>28911</v>
      </c>
      <c r="G8599" s="9" t="s">
        <v>28912</v>
      </c>
      <c r="O8599" s="10">
        <f>IFERROR(__xludf.DUMMYFUNCTION("VALUE(REGEXEXTRACT(A8599, ""\d+""))"),13084.0)</f>
        <v>13084</v>
      </c>
    </row>
    <row r="8600">
      <c r="A8600" s="9" t="s">
        <v>28913</v>
      </c>
      <c r="B8600" s="9" t="s">
        <v>28914</v>
      </c>
      <c r="G8600" s="9" t="s">
        <v>28915</v>
      </c>
      <c r="O8600" s="10">
        <f>IFERROR(__xludf.DUMMYFUNCTION("VALUE(REGEXEXTRACT(A8600, ""\d+""))"),13085.0)</f>
        <v>13085</v>
      </c>
    </row>
    <row r="8601">
      <c r="A8601" s="9" t="s">
        <v>28916</v>
      </c>
      <c r="B8601" s="9" t="s">
        <v>28917</v>
      </c>
      <c r="G8601" s="9" t="s">
        <v>28918</v>
      </c>
      <c r="O8601" s="10">
        <f>IFERROR(__xludf.DUMMYFUNCTION("VALUE(REGEXEXTRACT(A8601, ""\d+""))"),13086.0)</f>
        <v>13086</v>
      </c>
    </row>
    <row r="8602">
      <c r="A8602" s="9" t="s">
        <v>28919</v>
      </c>
      <c r="B8602" s="9" t="s">
        <v>28920</v>
      </c>
      <c r="G8602" s="9" t="s">
        <v>28921</v>
      </c>
      <c r="O8602" s="10">
        <f>IFERROR(__xludf.DUMMYFUNCTION("VALUE(REGEXEXTRACT(A8602, ""\d+""))"),13087.0)</f>
        <v>13087</v>
      </c>
    </row>
    <row r="8603">
      <c r="A8603" s="9" t="s">
        <v>28922</v>
      </c>
      <c r="B8603" s="9" t="s">
        <v>28923</v>
      </c>
      <c r="G8603" s="9" t="s">
        <v>28924</v>
      </c>
      <c r="O8603" s="10">
        <f>IFERROR(__xludf.DUMMYFUNCTION("VALUE(REGEXEXTRACT(A8603, ""\d+""))"),13088.0)</f>
        <v>13088</v>
      </c>
    </row>
    <row r="8604">
      <c r="A8604" s="9" t="s">
        <v>28925</v>
      </c>
      <c r="B8604" s="9" t="s">
        <v>28926</v>
      </c>
      <c r="G8604" s="9" t="s">
        <v>28927</v>
      </c>
      <c r="O8604" s="10">
        <f>IFERROR(__xludf.DUMMYFUNCTION("VALUE(REGEXEXTRACT(A8604, ""\d+""))"),13089.0)</f>
        <v>13089</v>
      </c>
    </row>
    <row r="8605">
      <c r="A8605" s="9" t="s">
        <v>28928</v>
      </c>
      <c r="B8605" s="9" t="s">
        <v>28929</v>
      </c>
      <c r="G8605" s="9" t="s">
        <v>28930</v>
      </c>
      <c r="O8605" s="10">
        <f>IFERROR(__xludf.DUMMYFUNCTION("VALUE(REGEXEXTRACT(A8605, ""\d+""))"),13090.0)</f>
        <v>13090</v>
      </c>
    </row>
    <row r="8606">
      <c r="A8606" s="9" t="s">
        <v>28931</v>
      </c>
      <c r="B8606" s="9" t="s">
        <v>28932</v>
      </c>
      <c r="G8606" s="9" t="s">
        <v>28933</v>
      </c>
      <c r="O8606" s="10">
        <f>IFERROR(__xludf.DUMMYFUNCTION("VALUE(REGEXEXTRACT(A8606, ""\d+""))"),13091.0)</f>
        <v>13091</v>
      </c>
    </row>
    <row r="8607">
      <c r="A8607" s="9" t="s">
        <v>28934</v>
      </c>
      <c r="B8607" s="9" t="s">
        <v>28935</v>
      </c>
      <c r="G8607" s="9" t="s">
        <v>28936</v>
      </c>
      <c r="O8607" s="10">
        <f>IFERROR(__xludf.DUMMYFUNCTION("VALUE(REGEXEXTRACT(A8607, ""\d+""))"),13092.0)</f>
        <v>13092</v>
      </c>
    </row>
    <row r="8608">
      <c r="A8608" s="9" t="s">
        <v>28937</v>
      </c>
      <c r="B8608" s="9" t="s">
        <v>28938</v>
      </c>
      <c r="G8608" s="9" t="s">
        <v>28939</v>
      </c>
      <c r="O8608" s="10">
        <f>IFERROR(__xludf.DUMMYFUNCTION("VALUE(REGEXEXTRACT(A8608, ""\d+""))"),13093.0)</f>
        <v>13093</v>
      </c>
    </row>
    <row r="8609">
      <c r="A8609" s="9" t="s">
        <v>28940</v>
      </c>
      <c r="B8609" s="9" t="s">
        <v>28941</v>
      </c>
      <c r="G8609" s="9" t="s">
        <v>28942</v>
      </c>
      <c r="O8609" s="10">
        <f>IFERROR(__xludf.DUMMYFUNCTION("VALUE(REGEXEXTRACT(A8609, ""\d+""))"),13094.0)</f>
        <v>13094</v>
      </c>
    </row>
    <row r="8610">
      <c r="A8610" s="9" t="s">
        <v>28943</v>
      </c>
      <c r="B8610" s="9" t="s">
        <v>28944</v>
      </c>
      <c r="G8610" s="9" t="s">
        <v>28945</v>
      </c>
      <c r="O8610" s="10">
        <f>IFERROR(__xludf.DUMMYFUNCTION("VALUE(REGEXEXTRACT(A8610, ""\d+""))"),13095.0)</f>
        <v>13095</v>
      </c>
    </row>
    <row r="8611">
      <c r="A8611" s="9" t="s">
        <v>28946</v>
      </c>
      <c r="B8611" s="9" t="s">
        <v>28947</v>
      </c>
      <c r="G8611" s="9" t="s">
        <v>28948</v>
      </c>
      <c r="O8611" s="10">
        <f>IFERROR(__xludf.DUMMYFUNCTION("VALUE(REGEXEXTRACT(A8611, ""\d+""))"),13096.0)</f>
        <v>13096</v>
      </c>
    </row>
    <row r="8612">
      <c r="A8612" s="9" t="s">
        <v>28949</v>
      </c>
      <c r="B8612" s="9" t="s">
        <v>28950</v>
      </c>
      <c r="G8612" s="9" t="s">
        <v>28951</v>
      </c>
      <c r="O8612" s="10">
        <f>IFERROR(__xludf.DUMMYFUNCTION("VALUE(REGEXEXTRACT(A8612, ""\d+""))"),13097.0)</f>
        <v>13097</v>
      </c>
    </row>
    <row r="8613">
      <c r="A8613" s="9" t="s">
        <v>28952</v>
      </c>
      <c r="B8613" s="9" t="s">
        <v>28953</v>
      </c>
      <c r="G8613" s="9" t="s">
        <v>28954</v>
      </c>
      <c r="O8613" s="10">
        <f>IFERROR(__xludf.DUMMYFUNCTION("VALUE(REGEXEXTRACT(A8613, ""\d+""))"),13098.0)</f>
        <v>13098</v>
      </c>
    </row>
    <row r="8614">
      <c r="A8614" s="9" t="s">
        <v>28955</v>
      </c>
      <c r="B8614" s="9" t="s">
        <v>28956</v>
      </c>
      <c r="G8614" s="9" t="s">
        <v>28957</v>
      </c>
      <c r="O8614" s="10">
        <f>IFERROR(__xludf.DUMMYFUNCTION("VALUE(REGEXEXTRACT(A8614, ""\d+""))"),13099.0)</f>
        <v>13099</v>
      </c>
    </row>
    <row r="8615">
      <c r="A8615" s="9" t="s">
        <v>28958</v>
      </c>
      <c r="B8615" s="9" t="s">
        <v>28959</v>
      </c>
      <c r="G8615" s="9" t="s">
        <v>28960</v>
      </c>
      <c r="O8615" s="10">
        <f>IFERROR(__xludf.DUMMYFUNCTION("VALUE(REGEXEXTRACT(A8615, ""\d+""))"),13100.0)</f>
        <v>13100</v>
      </c>
    </row>
    <row r="8616">
      <c r="A8616" s="9" t="s">
        <v>28961</v>
      </c>
      <c r="B8616" s="9" t="s">
        <v>28962</v>
      </c>
      <c r="G8616" s="9" t="s">
        <v>28963</v>
      </c>
      <c r="O8616" s="10">
        <f>IFERROR(__xludf.DUMMYFUNCTION("VALUE(REGEXEXTRACT(A8616, ""\d+""))"),13101.0)</f>
        <v>13101</v>
      </c>
    </row>
    <row r="8617">
      <c r="A8617" s="9" t="s">
        <v>28964</v>
      </c>
      <c r="B8617" s="9" t="s">
        <v>28962</v>
      </c>
      <c r="G8617" s="9" t="s">
        <v>28963</v>
      </c>
      <c r="O8617" s="10">
        <f>IFERROR(__xludf.DUMMYFUNCTION("VALUE(REGEXEXTRACT(A8617, ""\d+""))"),13102.0)</f>
        <v>13102</v>
      </c>
    </row>
    <row r="8618">
      <c r="A8618" s="9" t="s">
        <v>28965</v>
      </c>
      <c r="B8618" s="9" t="s">
        <v>28962</v>
      </c>
      <c r="G8618" s="9" t="s">
        <v>28963</v>
      </c>
      <c r="O8618" s="10">
        <f>IFERROR(__xludf.DUMMYFUNCTION("VALUE(REGEXEXTRACT(A8618, ""\d+""))"),13103.0)</f>
        <v>13103</v>
      </c>
    </row>
    <row r="8619">
      <c r="A8619" s="9" t="s">
        <v>28966</v>
      </c>
      <c r="B8619" s="9" t="s">
        <v>28962</v>
      </c>
      <c r="G8619" s="9" t="s">
        <v>28963</v>
      </c>
      <c r="O8619" s="10">
        <f>IFERROR(__xludf.DUMMYFUNCTION("VALUE(REGEXEXTRACT(A8619, ""\d+""))"),13104.0)</f>
        <v>13104</v>
      </c>
    </row>
    <row r="8620">
      <c r="A8620" s="9" t="s">
        <v>28967</v>
      </c>
      <c r="B8620" s="9" t="s">
        <v>28968</v>
      </c>
      <c r="G8620" s="9" t="s">
        <v>28969</v>
      </c>
      <c r="O8620" s="10">
        <f>IFERROR(__xludf.DUMMYFUNCTION("VALUE(REGEXEXTRACT(A8620, ""\d+""))"),13105.0)</f>
        <v>13105</v>
      </c>
    </row>
    <row r="8621">
      <c r="A8621" s="9" t="s">
        <v>28970</v>
      </c>
      <c r="B8621" s="9" t="s">
        <v>28971</v>
      </c>
      <c r="G8621" s="9" t="s">
        <v>28972</v>
      </c>
      <c r="O8621" s="10">
        <f>IFERROR(__xludf.DUMMYFUNCTION("VALUE(REGEXEXTRACT(A8621, ""\d+""))"),13106.0)</f>
        <v>13106</v>
      </c>
    </row>
    <row r="8622">
      <c r="A8622" s="9" t="s">
        <v>28973</v>
      </c>
      <c r="B8622" s="9" t="s">
        <v>28971</v>
      </c>
      <c r="G8622" s="9" t="s">
        <v>28972</v>
      </c>
      <c r="O8622" s="10">
        <f>IFERROR(__xludf.DUMMYFUNCTION("VALUE(REGEXEXTRACT(A8622, ""\d+""))"),13107.0)</f>
        <v>13107</v>
      </c>
    </row>
    <row r="8623">
      <c r="A8623" s="9" t="s">
        <v>28974</v>
      </c>
      <c r="B8623" s="9" t="s">
        <v>28975</v>
      </c>
      <c r="G8623" s="9" t="s">
        <v>28976</v>
      </c>
      <c r="O8623" s="10">
        <f>IFERROR(__xludf.DUMMYFUNCTION("VALUE(REGEXEXTRACT(A8623, ""\d+""))"),13108.0)</f>
        <v>13108</v>
      </c>
    </row>
    <row r="8624">
      <c r="A8624" s="9" t="s">
        <v>28977</v>
      </c>
      <c r="B8624" s="9" t="s">
        <v>28978</v>
      </c>
      <c r="G8624" s="9" t="s">
        <v>28979</v>
      </c>
      <c r="O8624" s="10">
        <f>IFERROR(__xludf.DUMMYFUNCTION("VALUE(REGEXEXTRACT(A8624, ""\d+""))"),13109.0)</f>
        <v>13109</v>
      </c>
    </row>
    <row r="8625">
      <c r="A8625" s="9" t="s">
        <v>28980</v>
      </c>
      <c r="B8625" s="9" t="s">
        <v>28981</v>
      </c>
      <c r="G8625" s="9" t="s">
        <v>28982</v>
      </c>
      <c r="O8625" s="10">
        <f>IFERROR(__xludf.DUMMYFUNCTION("VALUE(REGEXEXTRACT(A8625, ""\d+""))"),13110.0)</f>
        <v>13110</v>
      </c>
    </row>
    <row r="8626">
      <c r="A8626" s="9" t="s">
        <v>28983</v>
      </c>
      <c r="B8626" s="9" t="s">
        <v>28984</v>
      </c>
      <c r="G8626" s="9" t="s">
        <v>28985</v>
      </c>
      <c r="O8626" s="10">
        <f>IFERROR(__xludf.DUMMYFUNCTION("VALUE(REGEXEXTRACT(A8626, ""\d+""))"),13111.0)</f>
        <v>13111</v>
      </c>
    </row>
    <row r="8627">
      <c r="A8627" s="9" t="s">
        <v>28986</v>
      </c>
      <c r="B8627" s="9" t="s">
        <v>28987</v>
      </c>
      <c r="G8627" s="9" t="s">
        <v>28988</v>
      </c>
      <c r="O8627" s="10">
        <f>IFERROR(__xludf.DUMMYFUNCTION("VALUE(REGEXEXTRACT(A8627, ""\d+""))"),13112.0)</f>
        <v>13112</v>
      </c>
    </row>
    <row r="8628">
      <c r="A8628" s="9" t="s">
        <v>28989</v>
      </c>
      <c r="B8628" s="9" t="s">
        <v>28990</v>
      </c>
      <c r="G8628" s="9" t="s">
        <v>28991</v>
      </c>
      <c r="O8628" s="10">
        <f>IFERROR(__xludf.DUMMYFUNCTION("VALUE(REGEXEXTRACT(A8628, ""\d+""))"),13113.0)</f>
        <v>13113</v>
      </c>
    </row>
    <row r="8629">
      <c r="A8629" s="9" t="s">
        <v>28992</v>
      </c>
      <c r="B8629" s="9" t="s">
        <v>28993</v>
      </c>
      <c r="G8629" s="9" t="s">
        <v>28994</v>
      </c>
      <c r="O8629" s="10">
        <f>IFERROR(__xludf.DUMMYFUNCTION("VALUE(REGEXEXTRACT(A8629, ""\d+""))"),13114.0)</f>
        <v>13114</v>
      </c>
    </row>
    <row r="8630">
      <c r="A8630" s="9" t="s">
        <v>28995</v>
      </c>
      <c r="B8630" s="9" t="s">
        <v>28996</v>
      </c>
      <c r="G8630" s="9" t="s">
        <v>28997</v>
      </c>
      <c r="O8630" s="10">
        <f>IFERROR(__xludf.DUMMYFUNCTION("VALUE(REGEXEXTRACT(A8630, ""\d+""))"),13115.0)</f>
        <v>13115</v>
      </c>
    </row>
    <row r="8631">
      <c r="A8631" s="9" t="s">
        <v>28998</v>
      </c>
      <c r="B8631" s="9" t="s">
        <v>28999</v>
      </c>
      <c r="G8631" s="9" t="s">
        <v>29000</v>
      </c>
      <c r="O8631" s="10">
        <f>IFERROR(__xludf.DUMMYFUNCTION("VALUE(REGEXEXTRACT(A8631, ""\d+""))"),13116.0)</f>
        <v>13116</v>
      </c>
    </row>
    <row r="8632">
      <c r="A8632" s="9" t="s">
        <v>29001</v>
      </c>
      <c r="B8632" s="9" t="s">
        <v>29002</v>
      </c>
      <c r="G8632" s="9" t="s">
        <v>29003</v>
      </c>
      <c r="O8632" s="10">
        <f>IFERROR(__xludf.DUMMYFUNCTION("VALUE(REGEXEXTRACT(A8632, ""\d+""))"),13117.0)</f>
        <v>13117</v>
      </c>
    </row>
    <row r="8633">
      <c r="A8633" s="9" t="s">
        <v>29004</v>
      </c>
      <c r="B8633" s="9" t="s">
        <v>29005</v>
      </c>
      <c r="G8633" s="9" t="s">
        <v>29006</v>
      </c>
      <c r="O8633" s="10">
        <f>IFERROR(__xludf.DUMMYFUNCTION("VALUE(REGEXEXTRACT(A8633, ""\d+""))"),13118.0)</f>
        <v>13118</v>
      </c>
    </row>
    <row r="8634">
      <c r="A8634" s="9" t="s">
        <v>29007</v>
      </c>
      <c r="B8634" s="9" t="s">
        <v>29008</v>
      </c>
      <c r="G8634" s="9" t="s">
        <v>29009</v>
      </c>
      <c r="O8634" s="10">
        <f>IFERROR(__xludf.DUMMYFUNCTION("VALUE(REGEXEXTRACT(A8634, ""\d+""))"),13119.0)</f>
        <v>13119</v>
      </c>
    </row>
    <row r="8635">
      <c r="A8635" s="9" t="s">
        <v>29010</v>
      </c>
      <c r="B8635" s="9" t="s">
        <v>29011</v>
      </c>
      <c r="G8635" s="9" t="s">
        <v>29012</v>
      </c>
      <c r="O8635" s="10">
        <f>IFERROR(__xludf.DUMMYFUNCTION("VALUE(REGEXEXTRACT(A8635, ""\d+""))"),13120.0)</f>
        <v>13120</v>
      </c>
    </row>
    <row r="8636">
      <c r="A8636" s="9" t="s">
        <v>29013</v>
      </c>
      <c r="B8636" s="9" t="s">
        <v>29014</v>
      </c>
      <c r="G8636" s="9" t="s">
        <v>29015</v>
      </c>
      <c r="O8636" s="10">
        <f>IFERROR(__xludf.DUMMYFUNCTION("VALUE(REGEXEXTRACT(A8636, ""\d+""))"),13121.0)</f>
        <v>13121</v>
      </c>
    </row>
    <row r="8637">
      <c r="A8637" s="9" t="s">
        <v>29016</v>
      </c>
      <c r="B8637" s="9" t="s">
        <v>29017</v>
      </c>
      <c r="G8637" s="9" t="s">
        <v>15386</v>
      </c>
      <c r="O8637" s="10">
        <f>IFERROR(__xludf.DUMMYFUNCTION("VALUE(REGEXEXTRACT(A8637, ""\d+""))"),13122.0)</f>
        <v>13122</v>
      </c>
    </row>
    <row r="8638">
      <c r="A8638" s="9" t="s">
        <v>29018</v>
      </c>
      <c r="B8638" s="9" t="s">
        <v>29019</v>
      </c>
      <c r="G8638" s="9" t="s">
        <v>29020</v>
      </c>
      <c r="O8638" s="10">
        <f>IFERROR(__xludf.DUMMYFUNCTION("VALUE(REGEXEXTRACT(A8638, ""\d+""))"),13123.0)</f>
        <v>13123</v>
      </c>
    </row>
    <row r="8639">
      <c r="A8639" s="9" t="s">
        <v>29021</v>
      </c>
      <c r="B8639" s="9" t="s">
        <v>29022</v>
      </c>
      <c r="G8639" s="9" t="s">
        <v>29023</v>
      </c>
      <c r="O8639" s="10">
        <f>IFERROR(__xludf.DUMMYFUNCTION("VALUE(REGEXEXTRACT(A8639, ""\d+""))"),13124.0)</f>
        <v>13124</v>
      </c>
    </row>
    <row r="8640">
      <c r="A8640" s="9" t="s">
        <v>29024</v>
      </c>
      <c r="B8640" s="9" t="s">
        <v>29025</v>
      </c>
      <c r="G8640" s="9" t="s">
        <v>17828</v>
      </c>
      <c r="O8640" s="10">
        <f>IFERROR(__xludf.DUMMYFUNCTION("VALUE(REGEXEXTRACT(A8640, ""\d+""))"),13125.0)</f>
        <v>13125</v>
      </c>
    </row>
    <row r="8641">
      <c r="A8641" s="9" t="s">
        <v>29026</v>
      </c>
      <c r="B8641" s="9" t="s">
        <v>29027</v>
      </c>
      <c r="G8641" s="9" t="s">
        <v>29028</v>
      </c>
      <c r="O8641" s="10">
        <f>IFERROR(__xludf.DUMMYFUNCTION("VALUE(REGEXEXTRACT(A8641, ""\d+""))"),13126.0)</f>
        <v>13126</v>
      </c>
    </row>
    <row r="8642">
      <c r="A8642" s="9" t="s">
        <v>29029</v>
      </c>
      <c r="B8642" s="9" t="s">
        <v>29030</v>
      </c>
      <c r="G8642" s="9" t="s">
        <v>29031</v>
      </c>
      <c r="O8642" s="10">
        <f>IFERROR(__xludf.DUMMYFUNCTION("VALUE(REGEXEXTRACT(A8642, ""\d+""))"),13127.0)</f>
        <v>13127</v>
      </c>
    </row>
    <row r="8643">
      <c r="A8643" s="9" t="s">
        <v>29032</v>
      </c>
      <c r="B8643" s="9" t="s">
        <v>29033</v>
      </c>
      <c r="G8643" s="9" t="s">
        <v>17729</v>
      </c>
      <c r="O8643" s="10">
        <f>IFERROR(__xludf.DUMMYFUNCTION("VALUE(REGEXEXTRACT(A8643, ""\d+""))"),13128.0)</f>
        <v>13128</v>
      </c>
    </row>
    <row r="8644">
      <c r="A8644" s="9" t="s">
        <v>29034</v>
      </c>
      <c r="B8644" s="9" t="s">
        <v>29035</v>
      </c>
      <c r="G8644" s="9" t="s">
        <v>29036</v>
      </c>
      <c r="O8644" s="10">
        <f>IFERROR(__xludf.DUMMYFUNCTION("VALUE(REGEXEXTRACT(A8644, ""\d+""))"),13129.0)</f>
        <v>13129</v>
      </c>
    </row>
    <row r="8645">
      <c r="A8645" s="9" t="s">
        <v>29037</v>
      </c>
      <c r="B8645" s="9" t="s">
        <v>29038</v>
      </c>
      <c r="G8645" s="9" t="s">
        <v>29039</v>
      </c>
      <c r="O8645" s="10">
        <f>IFERROR(__xludf.DUMMYFUNCTION("VALUE(REGEXEXTRACT(A8645, ""\d+""))"),13130.0)</f>
        <v>13130</v>
      </c>
    </row>
    <row r="8646">
      <c r="A8646" s="9" t="s">
        <v>29040</v>
      </c>
      <c r="B8646" s="9" t="s">
        <v>29041</v>
      </c>
      <c r="G8646" s="9" t="s">
        <v>29042</v>
      </c>
      <c r="O8646" s="10">
        <f>IFERROR(__xludf.DUMMYFUNCTION("VALUE(REGEXEXTRACT(A8646, ""\d+""))"),13131.0)</f>
        <v>13131</v>
      </c>
    </row>
    <row r="8647">
      <c r="A8647" s="9" t="s">
        <v>29043</v>
      </c>
      <c r="B8647" s="9" t="s">
        <v>29044</v>
      </c>
      <c r="G8647" s="9" t="s">
        <v>29045</v>
      </c>
      <c r="O8647" s="10">
        <f>IFERROR(__xludf.DUMMYFUNCTION("VALUE(REGEXEXTRACT(A8647, ""\d+""))"),13132.0)</f>
        <v>13132</v>
      </c>
    </row>
    <row r="8648">
      <c r="A8648" s="9" t="s">
        <v>29046</v>
      </c>
      <c r="B8648" s="9" t="s">
        <v>29047</v>
      </c>
      <c r="G8648" s="9" t="s">
        <v>29048</v>
      </c>
      <c r="O8648" s="10">
        <f>IFERROR(__xludf.DUMMYFUNCTION("VALUE(REGEXEXTRACT(A8648, ""\d+""))"),13133.0)</f>
        <v>13133</v>
      </c>
    </row>
    <row r="8649">
      <c r="A8649" s="9" t="s">
        <v>29049</v>
      </c>
      <c r="B8649" s="9" t="s">
        <v>29050</v>
      </c>
      <c r="G8649" s="9" t="s">
        <v>29051</v>
      </c>
      <c r="O8649" s="10">
        <f>IFERROR(__xludf.DUMMYFUNCTION("VALUE(REGEXEXTRACT(A8649, ""\d+""))"),13134.0)</f>
        <v>13134</v>
      </c>
    </row>
    <row r="8650">
      <c r="A8650" s="9" t="s">
        <v>29052</v>
      </c>
      <c r="B8650" s="9" t="s">
        <v>29053</v>
      </c>
      <c r="G8650" s="9" t="s">
        <v>17906</v>
      </c>
      <c r="O8650" s="10">
        <f>IFERROR(__xludf.DUMMYFUNCTION("VALUE(REGEXEXTRACT(A8650, ""\d+""))"),13135.0)</f>
        <v>13135</v>
      </c>
    </row>
    <row r="8651">
      <c r="A8651" s="9" t="s">
        <v>29054</v>
      </c>
      <c r="B8651" s="9" t="s">
        <v>29055</v>
      </c>
      <c r="G8651" s="9" t="s">
        <v>29056</v>
      </c>
      <c r="O8651" s="10">
        <f>IFERROR(__xludf.DUMMYFUNCTION("VALUE(REGEXEXTRACT(A8651, ""\d+""))"),13136.0)</f>
        <v>13136</v>
      </c>
    </row>
    <row r="8652">
      <c r="A8652" s="9" t="s">
        <v>29057</v>
      </c>
      <c r="B8652" s="9" t="s">
        <v>29058</v>
      </c>
      <c r="G8652" s="9" t="s">
        <v>29059</v>
      </c>
      <c r="O8652" s="10">
        <f>IFERROR(__xludf.DUMMYFUNCTION("VALUE(REGEXEXTRACT(A8652, ""\d+""))"),13137.0)</f>
        <v>13137</v>
      </c>
    </row>
    <row r="8653">
      <c r="A8653" s="9" t="s">
        <v>29060</v>
      </c>
      <c r="B8653" s="9" t="s">
        <v>29058</v>
      </c>
      <c r="G8653" s="9" t="s">
        <v>29059</v>
      </c>
      <c r="O8653" s="10">
        <f>IFERROR(__xludf.DUMMYFUNCTION("VALUE(REGEXEXTRACT(A8653, ""\d+""))"),13138.0)</f>
        <v>13138</v>
      </c>
    </row>
    <row r="8654">
      <c r="A8654" s="9" t="s">
        <v>29061</v>
      </c>
      <c r="B8654" s="9" t="s">
        <v>29058</v>
      </c>
      <c r="G8654" s="9" t="s">
        <v>29059</v>
      </c>
      <c r="O8654" s="10">
        <f>IFERROR(__xludf.DUMMYFUNCTION("VALUE(REGEXEXTRACT(A8654, ""\d+""))"),13139.0)</f>
        <v>13139</v>
      </c>
    </row>
    <row r="8655">
      <c r="A8655" s="9" t="s">
        <v>29062</v>
      </c>
      <c r="B8655" s="9" t="s">
        <v>29058</v>
      </c>
      <c r="G8655" s="9" t="s">
        <v>29059</v>
      </c>
      <c r="O8655" s="10">
        <f>IFERROR(__xludf.DUMMYFUNCTION("VALUE(REGEXEXTRACT(A8655, ""\d+""))"),13140.0)</f>
        <v>13140</v>
      </c>
    </row>
    <row r="8656">
      <c r="A8656" s="9" t="s">
        <v>29063</v>
      </c>
      <c r="B8656" s="9" t="s">
        <v>29064</v>
      </c>
      <c r="G8656" s="9" t="s">
        <v>22010</v>
      </c>
      <c r="O8656" s="10">
        <f>IFERROR(__xludf.DUMMYFUNCTION("VALUE(REGEXEXTRACT(A8656, ""\d+""))"),13141.0)</f>
        <v>13141</v>
      </c>
    </row>
    <row r="8657">
      <c r="A8657" s="9" t="s">
        <v>29065</v>
      </c>
      <c r="B8657" s="9" t="s">
        <v>29066</v>
      </c>
      <c r="G8657" s="9" t="s">
        <v>29067</v>
      </c>
      <c r="O8657" s="10">
        <f>IFERROR(__xludf.DUMMYFUNCTION("VALUE(REGEXEXTRACT(A8657, ""\d+""))"),13142.0)</f>
        <v>13142</v>
      </c>
    </row>
    <row r="8658">
      <c r="A8658" s="9" t="s">
        <v>29068</v>
      </c>
      <c r="B8658" s="9" t="s">
        <v>29066</v>
      </c>
      <c r="G8658" s="9" t="s">
        <v>29067</v>
      </c>
      <c r="O8658" s="10">
        <f>IFERROR(__xludf.DUMMYFUNCTION("VALUE(REGEXEXTRACT(A8658, ""\d+""))"),13143.0)</f>
        <v>13143</v>
      </c>
    </row>
    <row r="8659">
      <c r="A8659" s="9" t="s">
        <v>29069</v>
      </c>
      <c r="B8659" s="9" t="s">
        <v>29070</v>
      </c>
      <c r="G8659" s="9" t="s">
        <v>29071</v>
      </c>
      <c r="O8659" s="10">
        <f>IFERROR(__xludf.DUMMYFUNCTION("VALUE(REGEXEXTRACT(A8659, ""\d+""))"),13144.0)</f>
        <v>13144</v>
      </c>
    </row>
    <row r="8660">
      <c r="A8660" s="9" t="s">
        <v>29072</v>
      </c>
      <c r="B8660" s="9" t="s">
        <v>29073</v>
      </c>
      <c r="G8660" s="9" t="s">
        <v>29074</v>
      </c>
      <c r="O8660" s="10">
        <f>IFERROR(__xludf.DUMMYFUNCTION("VALUE(REGEXEXTRACT(A8660, ""\d+""))"),13145.0)</f>
        <v>13145</v>
      </c>
    </row>
    <row r="8661">
      <c r="A8661" s="9" t="s">
        <v>29075</v>
      </c>
      <c r="B8661" s="9" t="s">
        <v>29076</v>
      </c>
      <c r="G8661" s="9" t="s">
        <v>29076</v>
      </c>
      <c r="O8661" s="10">
        <f>IFERROR(__xludf.DUMMYFUNCTION("VALUE(REGEXEXTRACT(A8661, ""\d+""))"),13146.0)</f>
        <v>13146</v>
      </c>
    </row>
    <row r="8662">
      <c r="A8662" s="9" t="s">
        <v>29077</v>
      </c>
      <c r="B8662" s="9" t="s">
        <v>29078</v>
      </c>
      <c r="G8662" s="9" t="s">
        <v>29078</v>
      </c>
      <c r="O8662" s="10">
        <f>IFERROR(__xludf.DUMMYFUNCTION("VALUE(REGEXEXTRACT(A8662, ""\d+""))"),13147.0)</f>
        <v>13147</v>
      </c>
    </row>
    <row r="8663">
      <c r="A8663" s="9" t="s">
        <v>29079</v>
      </c>
      <c r="B8663" s="9" t="s">
        <v>29080</v>
      </c>
      <c r="G8663" s="9" t="s">
        <v>29080</v>
      </c>
      <c r="O8663" s="10">
        <f>IFERROR(__xludf.DUMMYFUNCTION("VALUE(REGEXEXTRACT(A8663, ""\d+""))"),13148.0)</f>
        <v>13148</v>
      </c>
    </row>
    <row r="8664">
      <c r="A8664" s="9" t="s">
        <v>29081</v>
      </c>
      <c r="B8664" s="9" t="s">
        <v>29082</v>
      </c>
      <c r="G8664" s="9" t="s">
        <v>29083</v>
      </c>
      <c r="O8664" s="10">
        <f>IFERROR(__xludf.DUMMYFUNCTION("VALUE(REGEXEXTRACT(A8664, ""\d+""))"),13149.0)</f>
        <v>13149</v>
      </c>
    </row>
    <row r="8665">
      <c r="A8665" s="9" t="s">
        <v>29084</v>
      </c>
      <c r="B8665" s="9" t="s">
        <v>29085</v>
      </c>
      <c r="G8665" s="9" t="s">
        <v>29086</v>
      </c>
      <c r="O8665" s="10">
        <f>IFERROR(__xludf.DUMMYFUNCTION("VALUE(REGEXEXTRACT(A8665, ""\d+""))"),13150.0)</f>
        <v>13150</v>
      </c>
    </row>
    <row r="8666">
      <c r="A8666" s="9" t="s">
        <v>29087</v>
      </c>
      <c r="B8666" s="9" t="s">
        <v>29088</v>
      </c>
      <c r="G8666" s="9" t="s">
        <v>29089</v>
      </c>
      <c r="O8666" s="10">
        <f>IFERROR(__xludf.DUMMYFUNCTION("VALUE(REGEXEXTRACT(A8666, ""\d+""))"),13151.0)</f>
        <v>13151</v>
      </c>
    </row>
    <row r="8667">
      <c r="A8667" s="9" t="s">
        <v>29090</v>
      </c>
      <c r="B8667" s="9" t="s">
        <v>29091</v>
      </c>
      <c r="G8667" s="9" t="s">
        <v>29092</v>
      </c>
      <c r="O8667" s="10">
        <f>IFERROR(__xludf.DUMMYFUNCTION("VALUE(REGEXEXTRACT(A8667, ""\d+""))"),13152.0)</f>
        <v>13152</v>
      </c>
    </row>
    <row r="8668">
      <c r="A8668" s="9" t="s">
        <v>29093</v>
      </c>
      <c r="B8668" s="9" t="s">
        <v>29094</v>
      </c>
      <c r="G8668" s="9" t="s">
        <v>29095</v>
      </c>
      <c r="O8668" s="10">
        <f>IFERROR(__xludf.DUMMYFUNCTION("VALUE(REGEXEXTRACT(A8668, ""\d+""))"),13153.0)</f>
        <v>13153</v>
      </c>
    </row>
    <row r="8669">
      <c r="A8669" s="9" t="s">
        <v>29096</v>
      </c>
      <c r="B8669" s="9" t="s">
        <v>29097</v>
      </c>
      <c r="G8669" s="9" t="s">
        <v>29098</v>
      </c>
      <c r="O8669" s="10">
        <f>IFERROR(__xludf.DUMMYFUNCTION("VALUE(REGEXEXTRACT(A8669, ""\d+""))"),13154.0)</f>
        <v>13154</v>
      </c>
    </row>
    <row r="8670">
      <c r="A8670" s="9" t="s">
        <v>29099</v>
      </c>
      <c r="B8670" s="9" t="s">
        <v>29100</v>
      </c>
      <c r="G8670" s="9" t="s">
        <v>29101</v>
      </c>
      <c r="O8670" s="10">
        <f>IFERROR(__xludf.DUMMYFUNCTION("VALUE(REGEXEXTRACT(A8670, ""\d+""))"),13155.0)</f>
        <v>13155</v>
      </c>
    </row>
    <row r="8671">
      <c r="A8671" s="9" t="s">
        <v>29102</v>
      </c>
      <c r="B8671" s="9" t="s">
        <v>29103</v>
      </c>
      <c r="G8671" s="9" t="s">
        <v>29104</v>
      </c>
      <c r="O8671" s="10">
        <f>IFERROR(__xludf.DUMMYFUNCTION("VALUE(REGEXEXTRACT(A8671, ""\d+""))"),13156.0)</f>
        <v>13156</v>
      </c>
    </row>
    <row r="8672">
      <c r="A8672" s="9" t="s">
        <v>29105</v>
      </c>
      <c r="B8672" s="9" t="s">
        <v>29106</v>
      </c>
      <c r="G8672" s="9" t="s">
        <v>29107</v>
      </c>
      <c r="O8672" s="10">
        <f>IFERROR(__xludf.DUMMYFUNCTION("VALUE(REGEXEXTRACT(A8672, ""\d+""))"),13157.0)</f>
        <v>13157</v>
      </c>
    </row>
    <row r="8673">
      <c r="A8673" s="9" t="s">
        <v>29108</v>
      </c>
      <c r="B8673" s="9" t="s">
        <v>29109</v>
      </c>
      <c r="G8673" s="9" t="s">
        <v>29110</v>
      </c>
      <c r="O8673" s="10">
        <f>IFERROR(__xludf.DUMMYFUNCTION("VALUE(REGEXEXTRACT(A8673, ""\d+""))"),13158.0)</f>
        <v>13158</v>
      </c>
    </row>
    <row r="8674">
      <c r="A8674" s="9" t="s">
        <v>29111</v>
      </c>
      <c r="B8674" s="9" t="s">
        <v>29112</v>
      </c>
      <c r="G8674" s="9" t="s">
        <v>29113</v>
      </c>
      <c r="O8674" s="10">
        <f>IFERROR(__xludf.DUMMYFUNCTION("VALUE(REGEXEXTRACT(A8674, ""\d+""))"),13159.0)</f>
        <v>13159</v>
      </c>
    </row>
    <row r="8675">
      <c r="A8675" s="9" t="s">
        <v>29114</v>
      </c>
      <c r="B8675" s="9" t="s">
        <v>29115</v>
      </c>
      <c r="G8675" s="9" t="s">
        <v>29116</v>
      </c>
      <c r="O8675" s="10">
        <f>IFERROR(__xludf.DUMMYFUNCTION("VALUE(REGEXEXTRACT(A8675, ""\d+""))"),13160.0)</f>
        <v>13160</v>
      </c>
    </row>
    <row r="8676">
      <c r="A8676" s="9" t="s">
        <v>29117</v>
      </c>
      <c r="B8676" s="9" t="s">
        <v>29118</v>
      </c>
      <c r="G8676" s="9" t="s">
        <v>29119</v>
      </c>
      <c r="O8676" s="10">
        <f>IFERROR(__xludf.DUMMYFUNCTION("VALUE(REGEXEXTRACT(A8676, ""\d+""))"),13161.0)</f>
        <v>13161</v>
      </c>
    </row>
    <row r="8677">
      <c r="A8677" s="9" t="s">
        <v>29120</v>
      </c>
      <c r="B8677" s="9" t="s">
        <v>29121</v>
      </c>
      <c r="G8677" s="9" t="s">
        <v>29122</v>
      </c>
      <c r="O8677" s="10">
        <f>IFERROR(__xludf.DUMMYFUNCTION("VALUE(REGEXEXTRACT(A8677, ""\d+""))"),13162.0)</f>
        <v>13162</v>
      </c>
    </row>
    <row r="8678">
      <c r="A8678" s="9" t="s">
        <v>29123</v>
      </c>
      <c r="B8678" s="9" t="s">
        <v>29124</v>
      </c>
      <c r="G8678" s="9" t="s">
        <v>29125</v>
      </c>
      <c r="O8678" s="10">
        <f>IFERROR(__xludf.DUMMYFUNCTION("VALUE(REGEXEXTRACT(A8678, ""\d+""))"),13163.0)</f>
        <v>13163</v>
      </c>
    </row>
    <row r="8679">
      <c r="A8679" s="9" t="s">
        <v>29126</v>
      </c>
      <c r="B8679" s="9" t="s">
        <v>29127</v>
      </c>
      <c r="G8679" s="9" t="s">
        <v>29128</v>
      </c>
      <c r="O8679" s="10">
        <f>IFERROR(__xludf.DUMMYFUNCTION("VALUE(REGEXEXTRACT(A8679, ""\d+""))"),13164.0)</f>
        <v>13164</v>
      </c>
    </row>
    <row r="8680">
      <c r="A8680" s="9" t="s">
        <v>29129</v>
      </c>
      <c r="B8680" s="9" t="s">
        <v>29130</v>
      </c>
      <c r="G8680" s="9" t="s">
        <v>29131</v>
      </c>
      <c r="O8680" s="10">
        <f>IFERROR(__xludf.DUMMYFUNCTION("VALUE(REGEXEXTRACT(A8680, ""\d+""))"),13165.0)</f>
        <v>13165</v>
      </c>
    </row>
    <row r="8681">
      <c r="A8681" s="9" t="s">
        <v>29132</v>
      </c>
      <c r="B8681" s="9" t="s">
        <v>29133</v>
      </c>
      <c r="G8681" s="9" t="s">
        <v>29134</v>
      </c>
      <c r="O8681" s="10">
        <f>IFERROR(__xludf.DUMMYFUNCTION("VALUE(REGEXEXTRACT(A8681, ""\d+""))"),13166.0)</f>
        <v>13166</v>
      </c>
    </row>
    <row r="8682">
      <c r="A8682" s="9" t="s">
        <v>29135</v>
      </c>
      <c r="B8682" s="9" t="s">
        <v>29136</v>
      </c>
      <c r="G8682" s="9" t="s">
        <v>29137</v>
      </c>
      <c r="O8682" s="10">
        <f>IFERROR(__xludf.DUMMYFUNCTION("VALUE(REGEXEXTRACT(A8682, ""\d+""))"),13167.0)</f>
        <v>13167</v>
      </c>
    </row>
    <row r="8683">
      <c r="A8683" s="9" t="s">
        <v>29138</v>
      </c>
      <c r="B8683" s="9" t="s">
        <v>29139</v>
      </c>
      <c r="G8683" s="9" t="s">
        <v>29140</v>
      </c>
      <c r="O8683" s="10">
        <f>IFERROR(__xludf.DUMMYFUNCTION("VALUE(REGEXEXTRACT(A8683, ""\d+""))"),13168.0)</f>
        <v>13168</v>
      </c>
    </row>
    <row r="8684">
      <c r="A8684" s="9" t="s">
        <v>29141</v>
      </c>
      <c r="B8684" s="9" t="s">
        <v>29142</v>
      </c>
      <c r="G8684" s="9" t="s">
        <v>29143</v>
      </c>
      <c r="O8684" s="10">
        <f>IFERROR(__xludf.DUMMYFUNCTION("VALUE(REGEXEXTRACT(A8684, ""\d+""))"),13169.0)</f>
        <v>13169</v>
      </c>
    </row>
    <row r="8685">
      <c r="A8685" s="9" t="s">
        <v>29144</v>
      </c>
      <c r="B8685" s="9" t="s">
        <v>29145</v>
      </c>
      <c r="G8685" s="9" t="s">
        <v>29146</v>
      </c>
      <c r="O8685" s="10">
        <f>IFERROR(__xludf.DUMMYFUNCTION("VALUE(REGEXEXTRACT(A8685, ""\d+""))"),13170.0)</f>
        <v>13170</v>
      </c>
    </row>
    <row r="8686">
      <c r="A8686" s="9" t="s">
        <v>29147</v>
      </c>
      <c r="B8686" s="9" t="s">
        <v>29148</v>
      </c>
      <c r="G8686" s="9" t="s">
        <v>29149</v>
      </c>
      <c r="O8686" s="10">
        <f>IFERROR(__xludf.DUMMYFUNCTION("VALUE(REGEXEXTRACT(A8686, ""\d+""))"),13171.0)</f>
        <v>13171</v>
      </c>
    </row>
    <row r="8687">
      <c r="A8687" s="9" t="s">
        <v>29150</v>
      </c>
      <c r="B8687" s="9" t="s">
        <v>29151</v>
      </c>
      <c r="G8687" s="9" t="s">
        <v>29152</v>
      </c>
      <c r="O8687" s="10">
        <f>IFERROR(__xludf.DUMMYFUNCTION("VALUE(REGEXEXTRACT(A8687, ""\d+""))"),13172.0)</f>
        <v>13172</v>
      </c>
    </row>
    <row r="8688">
      <c r="A8688" s="9" t="s">
        <v>29153</v>
      </c>
      <c r="B8688" s="9" t="s">
        <v>29154</v>
      </c>
      <c r="G8688" s="9" t="s">
        <v>29155</v>
      </c>
      <c r="O8688" s="10">
        <f>IFERROR(__xludf.DUMMYFUNCTION("VALUE(REGEXEXTRACT(A8688, ""\d+""))"),13173.0)</f>
        <v>13173</v>
      </c>
    </row>
    <row r="8689">
      <c r="A8689" s="9" t="s">
        <v>29156</v>
      </c>
      <c r="B8689" s="9" t="s">
        <v>29157</v>
      </c>
      <c r="G8689" s="9" t="s">
        <v>29158</v>
      </c>
      <c r="O8689" s="10">
        <f>IFERROR(__xludf.DUMMYFUNCTION("VALUE(REGEXEXTRACT(A8689, ""\d+""))"),13174.0)</f>
        <v>13174</v>
      </c>
    </row>
    <row r="8690">
      <c r="A8690" s="9" t="s">
        <v>29159</v>
      </c>
      <c r="B8690" s="9" t="s">
        <v>29160</v>
      </c>
      <c r="G8690" s="9" t="s">
        <v>29161</v>
      </c>
      <c r="O8690" s="10">
        <f>IFERROR(__xludf.DUMMYFUNCTION("VALUE(REGEXEXTRACT(A8690, ""\d+""))"),13175.0)</f>
        <v>13175</v>
      </c>
    </row>
    <row r="8691">
      <c r="A8691" s="9" t="s">
        <v>29162</v>
      </c>
      <c r="B8691" s="9" t="s">
        <v>29163</v>
      </c>
      <c r="G8691" s="9" t="s">
        <v>29164</v>
      </c>
      <c r="O8691" s="10">
        <f>IFERROR(__xludf.DUMMYFUNCTION("VALUE(REGEXEXTRACT(A8691, ""\d+""))"),13176.0)</f>
        <v>13176</v>
      </c>
    </row>
    <row r="8692">
      <c r="A8692" s="9" t="s">
        <v>29165</v>
      </c>
      <c r="B8692" s="9" t="s">
        <v>29163</v>
      </c>
      <c r="G8692" s="9" t="s">
        <v>29164</v>
      </c>
      <c r="O8692" s="10">
        <f>IFERROR(__xludf.DUMMYFUNCTION("VALUE(REGEXEXTRACT(A8692, ""\d+""))"),13177.0)</f>
        <v>13177</v>
      </c>
    </row>
    <row r="8693">
      <c r="A8693" s="9" t="s">
        <v>29166</v>
      </c>
      <c r="B8693" s="9" t="s">
        <v>29163</v>
      </c>
      <c r="G8693" s="9" t="s">
        <v>29164</v>
      </c>
      <c r="O8693" s="10">
        <f>IFERROR(__xludf.DUMMYFUNCTION("VALUE(REGEXEXTRACT(A8693, ""\d+""))"),13178.0)</f>
        <v>13178</v>
      </c>
    </row>
    <row r="8694">
      <c r="A8694" s="9" t="s">
        <v>29167</v>
      </c>
      <c r="B8694" s="9" t="s">
        <v>29163</v>
      </c>
      <c r="G8694" s="9" t="s">
        <v>29164</v>
      </c>
      <c r="O8694" s="10">
        <f>IFERROR(__xludf.DUMMYFUNCTION("VALUE(REGEXEXTRACT(A8694, ""\d+""))"),13179.0)</f>
        <v>13179</v>
      </c>
    </row>
    <row r="8695">
      <c r="A8695" s="9" t="s">
        <v>29168</v>
      </c>
      <c r="B8695" s="9" t="s">
        <v>29169</v>
      </c>
      <c r="G8695" s="9" t="s">
        <v>29170</v>
      </c>
      <c r="O8695" s="10">
        <f>IFERROR(__xludf.DUMMYFUNCTION("VALUE(REGEXEXTRACT(A8695, ""\d+""))"),13180.0)</f>
        <v>13180</v>
      </c>
    </row>
    <row r="8696">
      <c r="A8696" s="9" t="s">
        <v>29171</v>
      </c>
      <c r="B8696" s="9" t="s">
        <v>29172</v>
      </c>
      <c r="G8696" s="9" t="s">
        <v>29173</v>
      </c>
      <c r="O8696" s="10">
        <f>IFERROR(__xludf.DUMMYFUNCTION("VALUE(REGEXEXTRACT(A8696, ""\d+""))"),13181.0)</f>
        <v>13181</v>
      </c>
    </row>
    <row r="8697">
      <c r="A8697" s="9" t="s">
        <v>29174</v>
      </c>
      <c r="B8697" s="9" t="s">
        <v>29172</v>
      </c>
      <c r="G8697" s="9" t="s">
        <v>29173</v>
      </c>
      <c r="O8697" s="10">
        <f>IFERROR(__xludf.DUMMYFUNCTION("VALUE(REGEXEXTRACT(A8697, ""\d+""))"),13182.0)</f>
        <v>13182</v>
      </c>
    </row>
    <row r="8698">
      <c r="A8698" s="9" t="s">
        <v>29175</v>
      </c>
      <c r="B8698" s="9" t="s">
        <v>29176</v>
      </c>
      <c r="G8698" s="9" t="s">
        <v>29177</v>
      </c>
      <c r="O8698" s="10">
        <f>IFERROR(__xludf.DUMMYFUNCTION("VALUE(REGEXEXTRACT(A8698, ""\d+""))"),13183.0)</f>
        <v>13183</v>
      </c>
    </row>
    <row r="8699">
      <c r="A8699" s="9" t="s">
        <v>29178</v>
      </c>
      <c r="B8699" s="9" t="s">
        <v>29179</v>
      </c>
      <c r="G8699" s="9" t="s">
        <v>29180</v>
      </c>
      <c r="O8699" s="10">
        <f>IFERROR(__xludf.DUMMYFUNCTION("VALUE(REGEXEXTRACT(A8699, ""\d+""))"),13184.0)</f>
        <v>13184</v>
      </c>
    </row>
    <row r="8700">
      <c r="A8700" s="9" t="s">
        <v>29181</v>
      </c>
      <c r="B8700" s="9" t="s">
        <v>29182</v>
      </c>
      <c r="G8700" s="9" t="s">
        <v>29182</v>
      </c>
      <c r="O8700" s="10">
        <f>IFERROR(__xludf.DUMMYFUNCTION("VALUE(REGEXEXTRACT(A8700, ""\d+""))"),13185.0)</f>
        <v>13185</v>
      </c>
    </row>
    <row r="8701">
      <c r="A8701" s="9" t="s">
        <v>29183</v>
      </c>
      <c r="B8701" s="9" t="s">
        <v>29184</v>
      </c>
      <c r="G8701" s="9" t="s">
        <v>29184</v>
      </c>
      <c r="O8701" s="10">
        <f>IFERROR(__xludf.DUMMYFUNCTION("VALUE(REGEXEXTRACT(A8701, ""\d+""))"),13186.0)</f>
        <v>13186</v>
      </c>
    </row>
    <row r="8702">
      <c r="A8702" s="9" t="s">
        <v>29185</v>
      </c>
      <c r="B8702" s="9" t="s">
        <v>29186</v>
      </c>
      <c r="G8702" s="9" t="s">
        <v>29186</v>
      </c>
      <c r="O8702" s="10">
        <f>IFERROR(__xludf.DUMMYFUNCTION("VALUE(REGEXEXTRACT(A8702, ""\d+""))"),13187.0)</f>
        <v>13187</v>
      </c>
    </row>
    <row r="8703">
      <c r="A8703" s="9" t="s">
        <v>29187</v>
      </c>
      <c r="B8703" s="9" t="s">
        <v>29188</v>
      </c>
      <c r="G8703" s="9" t="s">
        <v>29188</v>
      </c>
      <c r="O8703" s="10">
        <f>IFERROR(__xludf.DUMMYFUNCTION("VALUE(REGEXEXTRACT(A8703, ""\d+""))"),13188.0)</f>
        <v>13188</v>
      </c>
    </row>
    <row r="8704">
      <c r="A8704" s="9" t="s">
        <v>29189</v>
      </c>
      <c r="B8704" s="9" t="s">
        <v>29190</v>
      </c>
      <c r="G8704" s="9" t="s">
        <v>29190</v>
      </c>
      <c r="O8704" s="10">
        <f>IFERROR(__xludf.DUMMYFUNCTION("VALUE(REGEXEXTRACT(A8704, ""\d+""))"),13189.0)</f>
        <v>13189</v>
      </c>
    </row>
    <row r="8705">
      <c r="A8705" s="9" t="s">
        <v>29191</v>
      </c>
      <c r="B8705" s="9" t="s">
        <v>29192</v>
      </c>
      <c r="G8705" s="9" t="s">
        <v>29193</v>
      </c>
      <c r="O8705" s="10">
        <f>IFERROR(__xludf.DUMMYFUNCTION("VALUE(REGEXEXTRACT(A8705, ""\d+""))"),13191.0)</f>
        <v>13191</v>
      </c>
    </row>
    <row r="8706">
      <c r="A8706" s="9" t="s">
        <v>29194</v>
      </c>
      <c r="B8706" s="9" t="s">
        <v>29195</v>
      </c>
      <c r="G8706" s="9" t="s">
        <v>29196</v>
      </c>
      <c r="O8706" s="10">
        <f>IFERROR(__xludf.DUMMYFUNCTION("VALUE(REGEXEXTRACT(A8706, ""\d+""))"),13192.0)</f>
        <v>13192</v>
      </c>
    </row>
    <row r="8707">
      <c r="A8707" s="9" t="s">
        <v>29197</v>
      </c>
      <c r="B8707" s="9" t="s">
        <v>29198</v>
      </c>
      <c r="G8707" s="9" t="s">
        <v>29199</v>
      </c>
      <c r="O8707" s="10">
        <f>IFERROR(__xludf.DUMMYFUNCTION("VALUE(REGEXEXTRACT(A8707, ""\d+""))"),13196.0)</f>
        <v>13196</v>
      </c>
    </row>
    <row r="8708">
      <c r="A8708" s="9" t="s">
        <v>29200</v>
      </c>
      <c r="B8708" s="9" t="s">
        <v>29201</v>
      </c>
      <c r="G8708" s="9" t="s">
        <v>29202</v>
      </c>
      <c r="O8708" s="10">
        <f>IFERROR(__xludf.DUMMYFUNCTION("VALUE(REGEXEXTRACT(A8708, ""\d+""))"),13197.0)</f>
        <v>13197</v>
      </c>
    </row>
    <row r="8709">
      <c r="A8709" s="9" t="s">
        <v>29203</v>
      </c>
      <c r="B8709" s="9" t="s">
        <v>29204</v>
      </c>
      <c r="G8709" s="9" t="s">
        <v>29205</v>
      </c>
      <c r="O8709" s="10">
        <f>IFERROR(__xludf.DUMMYFUNCTION("VALUE(REGEXEXTRACT(A8709, ""\d+""))"),13198.0)</f>
        <v>13198</v>
      </c>
    </row>
    <row r="8710">
      <c r="A8710" s="9" t="s">
        <v>29206</v>
      </c>
      <c r="B8710" s="9" t="s">
        <v>29207</v>
      </c>
      <c r="G8710" s="9" t="s">
        <v>29208</v>
      </c>
      <c r="O8710" s="10">
        <f>IFERROR(__xludf.DUMMYFUNCTION("VALUE(REGEXEXTRACT(A8710, ""\d+""))"),13199.0)</f>
        <v>13199</v>
      </c>
    </row>
    <row r="8711">
      <c r="A8711" s="9" t="s">
        <v>29209</v>
      </c>
      <c r="B8711" s="9" t="s">
        <v>29210</v>
      </c>
      <c r="G8711" s="9" t="s">
        <v>29211</v>
      </c>
      <c r="O8711" s="10">
        <f>IFERROR(__xludf.DUMMYFUNCTION("VALUE(REGEXEXTRACT(A8711, ""\d+""))"),13200.0)</f>
        <v>13200</v>
      </c>
    </row>
    <row r="8712">
      <c r="A8712" s="9" t="s">
        <v>29212</v>
      </c>
      <c r="B8712" s="9" t="s">
        <v>29213</v>
      </c>
      <c r="G8712" s="9" t="s">
        <v>29214</v>
      </c>
      <c r="O8712" s="10">
        <f>IFERROR(__xludf.DUMMYFUNCTION("VALUE(REGEXEXTRACT(A8712, ""\d+""))"),13201.0)</f>
        <v>13201</v>
      </c>
    </row>
    <row r="8713">
      <c r="A8713" s="9" t="s">
        <v>29215</v>
      </c>
      <c r="B8713" s="9" t="s">
        <v>29192</v>
      </c>
      <c r="G8713" s="9" t="s">
        <v>29193</v>
      </c>
      <c r="O8713" s="10">
        <f>IFERROR(__xludf.DUMMYFUNCTION("VALUE(REGEXEXTRACT(A8713, ""\d+""))"),13202.0)</f>
        <v>13202</v>
      </c>
    </row>
    <row r="8714">
      <c r="A8714" s="9" t="s">
        <v>29216</v>
      </c>
      <c r="B8714" s="9" t="s">
        <v>29217</v>
      </c>
      <c r="G8714" s="9" t="s">
        <v>29218</v>
      </c>
      <c r="O8714" s="10">
        <f>IFERROR(__xludf.DUMMYFUNCTION("VALUE(REGEXEXTRACT(A8714, ""\d+""))"),13203.0)</f>
        <v>13203</v>
      </c>
    </row>
    <row r="8715">
      <c r="A8715" s="9" t="s">
        <v>29219</v>
      </c>
      <c r="B8715" s="9" t="s">
        <v>29220</v>
      </c>
      <c r="G8715" s="9" t="s">
        <v>29221</v>
      </c>
      <c r="O8715" s="10">
        <f>IFERROR(__xludf.DUMMYFUNCTION("VALUE(REGEXEXTRACT(A8715, ""\d+""))"),13204.0)</f>
        <v>13204</v>
      </c>
    </row>
    <row r="8716">
      <c r="A8716" s="9" t="s">
        <v>29222</v>
      </c>
      <c r="B8716" s="9" t="s">
        <v>29223</v>
      </c>
      <c r="G8716" s="9" t="s">
        <v>29224</v>
      </c>
      <c r="O8716" s="10">
        <f>IFERROR(__xludf.DUMMYFUNCTION("VALUE(REGEXEXTRACT(A8716, ""\d+""))"),13205.0)</f>
        <v>13205</v>
      </c>
    </row>
    <row r="8717">
      <c r="A8717" s="9" t="s">
        <v>29225</v>
      </c>
      <c r="B8717" s="9" t="s">
        <v>29226</v>
      </c>
      <c r="G8717" s="9" t="s">
        <v>29227</v>
      </c>
      <c r="O8717" s="10">
        <f>IFERROR(__xludf.DUMMYFUNCTION("VALUE(REGEXEXTRACT(A8717, ""\d+""))"),13206.0)</f>
        <v>13206</v>
      </c>
    </row>
    <row r="8718">
      <c r="A8718" s="9" t="s">
        <v>29228</v>
      </c>
      <c r="B8718" s="9" t="s">
        <v>29229</v>
      </c>
      <c r="G8718" s="9" t="s">
        <v>29230</v>
      </c>
      <c r="O8718" s="10">
        <f>IFERROR(__xludf.DUMMYFUNCTION("VALUE(REGEXEXTRACT(A8718, ""\d+""))"),13207.0)</f>
        <v>13207</v>
      </c>
    </row>
    <row r="8719">
      <c r="A8719" s="9" t="s">
        <v>29231</v>
      </c>
      <c r="B8719" s="9" t="s">
        <v>29232</v>
      </c>
      <c r="G8719" s="9" t="s">
        <v>29233</v>
      </c>
      <c r="O8719" s="10">
        <f>IFERROR(__xludf.DUMMYFUNCTION("VALUE(REGEXEXTRACT(A8719, ""\d+""))"),13208.0)</f>
        <v>13208</v>
      </c>
    </row>
    <row r="8720">
      <c r="A8720" s="9" t="s">
        <v>29234</v>
      </c>
      <c r="B8720" s="9" t="s">
        <v>29235</v>
      </c>
      <c r="G8720" s="9" t="s">
        <v>29235</v>
      </c>
      <c r="O8720" s="10">
        <f>IFERROR(__xludf.DUMMYFUNCTION("VALUE(REGEXEXTRACT(A8720, ""\d+""))"),13209.0)</f>
        <v>13209</v>
      </c>
    </row>
    <row r="8721">
      <c r="A8721" s="9" t="s">
        <v>29236</v>
      </c>
      <c r="B8721" s="9" t="s">
        <v>29237</v>
      </c>
      <c r="G8721" s="9" t="s">
        <v>29238</v>
      </c>
      <c r="O8721" s="10">
        <f>IFERROR(__xludf.DUMMYFUNCTION("VALUE(REGEXEXTRACT(A8721, ""\d+""))"),13210.0)</f>
        <v>13210</v>
      </c>
    </row>
    <row r="8722">
      <c r="A8722" s="9" t="s">
        <v>29239</v>
      </c>
      <c r="B8722" s="9" t="s">
        <v>29240</v>
      </c>
      <c r="G8722" s="9" t="s">
        <v>29241</v>
      </c>
      <c r="O8722" s="10">
        <f>IFERROR(__xludf.DUMMYFUNCTION("VALUE(REGEXEXTRACT(A8722, ""\d+""))"),13211.0)</f>
        <v>13211</v>
      </c>
    </row>
    <row r="8723">
      <c r="A8723" s="9" t="s">
        <v>29242</v>
      </c>
      <c r="B8723" s="9" t="s">
        <v>29243</v>
      </c>
      <c r="G8723" s="9" t="s">
        <v>29244</v>
      </c>
      <c r="O8723" s="10">
        <f>IFERROR(__xludf.DUMMYFUNCTION("VALUE(REGEXEXTRACT(A8723, ""\d+""))"),13212.0)</f>
        <v>13212</v>
      </c>
    </row>
    <row r="8724">
      <c r="A8724" s="9" t="s">
        <v>29245</v>
      </c>
      <c r="B8724" s="9" t="s">
        <v>29246</v>
      </c>
      <c r="G8724" s="9" t="s">
        <v>29247</v>
      </c>
      <c r="O8724" s="10">
        <f>IFERROR(__xludf.DUMMYFUNCTION("VALUE(REGEXEXTRACT(A8724, ""\d+""))"),13213.0)</f>
        <v>13213</v>
      </c>
    </row>
    <row r="8725">
      <c r="A8725" s="9" t="s">
        <v>29248</v>
      </c>
      <c r="B8725" s="9" t="s">
        <v>29249</v>
      </c>
      <c r="G8725" s="9" t="s">
        <v>29250</v>
      </c>
      <c r="O8725" s="10">
        <f>IFERROR(__xludf.DUMMYFUNCTION("VALUE(REGEXEXTRACT(A8725, ""\d+""))"),13215.0)</f>
        <v>13215</v>
      </c>
    </row>
    <row r="8726">
      <c r="A8726" s="9" t="s">
        <v>29251</v>
      </c>
      <c r="B8726" s="9" t="s">
        <v>29252</v>
      </c>
      <c r="G8726" s="9" t="s">
        <v>29253</v>
      </c>
      <c r="O8726" s="10">
        <f>IFERROR(__xludf.DUMMYFUNCTION("VALUE(REGEXEXTRACT(A8726, ""\d+""))"),13216.0)</f>
        <v>13216</v>
      </c>
    </row>
    <row r="8727">
      <c r="A8727" s="9" t="s">
        <v>29254</v>
      </c>
      <c r="B8727" s="9" t="s">
        <v>29255</v>
      </c>
      <c r="G8727" s="9" t="s">
        <v>29256</v>
      </c>
      <c r="O8727" s="10">
        <f>IFERROR(__xludf.DUMMYFUNCTION("VALUE(REGEXEXTRACT(A8727, ""\d+""))"),13217.0)</f>
        <v>13217</v>
      </c>
    </row>
    <row r="8728">
      <c r="A8728" s="9" t="s">
        <v>29257</v>
      </c>
      <c r="B8728" s="9" t="s">
        <v>29258</v>
      </c>
      <c r="G8728" s="9" t="s">
        <v>29259</v>
      </c>
      <c r="O8728" s="10">
        <f>IFERROR(__xludf.DUMMYFUNCTION("VALUE(REGEXEXTRACT(A8728, ""\d+""))"),13218.0)</f>
        <v>13218</v>
      </c>
    </row>
    <row r="8729">
      <c r="A8729" s="9" t="s">
        <v>29260</v>
      </c>
      <c r="B8729" s="9" t="s">
        <v>29261</v>
      </c>
      <c r="G8729" s="9" t="s">
        <v>29261</v>
      </c>
      <c r="O8729" s="10">
        <f>IFERROR(__xludf.DUMMYFUNCTION("VALUE(REGEXEXTRACT(A8729, ""\d+""))"),13219.0)</f>
        <v>13219</v>
      </c>
    </row>
    <row r="8730">
      <c r="A8730" s="9" t="s">
        <v>29262</v>
      </c>
      <c r="B8730" s="9" t="s">
        <v>29263</v>
      </c>
      <c r="G8730" s="9" t="s">
        <v>29264</v>
      </c>
      <c r="O8730" s="10">
        <f>IFERROR(__xludf.DUMMYFUNCTION("VALUE(REGEXEXTRACT(A8730, ""\d+""))"),13220.0)</f>
        <v>13220</v>
      </c>
    </row>
    <row r="8731">
      <c r="A8731" s="9" t="s">
        <v>29265</v>
      </c>
      <c r="B8731" s="9" t="s">
        <v>29266</v>
      </c>
      <c r="G8731" s="9" t="s">
        <v>29267</v>
      </c>
      <c r="O8731" s="10">
        <f>IFERROR(__xludf.DUMMYFUNCTION("VALUE(REGEXEXTRACT(A8731, ""\d+""))"),13221.0)</f>
        <v>13221</v>
      </c>
    </row>
    <row r="8732">
      <c r="A8732" s="9" t="s">
        <v>29268</v>
      </c>
      <c r="B8732" s="9" t="s">
        <v>29269</v>
      </c>
      <c r="G8732" s="9" t="s">
        <v>29270</v>
      </c>
      <c r="O8732" s="10">
        <f>IFERROR(__xludf.DUMMYFUNCTION("VALUE(REGEXEXTRACT(A8732, ""\d+""))"),13222.0)</f>
        <v>13222</v>
      </c>
    </row>
    <row r="8733">
      <c r="A8733" s="9" t="s">
        <v>29271</v>
      </c>
      <c r="B8733" s="9" t="s">
        <v>29272</v>
      </c>
      <c r="G8733" s="9" t="s">
        <v>29273</v>
      </c>
      <c r="O8733" s="10">
        <f>IFERROR(__xludf.DUMMYFUNCTION("VALUE(REGEXEXTRACT(A8733, ""\d+""))"),13223.0)</f>
        <v>13223</v>
      </c>
    </row>
    <row r="8734">
      <c r="A8734" s="9" t="s">
        <v>29274</v>
      </c>
      <c r="B8734" s="9" t="s">
        <v>29275</v>
      </c>
      <c r="G8734" s="9" t="s">
        <v>29276</v>
      </c>
      <c r="O8734" s="10">
        <f>IFERROR(__xludf.DUMMYFUNCTION("VALUE(REGEXEXTRACT(A8734, ""\d+""))"),13224.0)</f>
        <v>13224</v>
      </c>
    </row>
    <row r="8735">
      <c r="A8735" s="9" t="s">
        <v>29277</v>
      </c>
      <c r="B8735" s="9" t="s">
        <v>29278</v>
      </c>
      <c r="G8735" s="9" t="s">
        <v>29279</v>
      </c>
      <c r="O8735" s="10">
        <f>IFERROR(__xludf.DUMMYFUNCTION("VALUE(REGEXEXTRACT(A8735, ""\d+""))"),13225.0)</f>
        <v>13225</v>
      </c>
    </row>
    <row r="8736">
      <c r="A8736" s="9" t="s">
        <v>29280</v>
      </c>
      <c r="B8736" s="9" t="s">
        <v>29281</v>
      </c>
      <c r="G8736" s="9" t="s">
        <v>29282</v>
      </c>
      <c r="O8736" s="10">
        <f>IFERROR(__xludf.DUMMYFUNCTION("VALUE(REGEXEXTRACT(A8736, ""\d+""))"),13226.0)</f>
        <v>13226</v>
      </c>
    </row>
    <row r="8737">
      <c r="A8737" s="9" t="s">
        <v>29283</v>
      </c>
      <c r="B8737" s="9" t="s">
        <v>29284</v>
      </c>
      <c r="G8737" s="9" t="s">
        <v>29285</v>
      </c>
      <c r="O8737" s="10">
        <f>IFERROR(__xludf.DUMMYFUNCTION("VALUE(REGEXEXTRACT(A8737, ""\d+""))"),13227.0)</f>
        <v>13227</v>
      </c>
    </row>
    <row r="8738">
      <c r="A8738" s="9" t="s">
        <v>29286</v>
      </c>
      <c r="B8738" s="9" t="s">
        <v>29287</v>
      </c>
      <c r="G8738" s="9" t="s">
        <v>29288</v>
      </c>
      <c r="O8738" s="10">
        <f>IFERROR(__xludf.DUMMYFUNCTION("VALUE(REGEXEXTRACT(A8738, ""\d+""))"),13228.0)</f>
        <v>13228</v>
      </c>
    </row>
    <row r="8739">
      <c r="A8739" s="9" t="s">
        <v>29289</v>
      </c>
      <c r="B8739" s="9" t="s">
        <v>29290</v>
      </c>
      <c r="G8739" s="9" t="s">
        <v>29291</v>
      </c>
      <c r="O8739" s="10">
        <f>IFERROR(__xludf.DUMMYFUNCTION("VALUE(REGEXEXTRACT(A8739, ""\d+""))"),13229.0)</f>
        <v>13229</v>
      </c>
    </row>
    <row r="8740">
      <c r="A8740" s="9" t="s">
        <v>29292</v>
      </c>
      <c r="B8740" s="9" t="s">
        <v>29293</v>
      </c>
      <c r="G8740" s="9" t="s">
        <v>29294</v>
      </c>
      <c r="O8740" s="10">
        <f>IFERROR(__xludf.DUMMYFUNCTION("VALUE(REGEXEXTRACT(A8740, ""\d+""))"),13230.0)</f>
        <v>13230</v>
      </c>
    </row>
    <row r="8741">
      <c r="A8741" s="9" t="s">
        <v>29295</v>
      </c>
      <c r="B8741" s="9" t="s">
        <v>29296</v>
      </c>
      <c r="G8741" s="9" t="s">
        <v>29297</v>
      </c>
      <c r="O8741" s="10">
        <f>IFERROR(__xludf.DUMMYFUNCTION("VALUE(REGEXEXTRACT(A8741, ""\d+""))"),13231.0)</f>
        <v>13231</v>
      </c>
    </row>
    <row r="8742">
      <c r="A8742" s="9" t="s">
        <v>29298</v>
      </c>
      <c r="B8742" s="9" t="s">
        <v>29299</v>
      </c>
      <c r="G8742" s="9" t="s">
        <v>29300</v>
      </c>
      <c r="O8742" s="10">
        <f>IFERROR(__xludf.DUMMYFUNCTION("VALUE(REGEXEXTRACT(A8742, ""\d+""))"),13232.0)</f>
        <v>13232</v>
      </c>
    </row>
    <row r="8743">
      <c r="A8743" s="9" t="s">
        <v>29301</v>
      </c>
      <c r="B8743" s="9" t="s">
        <v>29302</v>
      </c>
      <c r="G8743" s="9" t="s">
        <v>29303</v>
      </c>
      <c r="O8743" s="10">
        <f>IFERROR(__xludf.DUMMYFUNCTION("VALUE(REGEXEXTRACT(A8743, ""\d+""))"),13233.0)</f>
        <v>13233</v>
      </c>
    </row>
    <row r="8744">
      <c r="A8744" s="9" t="s">
        <v>29304</v>
      </c>
      <c r="B8744" s="9" t="s">
        <v>29305</v>
      </c>
      <c r="G8744" s="9" t="s">
        <v>29306</v>
      </c>
      <c r="O8744" s="10">
        <f>IFERROR(__xludf.DUMMYFUNCTION("VALUE(REGEXEXTRACT(A8744, ""\d+""))"),13234.0)</f>
        <v>13234</v>
      </c>
    </row>
    <row r="8745">
      <c r="A8745" s="9" t="s">
        <v>29307</v>
      </c>
      <c r="B8745" s="9" t="s">
        <v>29305</v>
      </c>
      <c r="G8745" s="9" t="s">
        <v>29306</v>
      </c>
      <c r="O8745" s="10">
        <f>IFERROR(__xludf.DUMMYFUNCTION("VALUE(REGEXEXTRACT(A8745, ""\d+""))"),13235.0)</f>
        <v>13235</v>
      </c>
    </row>
    <row r="8746">
      <c r="A8746" s="9" t="s">
        <v>29308</v>
      </c>
      <c r="B8746" s="9" t="s">
        <v>29305</v>
      </c>
      <c r="G8746" s="9" t="s">
        <v>29306</v>
      </c>
      <c r="O8746" s="10">
        <f>IFERROR(__xludf.DUMMYFUNCTION("VALUE(REGEXEXTRACT(A8746, ""\d+""))"),13236.0)</f>
        <v>13236</v>
      </c>
    </row>
    <row r="8747">
      <c r="A8747" s="9" t="s">
        <v>29309</v>
      </c>
      <c r="B8747" s="9" t="s">
        <v>29310</v>
      </c>
      <c r="G8747" s="9" t="s">
        <v>29311</v>
      </c>
      <c r="O8747" s="10">
        <f>IFERROR(__xludf.DUMMYFUNCTION("VALUE(REGEXEXTRACT(A8747, ""\d+""))"),13237.0)</f>
        <v>13237</v>
      </c>
    </row>
    <row r="8748">
      <c r="A8748" s="9" t="s">
        <v>29312</v>
      </c>
      <c r="B8748" s="9" t="s">
        <v>29313</v>
      </c>
      <c r="G8748" s="9" t="s">
        <v>29314</v>
      </c>
      <c r="O8748" s="10">
        <f>IFERROR(__xludf.DUMMYFUNCTION("VALUE(REGEXEXTRACT(A8748, ""\d+""))"),13238.0)</f>
        <v>13238</v>
      </c>
    </row>
    <row r="8749">
      <c r="A8749" s="9" t="s">
        <v>29315</v>
      </c>
      <c r="B8749" s="9" t="s">
        <v>29316</v>
      </c>
      <c r="G8749" s="9" t="s">
        <v>29317</v>
      </c>
      <c r="O8749" s="10">
        <f>IFERROR(__xludf.DUMMYFUNCTION("VALUE(REGEXEXTRACT(A8749, ""\d+""))"),13239.0)</f>
        <v>13239</v>
      </c>
    </row>
    <row r="8750">
      <c r="A8750" s="9" t="s">
        <v>29318</v>
      </c>
      <c r="B8750" s="9" t="s">
        <v>29319</v>
      </c>
      <c r="G8750" s="9" t="s">
        <v>29320</v>
      </c>
      <c r="O8750" s="10">
        <f>IFERROR(__xludf.DUMMYFUNCTION("VALUE(REGEXEXTRACT(A8750, ""\d+""))"),13240.0)</f>
        <v>13240</v>
      </c>
    </row>
    <row r="8751">
      <c r="A8751" s="9" t="s">
        <v>29321</v>
      </c>
      <c r="B8751" s="9" t="s">
        <v>29322</v>
      </c>
      <c r="G8751" s="9" t="s">
        <v>29323</v>
      </c>
      <c r="O8751" s="10">
        <f>IFERROR(__xludf.DUMMYFUNCTION("VALUE(REGEXEXTRACT(A8751, ""\d+""))"),13241.0)</f>
        <v>13241</v>
      </c>
    </row>
    <row r="8752">
      <c r="A8752" s="9" t="s">
        <v>29324</v>
      </c>
      <c r="B8752" s="9" t="s">
        <v>29325</v>
      </c>
      <c r="G8752" s="9" t="s">
        <v>29326</v>
      </c>
      <c r="O8752" s="10">
        <f>IFERROR(__xludf.DUMMYFUNCTION("VALUE(REGEXEXTRACT(A8752, ""\d+""))"),13242.0)</f>
        <v>13242</v>
      </c>
    </row>
    <row r="8753">
      <c r="A8753" s="9" t="s">
        <v>29327</v>
      </c>
      <c r="B8753" s="9" t="s">
        <v>29328</v>
      </c>
      <c r="G8753" s="9" t="s">
        <v>29329</v>
      </c>
      <c r="O8753" s="10">
        <f>IFERROR(__xludf.DUMMYFUNCTION("VALUE(REGEXEXTRACT(A8753, ""\d+""))"),13243.0)</f>
        <v>13243</v>
      </c>
    </row>
    <row r="8754">
      <c r="A8754" s="9" t="s">
        <v>29330</v>
      </c>
      <c r="B8754" s="9" t="s">
        <v>29331</v>
      </c>
      <c r="G8754" s="9" t="s">
        <v>29332</v>
      </c>
      <c r="O8754" s="10">
        <f>IFERROR(__xludf.DUMMYFUNCTION("VALUE(REGEXEXTRACT(A8754, ""\d+""))"),13244.0)</f>
        <v>13244</v>
      </c>
    </row>
    <row r="8755">
      <c r="A8755" s="9" t="s">
        <v>29333</v>
      </c>
      <c r="B8755" s="9" t="s">
        <v>29334</v>
      </c>
      <c r="G8755" s="9" t="s">
        <v>29335</v>
      </c>
      <c r="O8755" s="10">
        <f>IFERROR(__xludf.DUMMYFUNCTION("VALUE(REGEXEXTRACT(A8755, ""\d+""))"),13245.0)</f>
        <v>13245</v>
      </c>
    </row>
    <row r="8756">
      <c r="A8756" s="9" t="s">
        <v>29336</v>
      </c>
      <c r="B8756" s="9" t="s">
        <v>29337</v>
      </c>
      <c r="G8756" s="9" t="s">
        <v>29338</v>
      </c>
      <c r="O8756" s="10">
        <f>IFERROR(__xludf.DUMMYFUNCTION("VALUE(REGEXEXTRACT(A8756, ""\d+""))"),13246.0)</f>
        <v>13246</v>
      </c>
    </row>
    <row r="8757">
      <c r="A8757" s="9" t="s">
        <v>29339</v>
      </c>
      <c r="B8757" s="9" t="s">
        <v>29340</v>
      </c>
      <c r="G8757" s="9" t="s">
        <v>29341</v>
      </c>
      <c r="O8757" s="10">
        <f>IFERROR(__xludf.DUMMYFUNCTION("VALUE(REGEXEXTRACT(A8757, ""\d+""))"),13247.0)</f>
        <v>13247</v>
      </c>
    </row>
    <row r="8758">
      <c r="A8758" s="9" t="s">
        <v>29342</v>
      </c>
      <c r="B8758" s="9" t="s">
        <v>29343</v>
      </c>
      <c r="G8758" s="9" t="s">
        <v>29344</v>
      </c>
      <c r="O8758" s="10">
        <f>IFERROR(__xludf.DUMMYFUNCTION("VALUE(REGEXEXTRACT(A8758, ""\d+""))"),13248.0)</f>
        <v>13248</v>
      </c>
    </row>
    <row r="8759">
      <c r="A8759" s="9" t="s">
        <v>29345</v>
      </c>
      <c r="B8759" s="9" t="s">
        <v>29346</v>
      </c>
      <c r="G8759" s="9" t="s">
        <v>29347</v>
      </c>
      <c r="O8759" s="10">
        <f>IFERROR(__xludf.DUMMYFUNCTION("VALUE(REGEXEXTRACT(A8759, ""\d+""))"),13249.0)</f>
        <v>13249</v>
      </c>
    </row>
    <row r="8760">
      <c r="A8760" s="9" t="s">
        <v>29348</v>
      </c>
      <c r="B8760" s="9" t="s">
        <v>29346</v>
      </c>
      <c r="G8760" s="9" t="s">
        <v>29347</v>
      </c>
      <c r="O8760" s="10">
        <f>IFERROR(__xludf.DUMMYFUNCTION("VALUE(REGEXEXTRACT(A8760, ""\d+""))"),13250.0)</f>
        <v>13250</v>
      </c>
    </row>
    <row r="8761">
      <c r="A8761" s="9" t="s">
        <v>29349</v>
      </c>
      <c r="B8761" s="9" t="s">
        <v>29346</v>
      </c>
      <c r="G8761" s="9" t="s">
        <v>29347</v>
      </c>
      <c r="O8761" s="10">
        <f>IFERROR(__xludf.DUMMYFUNCTION("VALUE(REGEXEXTRACT(A8761, ""\d+""))"),13252.0)</f>
        <v>13252</v>
      </c>
    </row>
    <row r="8762">
      <c r="A8762" s="9" t="s">
        <v>29350</v>
      </c>
      <c r="B8762" s="9" t="s">
        <v>29346</v>
      </c>
      <c r="G8762" s="9" t="s">
        <v>29347</v>
      </c>
      <c r="O8762" s="10">
        <f>IFERROR(__xludf.DUMMYFUNCTION("VALUE(REGEXEXTRACT(A8762, ""\d+""))"),13253.0)</f>
        <v>13253</v>
      </c>
    </row>
    <row r="8763">
      <c r="A8763" s="9" t="s">
        <v>29351</v>
      </c>
      <c r="B8763" s="9" t="s">
        <v>29352</v>
      </c>
      <c r="G8763" s="9" t="s">
        <v>29353</v>
      </c>
      <c r="O8763" s="10">
        <f>IFERROR(__xludf.DUMMYFUNCTION("VALUE(REGEXEXTRACT(A8763, ""\d+""))"),13254.0)</f>
        <v>13254</v>
      </c>
    </row>
    <row r="8764">
      <c r="A8764" s="9" t="s">
        <v>29354</v>
      </c>
      <c r="B8764" s="9" t="s">
        <v>29355</v>
      </c>
      <c r="G8764" s="9" t="s">
        <v>29356</v>
      </c>
      <c r="O8764" s="10">
        <f>IFERROR(__xludf.DUMMYFUNCTION("VALUE(REGEXEXTRACT(A8764, ""\d+""))"),13255.0)</f>
        <v>13255</v>
      </c>
    </row>
    <row r="8765">
      <c r="A8765" s="9" t="s">
        <v>29357</v>
      </c>
      <c r="B8765" s="9" t="s">
        <v>29358</v>
      </c>
      <c r="G8765" s="9" t="s">
        <v>29359</v>
      </c>
      <c r="O8765" s="10">
        <f>IFERROR(__xludf.DUMMYFUNCTION("VALUE(REGEXEXTRACT(A8765, ""\d+""))"),13256.0)</f>
        <v>13256</v>
      </c>
    </row>
    <row r="8766">
      <c r="A8766" s="9" t="s">
        <v>29360</v>
      </c>
      <c r="B8766" s="9" t="s">
        <v>29361</v>
      </c>
      <c r="G8766" s="9" t="s">
        <v>29362</v>
      </c>
      <c r="O8766" s="10">
        <f>IFERROR(__xludf.DUMMYFUNCTION("VALUE(REGEXEXTRACT(A8766, ""\d+""))"),13257.0)</f>
        <v>13257</v>
      </c>
    </row>
    <row r="8767">
      <c r="A8767" s="9" t="s">
        <v>29363</v>
      </c>
      <c r="B8767" s="9" t="s">
        <v>29364</v>
      </c>
      <c r="G8767" s="9" t="s">
        <v>29365</v>
      </c>
      <c r="O8767" s="10">
        <f>IFERROR(__xludf.DUMMYFUNCTION("VALUE(REGEXEXTRACT(A8767, ""\d+""))"),13258.0)</f>
        <v>13258</v>
      </c>
    </row>
    <row r="8768">
      <c r="A8768" s="9" t="s">
        <v>29366</v>
      </c>
      <c r="B8768" s="9" t="s">
        <v>29367</v>
      </c>
      <c r="G8768" s="9" t="s">
        <v>29368</v>
      </c>
      <c r="O8768" s="10">
        <f>IFERROR(__xludf.DUMMYFUNCTION("VALUE(REGEXEXTRACT(A8768, ""\d+""))"),13259.0)</f>
        <v>13259</v>
      </c>
    </row>
    <row r="8769">
      <c r="A8769" s="9" t="s">
        <v>29369</v>
      </c>
      <c r="B8769" s="9" t="s">
        <v>29370</v>
      </c>
      <c r="G8769" s="9" t="s">
        <v>29371</v>
      </c>
      <c r="O8769" s="10">
        <f>IFERROR(__xludf.DUMMYFUNCTION("VALUE(REGEXEXTRACT(A8769, ""\d+""))"),13260.0)</f>
        <v>13260</v>
      </c>
    </row>
    <row r="8770">
      <c r="A8770" s="9" t="s">
        <v>29372</v>
      </c>
      <c r="B8770" s="9" t="s">
        <v>29373</v>
      </c>
      <c r="G8770" s="9" t="s">
        <v>29374</v>
      </c>
      <c r="O8770" s="10">
        <f>IFERROR(__xludf.DUMMYFUNCTION("VALUE(REGEXEXTRACT(A8770, ""\d+""))"),13261.0)</f>
        <v>13261</v>
      </c>
    </row>
    <row r="8771">
      <c r="A8771" s="9" t="s">
        <v>29375</v>
      </c>
      <c r="B8771" s="9" t="s">
        <v>29376</v>
      </c>
      <c r="G8771" s="9" t="s">
        <v>29377</v>
      </c>
      <c r="O8771" s="10">
        <f>IFERROR(__xludf.DUMMYFUNCTION("VALUE(REGEXEXTRACT(A8771, ""\d+""))"),13262.0)</f>
        <v>13262</v>
      </c>
    </row>
    <row r="8772">
      <c r="A8772" s="9" t="s">
        <v>29378</v>
      </c>
      <c r="B8772" s="9" t="s">
        <v>29379</v>
      </c>
      <c r="G8772" s="9" t="s">
        <v>29380</v>
      </c>
      <c r="O8772" s="10">
        <f>IFERROR(__xludf.DUMMYFUNCTION("VALUE(REGEXEXTRACT(A8772, ""\d+""))"),13263.0)</f>
        <v>13263</v>
      </c>
    </row>
    <row r="8773">
      <c r="A8773" s="9" t="s">
        <v>29381</v>
      </c>
      <c r="B8773" s="9" t="s">
        <v>29382</v>
      </c>
      <c r="G8773" s="9" t="s">
        <v>29383</v>
      </c>
      <c r="O8773" s="10">
        <f>IFERROR(__xludf.DUMMYFUNCTION("VALUE(REGEXEXTRACT(A8773, ""\d+""))"),13264.0)</f>
        <v>13264</v>
      </c>
    </row>
    <row r="8774">
      <c r="A8774" s="9" t="s">
        <v>29384</v>
      </c>
      <c r="B8774" s="9" t="s">
        <v>29385</v>
      </c>
      <c r="G8774" s="9" t="s">
        <v>29386</v>
      </c>
      <c r="O8774" s="10">
        <f>IFERROR(__xludf.DUMMYFUNCTION("VALUE(REGEXEXTRACT(A8774, ""\d+""))"),13265.0)</f>
        <v>13265</v>
      </c>
    </row>
    <row r="8775">
      <c r="A8775" s="9" t="s">
        <v>29387</v>
      </c>
      <c r="B8775" s="9" t="s">
        <v>29388</v>
      </c>
      <c r="G8775" s="9" t="s">
        <v>29389</v>
      </c>
      <c r="O8775" s="10">
        <f>IFERROR(__xludf.DUMMYFUNCTION("VALUE(REGEXEXTRACT(A8775, ""\d+""))"),13266.0)</f>
        <v>13266</v>
      </c>
    </row>
    <row r="8776">
      <c r="A8776" s="9" t="s">
        <v>29390</v>
      </c>
      <c r="B8776" s="9" t="s">
        <v>29388</v>
      </c>
      <c r="G8776" s="9" t="s">
        <v>29389</v>
      </c>
      <c r="O8776" s="10">
        <f>IFERROR(__xludf.DUMMYFUNCTION("VALUE(REGEXEXTRACT(A8776, ""\d+""))"),13267.0)</f>
        <v>13267</v>
      </c>
    </row>
    <row r="8777">
      <c r="A8777" s="9" t="s">
        <v>29391</v>
      </c>
      <c r="B8777" s="9" t="s">
        <v>29388</v>
      </c>
      <c r="G8777" s="9" t="s">
        <v>29389</v>
      </c>
      <c r="O8777" s="10">
        <f>IFERROR(__xludf.DUMMYFUNCTION("VALUE(REGEXEXTRACT(A8777, ""\d+""))"),13268.0)</f>
        <v>13268</v>
      </c>
    </row>
    <row r="8778">
      <c r="A8778" s="9" t="s">
        <v>29392</v>
      </c>
      <c r="B8778" s="9" t="s">
        <v>29388</v>
      </c>
      <c r="G8778" s="9" t="s">
        <v>29389</v>
      </c>
      <c r="O8778" s="10">
        <f>IFERROR(__xludf.DUMMYFUNCTION("VALUE(REGEXEXTRACT(A8778, ""\d+""))"),13269.0)</f>
        <v>13269</v>
      </c>
    </row>
    <row r="8779">
      <c r="A8779" s="9" t="s">
        <v>29393</v>
      </c>
      <c r="B8779" s="9" t="s">
        <v>29394</v>
      </c>
      <c r="G8779" s="9" t="s">
        <v>22457</v>
      </c>
      <c r="O8779" s="10">
        <f>IFERROR(__xludf.DUMMYFUNCTION("VALUE(REGEXEXTRACT(A8779, ""\d+""))"),13270.0)</f>
        <v>13270</v>
      </c>
    </row>
    <row r="8780">
      <c r="A8780" s="9" t="s">
        <v>29395</v>
      </c>
      <c r="B8780" s="9" t="s">
        <v>29396</v>
      </c>
      <c r="G8780" s="9" t="s">
        <v>29397</v>
      </c>
      <c r="O8780" s="10">
        <f>IFERROR(__xludf.DUMMYFUNCTION("VALUE(REGEXEXTRACT(A8780, ""\d+""))"),13272.0)</f>
        <v>13272</v>
      </c>
    </row>
    <row r="8781">
      <c r="A8781" s="9" t="s">
        <v>29398</v>
      </c>
      <c r="B8781" s="9" t="s">
        <v>29399</v>
      </c>
      <c r="G8781" s="9" t="s">
        <v>29400</v>
      </c>
      <c r="O8781" s="10">
        <f>IFERROR(__xludf.DUMMYFUNCTION("VALUE(REGEXEXTRACT(A8781, ""\d+""))"),13284.0)</f>
        <v>13284</v>
      </c>
    </row>
    <row r="8782">
      <c r="A8782" s="9" t="s">
        <v>29401</v>
      </c>
      <c r="B8782" s="9" t="s">
        <v>21570</v>
      </c>
      <c r="G8782" s="9" t="s">
        <v>21571</v>
      </c>
      <c r="O8782" s="10">
        <f>IFERROR(__xludf.DUMMYFUNCTION("VALUE(REGEXEXTRACT(A8782, ""\d+""))"),13285.0)</f>
        <v>13285</v>
      </c>
    </row>
    <row r="8783">
      <c r="A8783" s="9" t="s">
        <v>29402</v>
      </c>
      <c r="B8783" s="9" t="s">
        <v>29403</v>
      </c>
      <c r="G8783" s="9" t="s">
        <v>29404</v>
      </c>
      <c r="O8783" s="10">
        <f>IFERROR(__xludf.DUMMYFUNCTION("VALUE(REGEXEXTRACT(A8783, ""\d+""))"),13286.0)</f>
        <v>13286</v>
      </c>
    </row>
    <row r="8784">
      <c r="A8784" s="9" t="s">
        <v>29405</v>
      </c>
      <c r="B8784" s="9" t="s">
        <v>29406</v>
      </c>
      <c r="G8784" s="9" t="s">
        <v>29407</v>
      </c>
      <c r="O8784" s="10">
        <f>IFERROR(__xludf.DUMMYFUNCTION("VALUE(REGEXEXTRACT(A8784, ""\d+""))"),13287.0)</f>
        <v>13287</v>
      </c>
    </row>
    <row r="8785">
      <c r="A8785" s="9" t="s">
        <v>29408</v>
      </c>
      <c r="B8785" s="9" t="s">
        <v>29409</v>
      </c>
      <c r="G8785" s="9" t="s">
        <v>29410</v>
      </c>
      <c r="O8785" s="10">
        <f>IFERROR(__xludf.DUMMYFUNCTION("VALUE(REGEXEXTRACT(A8785, ""\d+""))"),13288.0)</f>
        <v>13288</v>
      </c>
    </row>
    <row r="8786">
      <c r="A8786" s="9" t="s">
        <v>29411</v>
      </c>
      <c r="B8786" s="9" t="s">
        <v>29412</v>
      </c>
      <c r="G8786" s="9" t="s">
        <v>29413</v>
      </c>
      <c r="O8786" s="10">
        <f>IFERROR(__xludf.DUMMYFUNCTION("VALUE(REGEXEXTRACT(A8786, ""\d+""))"),13289.0)</f>
        <v>13289</v>
      </c>
    </row>
    <row r="8787">
      <c r="A8787" s="9" t="s">
        <v>29414</v>
      </c>
      <c r="B8787" s="9" t="s">
        <v>29415</v>
      </c>
      <c r="G8787" s="9" t="s">
        <v>29416</v>
      </c>
      <c r="O8787" s="10">
        <f>IFERROR(__xludf.DUMMYFUNCTION("VALUE(REGEXEXTRACT(A8787, ""\d+""))"),13290.0)</f>
        <v>13290</v>
      </c>
    </row>
    <row r="8788">
      <c r="A8788" s="9" t="s">
        <v>29417</v>
      </c>
      <c r="B8788" s="9" t="s">
        <v>29418</v>
      </c>
      <c r="G8788" s="9" t="s">
        <v>29419</v>
      </c>
      <c r="O8788" s="10">
        <f>IFERROR(__xludf.DUMMYFUNCTION("VALUE(REGEXEXTRACT(A8788, ""\d+""))"),13292.0)</f>
        <v>13292</v>
      </c>
    </row>
    <row r="8789">
      <c r="A8789" s="9" t="s">
        <v>29420</v>
      </c>
      <c r="B8789" s="9" t="s">
        <v>29421</v>
      </c>
      <c r="G8789" s="9" t="s">
        <v>29422</v>
      </c>
      <c r="O8789" s="10">
        <f>IFERROR(__xludf.DUMMYFUNCTION("VALUE(REGEXEXTRACT(A8789, ""\d+""))"),13293.0)</f>
        <v>13293</v>
      </c>
    </row>
    <row r="8790">
      <c r="A8790" s="9" t="s">
        <v>29423</v>
      </c>
      <c r="B8790" s="9" t="s">
        <v>29424</v>
      </c>
      <c r="G8790" s="9" t="s">
        <v>29425</v>
      </c>
      <c r="O8790" s="10">
        <f>IFERROR(__xludf.DUMMYFUNCTION("VALUE(REGEXEXTRACT(A8790, ""\d+""))"),13294.0)</f>
        <v>13294</v>
      </c>
    </row>
    <row r="8791">
      <c r="A8791" s="9" t="s">
        <v>29426</v>
      </c>
      <c r="B8791" s="9" t="s">
        <v>29427</v>
      </c>
      <c r="G8791" s="9" t="s">
        <v>29428</v>
      </c>
      <c r="O8791" s="10">
        <f>IFERROR(__xludf.DUMMYFUNCTION("VALUE(REGEXEXTRACT(A8791, ""\d+""))"),13295.0)</f>
        <v>13295</v>
      </c>
    </row>
    <row r="8792">
      <c r="A8792" s="9" t="s">
        <v>29429</v>
      </c>
      <c r="B8792" s="9" t="s">
        <v>29430</v>
      </c>
      <c r="G8792" s="9" t="s">
        <v>29431</v>
      </c>
      <c r="O8792" s="10">
        <f>IFERROR(__xludf.DUMMYFUNCTION("VALUE(REGEXEXTRACT(A8792, ""\d+""))"),13296.0)</f>
        <v>13296</v>
      </c>
    </row>
    <row r="8793">
      <c r="A8793" s="9" t="s">
        <v>29432</v>
      </c>
      <c r="B8793" s="9" t="s">
        <v>29433</v>
      </c>
      <c r="G8793" s="9" t="s">
        <v>29434</v>
      </c>
      <c r="O8793" s="10">
        <f>IFERROR(__xludf.DUMMYFUNCTION("VALUE(REGEXEXTRACT(A8793, ""\d+""))"),13297.0)</f>
        <v>13297</v>
      </c>
    </row>
    <row r="8794">
      <c r="A8794" s="9" t="s">
        <v>29435</v>
      </c>
      <c r="B8794" s="9" t="s">
        <v>29436</v>
      </c>
      <c r="G8794" s="9" t="s">
        <v>29437</v>
      </c>
      <c r="O8794" s="10">
        <f>IFERROR(__xludf.DUMMYFUNCTION("VALUE(REGEXEXTRACT(A8794, ""\d+""))"),13298.0)</f>
        <v>13298</v>
      </c>
    </row>
    <row r="8795">
      <c r="A8795" s="9" t="s">
        <v>29438</v>
      </c>
      <c r="B8795" s="9" t="s">
        <v>29436</v>
      </c>
      <c r="G8795" s="9" t="s">
        <v>29437</v>
      </c>
      <c r="O8795" s="10">
        <f>IFERROR(__xludf.DUMMYFUNCTION("VALUE(REGEXEXTRACT(A8795, ""\d+""))"),13299.0)</f>
        <v>13299</v>
      </c>
    </row>
    <row r="8796">
      <c r="A8796" s="9" t="s">
        <v>29439</v>
      </c>
      <c r="B8796" s="9" t="s">
        <v>29440</v>
      </c>
      <c r="G8796" s="9" t="s">
        <v>29441</v>
      </c>
      <c r="O8796" s="10">
        <f>IFERROR(__xludf.DUMMYFUNCTION("VALUE(REGEXEXTRACT(A8796, ""\d+""))"),13300.0)</f>
        <v>13300</v>
      </c>
    </row>
    <row r="8797">
      <c r="A8797" s="9" t="s">
        <v>29442</v>
      </c>
      <c r="B8797" s="9" t="s">
        <v>29443</v>
      </c>
      <c r="G8797" s="9" t="s">
        <v>29444</v>
      </c>
      <c r="O8797" s="10">
        <f>IFERROR(__xludf.DUMMYFUNCTION("VALUE(REGEXEXTRACT(A8797, ""\d+""))"),13301.0)</f>
        <v>13301</v>
      </c>
    </row>
    <row r="8798">
      <c r="A8798" s="9" t="s">
        <v>29445</v>
      </c>
      <c r="B8798" s="9" t="s">
        <v>29443</v>
      </c>
      <c r="G8798" s="9" t="s">
        <v>29444</v>
      </c>
      <c r="O8798" s="10">
        <f>IFERROR(__xludf.DUMMYFUNCTION("VALUE(REGEXEXTRACT(A8798, ""\d+""))"),13302.0)</f>
        <v>13302</v>
      </c>
    </row>
    <row r="8799">
      <c r="A8799" s="9" t="s">
        <v>29446</v>
      </c>
      <c r="B8799" s="9" t="s">
        <v>29447</v>
      </c>
      <c r="G8799" s="9" t="s">
        <v>29448</v>
      </c>
      <c r="O8799" s="10">
        <f>IFERROR(__xludf.DUMMYFUNCTION("VALUE(REGEXEXTRACT(A8799, ""\d+""))"),13303.0)</f>
        <v>13303</v>
      </c>
    </row>
    <row r="8800">
      <c r="A8800" s="9" t="s">
        <v>29449</v>
      </c>
      <c r="B8800" s="9" t="s">
        <v>29450</v>
      </c>
      <c r="G8800" s="9" t="s">
        <v>29451</v>
      </c>
      <c r="O8800" s="10">
        <f>IFERROR(__xludf.DUMMYFUNCTION("VALUE(REGEXEXTRACT(A8800, ""\d+""))"),13304.0)</f>
        <v>13304</v>
      </c>
    </row>
    <row r="8801">
      <c r="A8801" s="9" t="s">
        <v>29452</v>
      </c>
      <c r="B8801" s="9" t="s">
        <v>29450</v>
      </c>
      <c r="G8801" s="9" t="s">
        <v>29451</v>
      </c>
      <c r="O8801" s="10">
        <f>IFERROR(__xludf.DUMMYFUNCTION("VALUE(REGEXEXTRACT(A8801, ""\d+""))"),13305.0)</f>
        <v>13305</v>
      </c>
    </row>
    <row r="8802">
      <c r="A8802" s="9" t="s">
        <v>29453</v>
      </c>
      <c r="B8802" s="9" t="s">
        <v>29454</v>
      </c>
      <c r="G8802" s="9" t="s">
        <v>29455</v>
      </c>
      <c r="O8802" s="10">
        <f>IFERROR(__xludf.DUMMYFUNCTION("VALUE(REGEXEXTRACT(A8802, ""\d+""))"),13306.0)</f>
        <v>13306</v>
      </c>
    </row>
    <row r="8803">
      <c r="A8803" s="9" t="s">
        <v>29456</v>
      </c>
      <c r="B8803" s="9" t="s">
        <v>29457</v>
      </c>
      <c r="G8803" s="9" t="s">
        <v>29458</v>
      </c>
      <c r="O8803" s="10">
        <f>IFERROR(__xludf.DUMMYFUNCTION("VALUE(REGEXEXTRACT(A8803, ""\d+""))"),13307.0)</f>
        <v>13307</v>
      </c>
    </row>
    <row r="8804">
      <c r="A8804" s="9" t="s">
        <v>29459</v>
      </c>
      <c r="B8804" s="9" t="s">
        <v>29457</v>
      </c>
      <c r="G8804" s="9" t="s">
        <v>29458</v>
      </c>
      <c r="O8804" s="10">
        <f>IFERROR(__xludf.DUMMYFUNCTION("VALUE(REGEXEXTRACT(A8804, ""\d+""))"),13308.0)</f>
        <v>13308</v>
      </c>
    </row>
    <row r="8805">
      <c r="A8805" s="9" t="s">
        <v>29460</v>
      </c>
      <c r="B8805" s="9" t="s">
        <v>29461</v>
      </c>
      <c r="G8805" s="9" t="s">
        <v>29462</v>
      </c>
      <c r="O8805" s="10">
        <f>IFERROR(__xludf.DUMMYFUNCTION("VALUE(REGEXEXTRACT(A8805, ""\d+""))"),13309.0)</f>
        <v>13309</v>
      </c>
    </row>
    <row r="8806">
      <c r="A8806" s="9" t="s">
        <v>29463</v>
      </c>
      <c r="B8806" s="9" t="s">
        <v>29464</v>
      </c>
      <c r="G8806" s="9" t="s">
        <v>29464</v>
      </c>
      <c r="O8806" s="10">
        <f>IFERROR(__xludf.DUMMYFUNCTION("VALUE(REGEXEXTRACT(A8806, ""\d+""))"),13310.0)</f>
        <v>13310</v>
      </c>
    </row>
    <row r="8807">
      <c r="A8807" s="9" t="s">
        <v>29465</v>
      </c>
      <c r="B8807" s="9" t="s">
        <v>29466</v>
      </c>
      <c r="G8807" s="9" t="s">
        <v>29466</v>
      </c>
      <c r="O8807" s="10">
        <f>IFERROR(__xludf.DUMMYFUNCTION("VALUE(REGEXEXTRACT(A8807, ""\d+""))"),13311.0)</f>
        <v>13311</v>
      </c>
    </row>
    <row r="8808">
      <c r="A8808" s="9" t="s">
        <v>29467</v>
      </c>
      <c r="B8808" s="9" t="s">
        <v>29468</v>
      </c>
      <c r="G8808" s="9" t="s">
        <v>29468</v>
      </c>
      <c r="O8808" s="10">
        <f>IFERROR(__xludf.DUMMYFUNCTION("VALUE(REGEXEXTRACT(A8808, ""\d+""))"),13312.0)</f>
        <v>13312</v>
      </c>
    </row>
    <row r="8809">
      <c r="A8809" s="9" t="s">
        <v>29469</v>
      </c>
      <c r="B8809" s="9" t="s">
        <v>29470</v>
      </c>
      <c r="G8809" s="9" t="s">
        <v>29470</v>
      </c>
      <c r="O8809" s="10">
        <f>IFERROR(__xludf.DUMMYFUNCTION("VALUE(REGEXEXTRACT(A8809, ""\d+""))"),13313.0)</f>
        <v>13313</v>
      </c>
    </row>
    <row r="8810">
      <c r="A8810" s="9" t="s">
        <v>29471</v>
      </c>
      <c r="B8810" s="9" t="s">
        <v>29472</v>
      </c>
      <c r="G8810" s="9" t="s">
        <v>29473</v>
      </c>
      <c r="O8810" s="10">
        <f>IFERROR(__xludf.DUMMYFUNCTION("VALUE(REGEXEXTRACT(A8810, ""\d+""))"),13314.0)</f>
        <v>13314</v>
      </c>
    </row>
    <row r="8811">
      <c r="A8811" s="9" t="s">
        <v>29474</v>
      </c>
      <c r="B8811" s="9" t="s">
        <v>29472</v>
      </c>
      <c r="G8811" s="9" t="s">
        <v>29473</v>
      </c>
      <c r="O8811" s="10">
        <f>IFERROR(__xludf.DUMMYFUNCTION("VALUE(REGEXEXTRACT(A8811, ""\d+""))"),13315.0)</f>
        <v>13315</v>
      </c>
    </row>
    <row r="8812">
      <c r="A8812" s="9" t="s">
        <v>29475</v>
      </c>
      <c r="B8812" s="9" t="s">
        <v>29472</v>
      </c>
      <c r="G8812" s="9" t="s">
        <v>29473</v>
      </c>
      <c r="O8812" s="10">
        <f>IFERROR(__xludf.DUMMYFUNCTION("VALUE(REGEXEXTRACT(A8812, ""\d+""))"),13316.0)</f>
        <v>13316</v>
      </c>
    </row>
    <row r="8813">
      <c r="A8813" s="9" t="s">
        <v>29476</v>
      </c>
      <c r="B8813" s="9" t="s">
        <v>29477</v>
      </c>
      <c r="G8813" s="9" t="s">
        <v>29478</v>
      </c>
      <c r="O8813" s="10">
        <f>IFERROR(__xludf.DUMMYFUNCTION("VALUE(REGEXEXTRACT(A8813, ""\d+""))"),13317.0)</f>
        <v>13317</v>
      </c>
    </row>
    <row r="8814">
      <c r="A8814" s="9" t="s">
        <v>29479</v>
      </c>
      <c r="B8814" s="9" t="s">
        <v>29477</v>
      </c>
      <c r="G8814" s="9" t="s">
        <v>29478</v>
      </c>
      <c r="O8814" s="10">
        <f>IFERROR(__xludf.DUMMYFUNCTION("VALUE(REGEXEXTRACT(A8814, ""\d+""))"),13318.0)</f>
        <v>13318</v>
      </c>
    </row>
    <row r="8815">
      <c r="A8815" s="9" t="s">
        <v>29480</v>
      </c>
      <c r="B8815" s="9" t="s">
        <v>29477</v>
      </c>
      <c r="G8815" s="9" t="s">
        <v>29478</v>
      </c>
      <c r="O8815" s="10">
        <f>IFERROR(__xludf.DUMMYFUNCTION("VALUE(REGEXEXTRACT(A8815, ""\d+""))"),13319.0)</f>
        <v>13319</v>
      </c>
    </row>
    <row r="8816">
      <c r="A8816" s="9" t="s">
        <v>29481</v>
      </c>
      <c r="B8816" s="9" t="s">
        <v>29482</v>
      </c>
      <c r="G8816" s="9" t="s">
        <v>29483</v>
      </c>
      <c r="O8816" s="10">
        <f>IFERROR(__xludf.DUMMYFUNCTION("VALUE(REGEXEXTRACT(A8816, ""\d+""))"),13320.0)</f>
        <v>13320</v>
      </c>
    </row>
    <row r="8817">
      <c r="A8817" s="9" t="s">
        <v>29484</v>
      </c>
      <c r="B8817" s="9" t="s">
        <v>29482</v>
      </c>
      <c r="G8817" s="9" t="s">
        <v>29483</v>
      </c>
      <c r="O8817" s="10">
        <f>IFERROR(__xludf.DUMMYFUNCTION("VALUE(REGEXEXTRACT(A8817, ""\d+""))"),13321.0)</f>
        <v>13321</v>
      </c>
    </row>
    <row r="8818">
      <c r="A8818" s="9" t="s">
        <v>29485</v>
      </c>
      <c r="B8818" s="9" t="s">
        <v>29486</v>
      </c>
      <c r="G8818" s="9" t="s">
        <v>29487</v>
      </c>
      <c r="O8818" s="10">
        <f>IFERROR(__xludf.DUMMYFUNCTION("VALUE(REGEXEXTRACT(A8818, ""\d+""))"),13322.0)</f>
        <v>13322</v>
      </c>
    </row>
    <row r="8819">
      <c r="A8819" s="9" t="s">
        <v>29488</v>
      </c>
      <c r="B8819" s="9" t="s">
        <v>29489</v>
      </c>
      <c r="G8819" s="9" t="s">
        <v>29490</v>
      </c>
      <c r="O8819" s="10">
        <f>IFERROR(__xludf.DUMMYFUNCTION("VALUE(REGEXEXTRACT(A8819, ""\d+""))"),13323.0)</f>
        <v>13323</v>
      </c>
    </row>
    <row r="8820">
      <c r="A8820" s="9" t="s">
        <v>29491</v>
      </c>
      <c r="B8820" s="9" t="s">
        <v>29489</v>
      </c>
      <c r="G8820" s="9" t="s">
        <v>29490</v>
      </c>
      <c r="O8820" s="10">
        <f>IFERROR(__xludf.DUMMYFUNCTION("VALUE(REGEXEXTRACT(A8820, ""\d+""))"),13324.0)</f>
        <v>13324</v>
      </c>
    </row>
    <row r="8821">
      <c r="A8821" s="9" t="s">
        <v>29492</v>
      </c>
      <c r="B8821" s="9" t="s">
        <v>29493</v>
      </c>
      <c r="G8821" s="9" t="s">
        <v>29494</v>
      </c>
      <c r="O8821" s="10">
        <f>IFERROR(__xludf.DUMMYFUNCTION("VALUE(REGEXEXTRACT(A8821, ""\d+""))"),13325.0)</f>
        <v>13325</v>
      </c>
    </row>
    <row r="8822">
      <c r="A8822" s="9" t="s">
        <v>29495</v>
      </c>
      <c r="B8822" s="9" t="s">
        <v>29496</v>
      </c>
      <c r="G8822" s="9" t="s">
        <v>29497</v>
      </c>
      <c r="O8822" s="10">
        <f>IFERROR(__xludf.DUMMYFUNCTION("VALUE(REGEXEXTRACT(A8822, ""\d+""))"),13326.0)</f>
        <v>13326</v>
      </c>
    </row>
    <row r="8823">
      <c r="A8823" s="9" t="s">
        <v>29498</v>
      </c>
      <c r="B8823" s="9" t="s">
        <v>29496</v>
      </c>
      <c r="G8823" s="9" t="s">
        <v>29497</v>
      </c>
      <c r="O8823" s="10">
        <f>IFERROR(__xludf.DUMMYFUNCTION("VALUE(REGEXEXTRACT(A8823, ""\d+""))"),13327.0)</f>
        <v>13327</v>
      </c>
    </row>
    <row r="8824">
      <c r="A8824" s="9" t="s">
        <v>29499</v>
      </c>
      <c r="B8824" s="9" t="s">
        <v>29496</v>
      </c>
      <c r="G8824" s="9" t="s">
        <v>29497</v>
      </c>
      <c r="O8824" s="10">
        <f>IFERROR(__xludf.DUMMYFUNCTION("VALUE(REGEXEXTRACT(A8824, ""\d+""))"),13328.0)</f>
        <v>13328</v>
      </c>
    </row>
    <row r="8825">
      <c r="A8825" s="9" t="s">
        <v>29500</v>
      </c>
      <c r="B8825" s="9" t="s">
        <v>29501</v>
      </c>
      <c r="G8825" s="9" t="s">
        <v>29502</v>
      </c>
      <c r="O8825" s="10">
        <f>IFERROR(__xludf.DUMMYFUNCTION("VALUE(REGEXEXTRACT(A8825, ""\d+""))"),13329.0)</f>
        <v>13329</v>
      </c>
    </row>
    <row r="8826">
      <c r="A8826" s="9" t="s">
        <v>29503</v>
      </c>
      <c r="B8826" s="9" t="s">
        <v>29501</v>
      </c>
      <c r="G8826" s="9" t="s">
        <v>29502</v>
      </c>
      <c r="O8826" s="10">
        <f>IFERROR(__xludf.DUMMYFUNCTION("VALUE(REGEXEXTRACT(A8826, ""\d+""))"),13330.0)</f>
        <v>13330</v>
      </c>
    </row>
    <row r="8827">
      <c r="A8827" s="9" t="s">
        <v>29504</v>
      </c>
      <c r="B8827" s="9" t="s">
        <v>29501</v>
      </c>
      <c r="G8827" s="9" t="s">
        <v>29502</v>
      </c>
      <c r="O8827" s="10">
        <f>IFERROR(__xludf.DUMMYFUNCTION("VALUE(REGEXEXTRACT(A8827, ""\d+""))"),13331.0)</f>
        <v>13331</v>
      </c>
    </row>
    <row r="8828">
      <c r="A8828" s="9" t="s">
        <v>29505</v>
      </c>
      <c r="B8828" s="9" t="s">
        <v>29506</v>
      </c>
      <c r="G8828" s="9" t="s">
        <v>29507</v>
      </c>
      <c r="O8828" s="10">
        <f>IFERROR(__xludf.DUMMYFUNCTION("VALUE(REGEXEXTRACT(A8828, ""\d+""))"),13332.0)</f>
        <v>13332</v>
      </c>
    </row>
    <row r="8829">
      <c r="A8829" s="9" t="s">
        <v>29508</v>
      </c>
      <c r="B8829" s="9" t="s">
        <v>29509</v>
      </c>
      <c r="G8829" s="9" t="s">
        <v>29507</v>
      </c>
      <c r="O8829" s="10">
        <f>IFERROR(__xludf.DUMMYFUNCTION("VALUE(REGEXEXTRACT(A8829, ""\d+""))"),13333.0)</f>
        <v>13333</v>
      </c>
    </row>
    <row r="8830">
      <c r="A8830" s="9" t="s">
        <v>29510</v>
      </c>
      <c r="B8830" s="9" t="s">
        <v>29511</v>
      </c>
      <c r="G8830" s="9" t="s">
        <v>29512</v>
      </c>
      <c r="O8830" s="10">
        <f>IFERROR(__xludf.DUMMYFUNCTION("VALUE(REGEXEXTRACT(A8830, ""\d+""))"),13334.0)</f>
        <v>13334</v>
      </c>
    </row>
    <row r="8831">
      <c r="A8831" s="9" t="s">
        <v>29513</v>
      </c>
      <c r="B8831" s="9" t="s">
        <v>29514</v>
      </c>
      <c r="G8831" s="9" t="s">
        <v>29515</v>
      </c>
      <c r="O8831" s="10">
        <f>IFERROR(__xludf.DUMMYFUNCTION("VALUE(REGEXEXTRACT(A8831, ""\d+""))"),13335.0)</f>
        <v>13335</v>
      </c>
    </row>
    <row r="8832">
      <c r="A8832" s="9" t="s">
        <v>29516</v>
      </c>
      <c r="B8832" s="9" t="s">
        <v>29517</v>
      </c>
      <c r="G8832" s="9" t="s">
        <v>29515</v>
      </c>
      <c r="O8832" s="10">
        <f>IFERROR(__xludf.DUMMYFUNCTION("VALUE(REGEXEXTRACT(A8832, ""\d+""))"),13336.0)</f>
        <v>13336</v>
      </c>
    </row>
    <row r="8833">
      <c r="A8833" s="9" t="s">
        <v>29518</v>
      </c>
      <c r="B8833" s="9" t="s">
        <v>29519</v>
      </c>
      <c r="G8833" s="9" t="s">
        <v>29520</v>
      </c>
      <c r="O8833" s="10">
        <f>IFERROR(__xludf.DUMMYFUNCTION("VALUE(REGEXEXTRACT(A8833, ""\d+""))"),13337.0)</f>
        <v>13337</v>
      </c>
    </row>
    <row r="8834">
      <c r="A8834" s="9" t="s">
        <v>29521</v>
      </c>
      <c r="B8834" s="9" t="s">
        <v>29522</v>
      </c>
      <c r="G8834" s="9" t="s">
        <v>29523</v>
      </c>
      <c r="O8834" s="10">
        <f>IFERROR(__xludf.DUMMYFUNCTION("VALUE(REGEXEXTRACT(A8834, ""\d+""))"),13338.0)</f>
        <v>13338</v>
      </c>
    </row>
    <row r="8835">
      <c r="A8835" s="9" t="s">
        <v>29524</v>
      </c>
      <c r="B8835" s="9" t="s">
        <v>29522</v>
      </c>
      <c r="G8835" s="9" t="s">
        <v>29523</v>
      </c>
      <c r="O8835" s="10">
        <f>IFERROR(__xludf.DUMMYFUNCTION("VALUE(REGEXEXTRACT(A8835, ""\d+""))"),13339.0)</f>
        <v>13339</v>
      </c>
    </row>
    <row r="8836">
      <c r="A8836" s="9" t="s">
        <v>29525</v>
      </c>
      <c r="B8836" s="9" t="s">
        <v>29522</v>
      </c>
      <c r="G8836" s="9" t="s">
        <v>29523</v>
      </c>
      <c r="O8836" s="10">
        <f>IFERROR(__xludf.DUMMYFUNCTION("VALUE(REGEXEXTRACT(A8836, ""\d+""))"),13340.0)</f>
        <v>13340</v>
      </c>
    </row>
    <row r="8837">
      <c r="A8837" s="9" t="s">
        <v>29526</v>
      </c>
      <c r="B8837" s="9" t="s">
        <v>29527</v>
      </c>
      <c r="G8837" s="9" t="s">
        <v>29528</v>
      </c>
      <c r="O8837" s="10">
        <f>IFERROR(__xludf.DUMMYFUNCTION("VALUE(REGEXEXTRACT(A8837, ""\d+""))"),13341.0)</f>
        <v>13341</v>
      </c>
    </row>
    <row r="8838">
      <c r="A8838" s="9" t="s">
        <v>29529</v>
      </c>
      <c r="B8838" s="9" t="s">
        <v>29527</v>
      </c>
      <c r="G8838" s="9" t="s">
        <v>29528</v>
      </c>
      <c r="O8838" s="10">
        <f>IFERROR(__xludf.DUMMYFUNCTION("VALUE(REGEXEXTRACT(A8838, ""\d+""))"),13342.0)</f>
        <v>13342</v>
      </c>
    </row>
    <row r="8839">
      <c r="A8839" s="9" t="s">
        <v>29530</v>
      </c>
      <c r="B8839" s="9" t="s">
        <v>29527</v>
      </c>
      <c r="G8839" s="9" t="s">
        <v>29528</v>
      </c>
      <c r="O8839" s="10">
        <f>IFERROR(__xludf.DUMMYFUNCTION("VALUE(REGEXEXTRACT(A8839, ""\d+""))"),13343.0)</f>
        <v>13343</v>
      </c>
    </row>
    <row r="8840">
      <c r="A8840" s="9" t="s">
        <v>29531</v>
      </c>
      <c r="B8840" s="9" t="s">
        <v>29532</v>
      </c>
      <c r="G8840" s="9" t="s">
        <v>29533</v>
      </c>
      <c r="O8840" s="10">
        <f>IFERROR(__xludf.DUMMYFUNCTION("VALUE(REGEXEXTRACT(A8840, ""\d+""))"),13344.0)</f>
        <v>13344</v>
      </c>
    </row>
    <row r="8841">
      <c r="A8841" s="9" t="s">
        <v>29534</v>
      </c>
      <c r="B8841" s="9" t="s">
        <v>29535</v>
      </c>
      <c r="G8841" s="9" t="s">
        <v>29536</v>
      </c>
      <c r="O8841" s="10">
        <f>IFERROR(__xludf.DUMMYFUNCTION("VALUE(REGEXEXTRACT(A8841, ""\d+""))"),13345.0)</f>
        <v>13345</v>
      </c>
    </row>
    <row r="8842">
      <c r="A8842" s="9" t="s">
        <v>29537</v>
      </c>
      <c r="B8842" s="9" t="s">
        <v>29538</v>
      </c>
      <c r="G8842" s="9" t="s">
        <v>29539</v>
      </c>
      <c r="O8842" s="10">
        <f>IFERROR(__xludf.DUMMYFUNCTION("VALUE(REGEXEXTRACT(A8842, ""\d+""))"),13347.0)</f>
        <v>13347</v>
      </c>
    </row>
    <row r="8843">
      <c r="A8843" s="9" t="s">
        <v>29540</v>
      </c>
      <c r="B8843" s="9" t="s">
        <v>29541</v>
      </c>
      <c r="G8843" s="9" t="s">
        <v>29542</v>
      </c>
      <c r="O8843" s="10">
        <f>IFERROR(__xludf.DUMMYFUNCTION("VALUE(REGEXEXTRACT(A8843, ""\d+""))"),13348.0)</f>
        <v>13348</v>
      </c>
    </row>
    <row r="8844">
      <c r="A8844" s="9" t="s">
        <v>29543</v>
      </c>
      <c r="B8844" s="9" t="s">
        <v>29544</v>
      </c>
      <c r="G8844" s="9" t="s">
        <v>29545</v>
      </c>
      <c r="O8844" s="10">
        <f>IFERROR(__xludf.DUMMYFUNCTION("VALUE(REGEXEXTRACT(A8844, ""\d+""))"),13349.0)</f>
        <v>13349</v>
      </c>
    </row>
    <row r="8845">
      <c r="A8845" s="9" t="s">
        <v>29546</v>
      </c>
      <c r="B8845" s="9" t="s">
        <v>29547</v>
      </c>
      <c r="G8845" s="9" t="s">
        <v>29548</v>
      </c>
      <c r="O8845" s="10">
        <f>IFERROR(__xludf.DUMMYFUNCTION("VALUE(REGEXEXTRACT(A8845, ""\d+""))"),13350.0)</f>
        <v>13350</v>
      </c>
    </row>
    <row r="8846">
      <c r="A8846" s="9" t="s">
        <v>29549</v>
      </c>
      <c r="B8846" s="9" t="s">
        <v>29550</v>
      </c>
      <c r="G8846" s="9" t="s">
        <v>29551</v>
      </c>
      <c r="O8846" s="10">
        <f>IFERROR(__xludf.DUMMYFUNCTION("VALUE(REGEXEXTRACT(A8846, ""\d+""))"),13351.0)</f>
        <v>13351</v>
      </c>
    </row>
    <row r="8847">
      <c r="A8847" s="9" t="s">
        <v>29552</v>
      </c>
      <c r="B8847" s="9" t="s">
        <v>29553</v>
      </c>
      <c r="G8847" s="9" t="s">
        <v>29554</v>
      </c>
      <c r="O8847" s="10">
        <f>IFERROR(__xludf.DUMMYFUNCTION("VALUE(REGEXEXTRACT(A8847, ""\d+""))"),13352.0)</f>
        <v>13352</v>
      </c>
    </row>
    <row r="8848">
      <c r="A8848" s="9" t="s">
        <v>29555</v>
      </c>
      <c r="B8848" s="9" t="s">
        <v>17378</v>
      </c>
      <c r="G8848" s="9" t="s">
        <v>29556</v>
      </c>
      <c r="O8848" s="10">
        <f>IFERROR(__xludf.DUMMYFUNCTION("VALUE(REGEXEXTRACT(A8848, ""\d+""))"),13353.0)</f>
        <v>13353</v>
      </c>
    </row>
    <row r="8849">
      <c r="A8849" s="9" t="s">
        <v>29557</v>
      </c>
      <c r="B8849" s="9" t="s">
        <v>29558</v>
      </c>
      <c r="G8849" s="9" t="s">
        <v>29559</v>
      </c>
      <c r="O8849" s="10">
        <f>IFERROR(__xludf.DUMMYFUNCTION("VALUE(REGEXEXTRACT(A8849, ""\d+""))"),13354.0)</f>
        <v>13354</v>
      </c>
    </row>
    <row r="8850">
      <c r="A8850" s="9" t="s">
        <v>29560</v>
      </c>
      <c r="B8850" s="9" t="s">
        <v>29561</v>
      </c>
      <c r="G8850" s="9" t="s">
        <v>29562</v>
      </c>
      <c r="O8850" s="10">
        <f>IFERROR(__xludf.DUMMYFUNCTION("VALUE(REGEXEXTRACT(A8850, ""\d+""))"),13355.0)</f>
        <v>13355</v>
      </c>
    </row>
    <row r="8851">
      <c r="A8851" s="9" t="s">
        <v>29563</v>
      </c>
      <c r="B8851" s="9" t="s">
        <v>29564</v>
      </c>
      <c r="G8851" s="9" t="s">
        <v>29565</v>
      </c>
      <c r="O8851" s="10">
        <f>IFERROR(__xludf.DUMMYFUNCTION("VALUE(REGEXEXTRACT(A8851, ""\d+""))"),13356.0)</f>
        <v>13356</v>
      </c>
    </row>
    <row r="8852">
      <c r="A8852" s="9" t="s">
        <v>29566</v>
      </c>
      <c r="B8852" s="9" t="s">
        <v>29567</v>
      </c>
      <c r="G8852" s="9" t="s">
        <v>29567</v>
      </c>
      <c r="O8852" s="10">
        <f>IFERROR(__xludf.DUMMYFUNCTION("VALUE(REGEXEXTRACT(A8852, ""\d+""))"),13357.0)</f>
        <v>13357</v>
      </c>
    </row>
    <row r="8853">
      <c r="A8853" s="9" t="s">
        <v>29568</v>
      </c>
      <c r="B8853" s="9" t="s">
        <v>29569</v>
      </c>
      <c r="G8853" s="9" t="s">
        <v>29570</v>
      </c>
      <c r="O8853" s="10">
        <f>IFERROR(__xludf.DUMMYFUNCTION("VALUE(REGEXEXTRACT(A8853, ""\d+""))"),13358.0)</f>
        <v>13358</v>
      </c>
    </row>
    <row r="8854">
      <c r="A8854" s="9" t="s">
        <v>29571</v>
      </c>
      <c r="B8854" s="9" t="s">
        <v>29572</v>
      </c>
      <c r="G8854" s="9" t="s">
        <v>29573</v>
      </c>
      <c r="O8854" s="10">
        <f>IFERROR(__xludf.DUMMYFUNCTION("VALUE(REGEXEXTRACT(A8854, ""\d+""))"),13359.0)</f>
        <v>13359</v>
      </c>
    </row>
    <row r="8855">
      <c r="A8855" s="9" t="s">
        <v>29574</v>
      </c>
      <c r="B8855" s="9" t="s">
        <v>29575</v>
      </c>
      <c r="G8855" s="9" t="s">
        <v>29576</v>
      </c>
      <c r="O8855" s="10">
        <f>IFERROR(__xludf.DUMMYFUNCTION("VALUE(REGEXEXTRACT(A8855, ""\d+""))"),13361.0)</f>
        <v>13361</v>
      </c>
    </row>
    <row r="8856">
      <c r="A8856" s="9" t="s">
        <v>29577</v>
      </c>
      <c r="B8856" s="9" t="s">
        <v>29578</v>
      </c>
      <c r="G8856" s="9" t="s">
        <v>29579</v>
      </c>
      <c r="O8856" s="10">
        <f>IFERROR(__xludf.DUMMYFUNCTION("VALUE(REGEXEXTRACT(A8856, ""\d+""))"),13362.0)</f>
        <v>13362</v>
      </c>
    </row>
    <row r="8857">
      <c r="A8857" s="9" t="s">
        <v>29580</v>
      </c>
      <c r="B8857" s="9" t="s">
        <v>29581</v>
      </c>
      <c r="G8857" s="9" t="s">
        <v>29582</v>
      </c>
      <c r="O8857" s="10">
        <f>IFERROR(__xludf.DUMMYFUNCTION("VALUE(REGEXEXTRACT(A8857, ""\d+""))"),13363.0)</f>
        <v>13363</v>
      </c>
    </row>
    <row r="8858">
      <c r="A8858" s="9" t="s">
        <v>29583</v>
      </c>
      <c r="B8858" s="9" t="s">
        <v>29584</v>
      </c>
      <c r="G8858" s="9" t="s">
        <v>29585</v>
      </c>
      <c r="O8858" s="10">
        <f>IFERROR(__xludf.DUMMYFUNCTION("VALUE(REGEXEXTRACT(A8858, ""\d+""))"),13364.0)</f>
        <v>13364</v>
      </c>
    </row>
    <row r="8859">
      <c r="A8859" s="9" t="s">
        <v>29586</v>
      </c>
      <c r="B8859" s="9" t="s">
        <v>29587</v>
      </c>
      <c r="G8859" s="9" t="s">
        <v>29588</v>
      </c>
      <c r="O8859" s="10">
        <f>IFERROR(__xludf.DUMMYFUNCTION("VALUE(REGEXEXTRACT(A8859, ""\d+""))"),13365.0)</f>
        <v>13365</v>
      </c>
    </row>
    <row r="8860">
      <c r="A8860" s="9" t="s">
        <v>29589</v>
      </c>
      <c r="B8860" s="9" t="s">
        <v>29590</v>
      </c>
      <c r="G8860" s="9" t="s">
        <v>29591</v>
      </c>
      <c r="O8860" s="10">
        <f>IFERROR(__xludf.DUMMYFUNCTION("VALUE(REGEXEXTRACT(A8860, ""\d+""))"),13367.0)</f>
        <v>13367</v>
      </c>
    </row>
    <row r="8861">
      <c r="A8861" s="9" t="s">
        <v>29592</v>
      </c>
      <c r="B8861" s="9" t="s">
        <v>29593</v>
      </c>
      <c r="G8861" s="9" t="s">
        <v>29594</v>
      </c>
      <c r="O8861" s="10">
        <f>IFERROR(__xludf.DUMMYFUNCTION("VALUE(REGEXEXTRACT(A8861, ""\d+""))"),13368.0)</f>
        <v>13368</v>
      </c>
    </row>
    <row r="8862">
      <c r="A8862" s="9" t="s">
        <v>29595</v>
      </c>
      <c r="B8862" s="9" t="s">
        <v>29596</v>
      </c>
      <c r="G8862" s="9" t="s">
        <v>29597</v>
      </c>
      <c r="O8862" s="10">
        <f>IFERROR(__xludf.DUMMYFUNCTION("VALUE(REGEXEXTRACT(A8862, ""\d+""))"),13369.0)</f>
        <v>13369</v>
      </c>
    </row>
    <row r="8863">
      <c r="A8863" s="9" t="s">
        <v>29598</v>
      </c>
      <c r="B8863" s="9" t="s">
        <v>29599</v>
      </c>
      <c r="G8863" s="9" t="s">
        <v>29600</v>
      </c>
      <c r="O8863" s="10">
        <f>IFERROR(__xludf.DUMMYFUNCTION("VALUE(REGEXEXTRACT(A8863, ""\d+""))"),13370.0)</f>
        <v>13370</v>
      </c>
    </row>
    <row r="8864">
      <c r="A8864" s="9" t="s">
        <v>29601</v>
      </c>
      <c r="B8864" s="9" t="s">
        <v>29602</v>
      </c>
      <c r="G8864" s="9" t="s">
        <v>29603</v>
      </c>
      <c r="O8864" s="10">
        <f>IFERROR(__xludf.DUMMYFUNCTION("VALUE(REGEXEXTRACT(A8864, ""\d+""))"),13372.0)</f>
        <v>13372</v>
      </c>
    </row>
    <row r="8865">
      <c r="A8865" s="9" t="s">
        <v>29604</v>
      </c>
      <c r="B8865" s="9" t="s">
        <v>29605</v>
      </c>
      <c r="G8865" s="9" t="s">
        <v>29606</v>
      </c>
      <c r="O8865" s="10">
        <f>IFERROR(__xludf.DUMMYFUNCTION("VALUE(REGEXEXTRACT(A8865, ""\d+""))"),13373.0)</f>
        <v>13373</v>
      </c>
    </row>
    <row r="8866">
      <c r="A8866" s="9" t="s">
        <v>29607</v>
      </c>
      <c r="B8866" s="9" t="s">
        <v>29608</v>
      </c>
      <c r="G8866" s="9" t="s">
        <v>29609</v>
      </c>
      <c r="O8866" s="10">
        <f>IFERROR(__xludf.DUMMYFUNCTION("VALUE(REGEXEXTRACT(A8866, ""\d+""))"),13374.0)</f>
        <v>13374</v>
      </c>
    </row>
    <row r="8867">
      <c r="A8867" s="9" t="s">
        <v>29610</v>
      </c>
      <c r="B8867" s="9" t="s">
        <v>29596</v>
      </c>
      <c r="G8867" s="9" t="s">
        <v>29597</v>
      </c>
      <c r="O8867" s="10">
        <f>IFERROR(__xludf.DUMMYFUNCTION("VALUE(REGEXEXTRACT(A8867, ""\d+""))"),13376.0)</f>
        <v>13376</v>
      </c>
    </row>
    <row r="8868">
      <c r="A8868" s="9" t="s">
        <v>29611</v>
      </c>
      <c r="B8868" s="9" t="s">
        <v>29612</v>
      </c>
      <c r="G8868" s="9" t="s">
        <v>29613</v>
      </c>
      <c r="O8868" s="10">
        <f>IFERROR(__xludf.DUMMYFUNCTION("VALUE(REGEXEXTRACT(A8868, ""\d+""))"),13377.0)</f>
        <v>13377</v>
      </c>
    </row>
    <row r="8869">
      <c r="A8869" s="9" t="s">
        <v>29614</v>
      </c>
      <c r="B8869" s="9" t="s">
        <v>29615</v>
      </c>
      <c r="G8869" s="9" t="s">
        <v>29616</v>
      </c>
      <c r="O8869" s="10">
        <f>IFERROR(__xludf.DUMMYFUNCTION("VALUE(REGEXEXTRACT(A8869, ""\d+""))"),13378.0)</f>
        <v>13378</v>
      </c>
    </row>
    <row r="8870">
      <c r="A8870" s="9" t="s">
        <v>29617</v>
      </c>
      <c r="B8870" s="9" t="s">
        <v>29618</v>
      </c>
      <c r="G8870" s="9" t="s">
        <v>29591</v>
      </c>
      <c r="O8870" s="10">
        <f>IFERROR(__xludf.DUMMYFUNCTION("VALUE(REGEXEXTRACT(A8870, ""\d+""))"),13379.0)</f>
        <v>13379</v>
      </c>
    </row>
    <row r="8871">
      <c r="A8871" s="9" t="s">
        <v>29619</v>
      </c>
      <c r="B8871" s="9" t="s">
        <v>29620</v>
      </c>
      <c r="G8871" s="9" t="s">
        <v>29621</v>
      </c>
      <c r="O8871" s="10">
        <f>IFERROR(__xludf.DUMMYFUNCTION("VALUE(REGEXEXTRACT(A8871, ""\d+""))"),13380.0)</f>
        <v>13380</v>
      </c>
    </row>
    <row r="8872">
      <c r="A8872" s="9" t="s">
        <v>29622</v>
      </c>
      <c r="B8872" s="9" t="s">
        <v>29623</v>
      </c>
      <c r="G8872" s="9" t="s">
        <v>29621</v>
      </c>
      <c r="O8872" s="10">
        <f>IFERROR(__xludf.DUMMYFUNCTION("VALUE(REGEXEXTRACT(A8872, ""\d+""))"),13381.0)</f>
        <v>13381</v>
      </c>
    </row>
    <row r="8873">
      <c r="A8873" s="9" t="s">
        <v>29624</v>
      </c>
      <c r="B8873" s="9" t="s">
        <v>29625</v>
      </c>
      <c r="G8873" s="9" t="s">
        <v>29626</v>
      </c>
      <c r="O8873" s="10">
        <f>IFERROR(__xludf.DUMMYFUNCTION("VALUE(REGEXEXTRACT(A8873, ""\d+""))"),13382.0)</f>
        <v>13382</v>
      </c>
    </row>
    <row r="8874">
      <c r="A8874" s="9" t="s">
        <v>29627</v>
      </c>
      <c r="B8874" s="9" t="s">
        <v>29628</v>
      </c>
      <c r="G8874" s="9" t="s">
        <v>29629</v>
      </c>
      <c r="O8874" s="10">
        <f>IFERROR(__xludf.DUMMYFUNCTION("VALUE(REGEXEXTRACT(A8874, ""\d+""))"),13383.0)</f>
        <v>13383</v>
      </c>
    </row>
    <row r="8875">
      <c r="A8875" s="9" t="s">
        <v>29630</v>
      </c>
      <c r="B8875" s="9" t="s">
        <v>29631</v>
      </c>
      <c r="G8875" s="9" t="s">
        <v>29632</v>
      </c>
      <c r="O8875" s="10">
        <f>IFERROR(__xludf.DUMMYFUNCTION("VALUE(REGEXEXTRACT(A8875, ""\d+""))"),13384.0)</f>
        <v>13384</v>
      </c>
    </row>
    <row r="8876">
      <c r="A8876" s="9" t="s">
        <v>29633</v>
      </c>
      <c r="B8876" s="9" t="s">
        <v>29634</v>
      </c>
      <c r="G8876" s="9" t="s">
        <v>29635</v>
      </c>
      <c r="O8876" s="10">
        <f>IFERROR(__xludf.DUMMYFUNCTION("VALUE(REGEXEXTRACT(A8876, ""\d+""))"),13385.0)</f>
        <v>13385</v>
      </c>
    </row>
    <row r="8877">
      <c r="A8877" s="9" t="s">
        <v>29636</v>
      </c>
      <c r="B8877" s="9" t="s">
        <v>29637</v>
      </c>
      <c r="G8877" s="9" t="s">
        <v>29638</v>
      </c>
      <c r="O8877" s="10">
        <f>IFERROR(__xludf.DUMMYFUNCTION("VALUE(REGEXEXTRACT(A8877, ""\d+""))"),13386.0)</f>
        <v>13386</v>
      </c>
    </row>
    <row r="8878">
      <c r="A8878" s="9" t="s">
        <v>29639</v>
      </c>
      <c r="B8878" s="9" t="s">
        <v>29640</v>
      </c>
      <c r="G8878" s="9" t="s">
        <v>29641</v>
      </c>
      <c r="O8878" s="10">
        <f>IFERROR(__xludf.DUMMYFUNCTION("VALUE(REGEXEXTRACT(A8878, ""\d+""))"),13387.0)</f>
        <v>13387</v>
      </c>
    </row>
    <row r="8879">
      <c r="A8879" s="9" t="s">
        <v>29642</v>
      </c>
      <c r="B8879" s="9" t="s">
        <v>29643</v>
      </c>
      <c r="G8879" s="9" t="s">
        <v>29644</v>
      </c>
      <c r="O8879" s="10">
        <f>IFERROR(__xludf.DUMMYFUNCTION("VALUE(REGEXEXTRACT(A8879, ""\d+""))"),13388.0)</f>
        <v>13388</v>
      </c>
    </row>
    <row r="8880">
      <c r="A8880" s="9" t="s">
        <v>29645</v>
      </c>
      <c r="B8880" s="9" t="s">
        <v>29646</v>
      </c>
      <c r="G8880" s="9" t="s">
        <v>29591</v>
      </c>
      <c r="O8880" s="10">
        <f>IFERROR(__xludf.DUMMYFUNCTION("VALUE(REGEXEXTRACT(A8880, ""\d+""))"),13389.0)</f>
        <v>13389</v>
      </c>
    </row>
    <row r="8881">
      <c r="A8881" s="9" t="s">
        <v>29647</v>
      </c>
      <c r="B8881" s="9" t="s">
        <v>29648</v>
      </c>
      <c r="G8881" s="9" t="s">
        <v>29649</v>
      </c>
      <c r="O8881" s="10">
        <f>IFERROR(__xludf.DUMMYFUNCTION("VALUE(REGEXEXTRACT(A8881, ""\d+""))"),13390.0)</f>
        <v>13390</v>
      </c>
    </row>
    <row r="8882">
      <c r="A8882" s="9" t="s">
        <v>29650</v>
      </c>
      <c r="B8882" s="9" t="s">
        <v>29651</v>
      </c>
      <c r="G8882" s="9" t="s">
        <v>29652</v>
      </c>
      <c r="O8882" s="10">
        <f>IFERROR(__xludf.DUMMYFUNCTION("VALUE(REGEXEXTRACT(A8882, ""\d+""))"),13391.0)</f>
        <v>13391</v>
      </c>
    </row>
    <row r="8883">
      <c r="A8883" s="9" t="s">
        <v>29653</v>
      </c>
      <c r="B8883" s="9" t="s">
        <v>29654</v>
      </c>
      <c r="G8883" s="9" t="s">
        <v>29655</v>
      </c>
      <c r="O8883" s="10">
        <f>IFERROR(__xludf.DUMMYFUNCTION("VALUE(REGEXEXTRACT(A8883, ""\d+""))"),13392.0)</f>
        <v>13392</v>
      </c>
    </row>
    <row r="8884">
      <c r="A8884" s="9" t="s">
        <v>29656</v>
      </c>
      <c r="B8884" s="9" t="s">
        <v>29657</v>
      </c>
      <c r="G8884" s="9" t="s">
        <v>29658</v>
      </c>
      <c r="O8884" s="10">
        <f>IFERROR(__xludf.DUMMYFUNCTION("VALUE(REGEXEXTRACT(A8884, ""\d+""))"),13393.0)</f>
        <v>13393</v>
      </c>
    </row>
    <row r="8885">
      <c r="A8885" s="9" t="s">
        <v>29659</v>
      </c>
      <c r="B8885" s="9" t="s">
        <v>29660</v>
      </c>
      <c r="G8885" s="9" t="s">
        <v>29661</v>
      </c>
      <c r="O8885" s="10">
        <f>IFERROR(__xludf.DUMMYFUNCTION("VALUE(REGEXEXTRACT(A8885, ""\d+""))"),13394.0)</f>
        <v>13394</v>
      </c>
    </row>
    <row r="8886">
      <c r="A8886" s="9" t="s">
        <v>29662</v>
      </c>
      <c r="B8886" s="9" t="s">
        <v>29663</v>
      </c>
      <c r="G8886" s="9" t="s">
        <v>29664</v>
      </c>
      <c r="O8886" s="10">
        <f>IFERROR(__xludf.DUMMYFUNCTION("VALUE(REGEXEXTRACT(A8886, ""\d+""))"),13395.0)</f>
        <v>13395</v>
      </c>
    </row>
    <row r="8887">
      <c r="A8887" s="9" t="s">
        <v>29665</v>
      </c>
      <c r="B8887" s="9" t="s">
        <v>29666</v>
      </c>
      <c r="G8887" s="9" t="s">
        <v>29667</v>
      </c>
      <c r="O8887" s="10">
        <f>IFERROR(__xludf.DUMMYFUNCTION("VALUE(REGEXEXTRACT(A8887, ""\d+""))"),13396.0)</f>
        <v>13396</v>
      </c>
    </row>
    <row r="8888">
      <c r="A8888" s="9" t="s">
        <v>29668</v>
      </c>
      <c r="B8888" s="9" t="s">
        <v>29669</v>
      </c>
      <c r="G8888" s="9" t="s">
        <v>2123</v>
      </c>
      <c r="O8888" s="10">
        <f>IFERROR(__xludf.DUMMYFUNCTION("VALUE(REGEXEXTRACT(A8888, ""\d+""))"),13397.0)</f>
        <v>13397</v>
      </c>
    </row>
    <row r="8889">
      <c r="A8889" s="9" t="s">
        <v>29670</v>
      </c>
      <c r="B8889" s="9" t="s">
        <v>29671</v>
      </c>
      <c r="G8889" s="9" t="s">
        <v>29672</v>
      </c>
      <c r="O8889" s="10">
        <f>IFERROR(__xludf.DUMMYFUNCTION("VALUE(REGEXEXTRACT(A8889, ""\d+""))"),13398.0)</f>
        <v>13398</v>
      </c>
    </row>
    <row r="8890">
      <c r="A8890" s="9" t="s">
        <v>29673</v>
      </c>
      <c r="B8890" s="9" t="s">
        <v>29674</v>
      </c>
      <c r="G8890" s="9" t="s">
        <v>29675</v>
      </c>
      <c r="O8890" s="10">
        <f>IFERROR(__xludf.DUMMYFUNCTION("VALUE(REGEXEXTRACT(A8890, ""\d+""))"),13399.0)</f>
        <v>13399</v>
      </c>
    </row>
    <row r="8891">
      <c r="A8891" s="9" t="s">
        <v>29676</v>
      </c>
      <c r="B8891" s="9" t="s">
        <v>29677</v>
      </c>
      <c r="G8891" s="9" t="s">
        <v>29678</v>
      </c>
      <c r="O8891" s="10">
        <f>IFERROR(__xludf.DUMMYFUNCTION("VALUE(REGEXEXTRACT(A8891, ""\d+""))"),13400.0)</f>
        <v>13400</v>
      </c>
    </row>
    <row r="8892">
      <c r="A8892" s="9" t="s">
        <v>29679</v>
      </c>
      <c r="B8892" s="9" t="s">
        <v>29680</v>
      </c>
      <c r="G8892" s="9" t="s">
        <v>29681</v>
      </c>
      <c r="O8892" s="10">
        <f>IFERROR(__xludf.DUMMYFUNCTION("VALUE(REGEXEXTRACT(A8892, ""\d+""))"),13401.0)</f>
        <v>13401</v>
      </c>
    </row>
    <row r="8893">
      <c r="A8893" s="9" t="s">
        <v>29682</v>
      </c>
      <c r="B8893" s="9" t="s">
        <v>29683</v>
      </c>
      <c r="G8893" s="9" t="s">
        <v>29683</v>
      </c>
      <c r="O8893" s="10">
        <f>IFERROR(__xludf.DUMMYFUNCTION("VALUE(REGEXEXTRACT(A8893, ""\d+""))"),13402.0)</f>
        <v>13402</v>
      </c>
    </row>
    <row r="8894">
      <c r="A8894" s="9" t="s">
        <v>29684</v>
      </c>
      <c r="B8894" s="9" t="s">
        <v>29685</v>
      </c>
      <c r="G8894" s="9" t="s">
        <v>29685</v>
      </c>
      <c r="O8894" s="10">
        <f>IFERROR(__xludf.DUMMYFUNCTION("VALUE(REGEXEXTRACT(A8894, ""\d+""))"),13403.0)</f>
        <v>13403</v>
      </c>
    </row>
    <row r="8895">
      <c r="A8895" s="9" t="s">
        <v>29686</v>
      </c>
      <c r="B8895" s="9" t="s">
        <v>29687</v>
      </c>
      <c r="G8895" s="9" t="s">
        <v>29687</v>
      </c>
      <c r="O8895" s="10">
        <f>IFERROR(__xludf.DUMMYFUNCTION("VALUE(REGEXEXTRACT(A8895, ""\d+""))"),13404.0)</f>
        <v>13404</v>
      </c>
    </row>
    <row r="8896">
      <c r="A8896" s="9" t="s">
        <v>29688</v>
      </c>
      <c r="B8896" s="9" t="s">
        <v>29689</v>
      </c>
      <c r="G8896" s="9" t="s">
        <v>29690</v>
      </c>
      <c r="O8896" s="10">
        <f>IFERROR(__xludf.DUMMYFUNCTION("VALUE(REGEXEXTRACT(A8896, ""\d+""))"),13405.0)</f>
        <v>13405</v>
      </c>
    </row>
    <row r="8897">
      <c r="A8897" s="9" t="s">
        <v>29691</v>
      </c>
      <c r="B8897" s="9" t="s">
        <v>29689</v>
      </c>
      <c r="G8897" s="9" t="s">
        <v>29690</v>
      </c>
      <c r="O8897" s="10">
        <f>IFERROR(__xludf.DUMMYFUNCTION("VALUE(REGEXEXTRACT(A8897, ""\d+""))"),13406.0)</f>
        <v>13406</v>
      </c>
    </row>
    <row r="8898">
      <c r="A8898" s="9" t="s">
        <v>29692</v>
      </c>
      <c r="B8898" s="9" t="s">
        <v>29689</v>
      </c>
      <c r="G8898" s="9" t="s">
        <v>29690</v>
      </c>
      <c r="O8898" s="10">
        <f>IFERROR(__xludf.DUMMYFUNCTION("VALUE(REGEXEXTRACT(A8898, ""\d+""))"),13407.0)</f>
        <v>13407</v>
      </c>
    </row>
    <row r="8899">
      <c r="A8899" s="9" t="s">
        <v>29693</v>
      </c>
      <c r="B8899" s="9" t="s">
        <v>29689</v>
      </c>
      <c r="G8899" s="9" t="s">
        <v>29690</v>
      </c>
      <c r="O8899" s="10">
        <f>IFERROR(__xludf.DUMMYFUNCTION("VALUE(REGEXEXTRACT(A8899, ""\d+""))"),13408.0)</f>
        <v>13408</v>
      </c>
    </row>
    <row r="8900">
      <c r="A8900" s="9" t="s">
        <v>29694</v>
      </c>
      <c r="B8900" s="9" t="s">
        <v>29689</v>
      </c>
      <c r="G8900" s="9" t="s">
        <v>29690</v>
      </c>
      <c r="O8900" s="10">
        <f>IFERROR(__xludf.DUMMYFUNCTION("VALUE(REGEXEXTRACT(A8900, ""\d+""))"),13409.0)</f>
        <v>13409</v>
      </c>
    </row>
    <row r="8901">
      <c r="A8901" s="9" t="s">
        <v>29695</v>
      </c>
      <c r="B8901" s="9" t="s">
        <v>29696</v>
      </c>
      <c r="G8901" s="9" t="s">
        <v>29697</v>
      </c>
      <c r="O8901" s="10">
        <f>IFERROR(__xludf.DUMMYFUNCTION("VALUE(REGEXEXTRACT(A8901, ""\d+""))"),13410.0)</f>
        <v>13410</v>
      </c>
    </row>
    <row r="8902">
      <c r="A8902" s="9" t="s">
        <v>29698</v>
      </c>
      <c r="B8902" s="9" t="s">
        <v>29699</v>
      </c>
      <c r="G8902" s="9" t="s">
        <v>29700</v>
      </c>
      <c r="O8902" s="10">
        <f>IFERROR(__xludf.DUMMYFUNCTION("VALUE(REGEXEXTRACT(A8902, ""\d+""))"),13411.0)</f>
        <v>13411</v>
      </c>
    </row>
    <row r="8903">
      <c r="A8903" s="9" t="s">
        <v>29701</v>
      </c>
      <c r="B8903" s="9" t="s">
        <v>29702</v>
      </c>
      <c r="G8903" s="9" t="s">
        <v>29703</v>
      </c>
      <c r="O8903" s="10">
        <f>IFERROR(__xludf.DUMMYFUNCTION("VALUE(REGEXEXTRACT(A8903, ""\d+""))"),13412.0)</f>
        <v>13412</v>
      </c>
    </row>
    <row r="8904">
      <c r="A8904" s="9" t="s">
        <v>29704</v>
      </c>
      <c r="B8904" s="9" t="s">
        <v>29705</v>
      </c>
      <c r="G8904" s="9" t="s">
        <v>29706</v>
      </c>
      <c r="O8904" s="10">
        <f>IFERROR(__xludf.DUMMYFUNCTION("VALUE(REGEXEXTRACT(A8904, ""\d+""))"),13413.0)</f>
        <v>13413</v>
      </c>
    </row>
    <row r="8905">
      <c r="A8905" s="9" t="s">
        <v>29707</v>
      </c>
      <c r="B8905" s="9" t="s">
        <v>29708</v>
      </c>
      <c r="G8905" s="9" t="s">
        <v>29709</v>
      </c>
      <c r="O8905" s="10">
        <f>IFERROR(__xludf.DUMMYFUNCTION("VALUE(REGEXEXTRACT(A8905, ""\d+""))"),13414.0)</f>
        <v>13414</v>
      </c>
    </row>
    <row r="8906">
      <c r="A8906" s="9" t="s">
        <v>29710</v>
      </c>
      <c r="B8906" s="9" t="s">
        <v>29711</v>
      </c>
      <c r="G8906" s="9" t="s">
        <v>29712</v>
      </c>
      <c r="O8906" s="10">
        <f>IFERROR(__xludf.DUMMYFUNCTION("VALUE(REGEXEXTRACT(A8906, ""\d+""))"),13415.0)</f>
        <v>13415</v>
      </c>
    </row>
    <row r="8907">
      <c r="A8907" s="9" t="s">
        <v>29713</v>
      </c>
      <c r="B8907" s="9" t="s">
        <v>29714</v>
      </c>
      <c r="G8907" s="9" t="s">
        <v>29715</v>
      </c>
      <c r="O8907" s="10">
        <f>IFERROR(__xludf.DUMMYFUNCTION("VALUE(REGEXEXTRACT(A8907, ""\d+""))"),13416.0)</f>
        <v>13416</v>
      </c>
    </row>
    <row r="8908">
      <c r="A8908" s="9" t="s">
        <v>29716</v>
      </c>
      <c r="B8908" s="9" t="s">
        <v>29717</v>
      </c>
      <c r="G8908" s="9" t="s">
        <v>29718</v>
      </c>
      <c r="O8908" s="10">
        <f>IFERROR(__xludf.DUMMYFUNCTION("VALUE(REGEXEXTRACT(A8908, ""\d+""))"),13417.0)</f>
        <v>13417</v>
      </c>
    </row>
    <row r="8909">
      <c r="A8909" s="9" t="s">
        <v>29719</v>
      </c>
      <c r="B8909" s="9" t="s">
        <v>29720</v>
      </c>
      <c r="G8909" s="9" t="s">
        <v>29721</v>
      </c>
      <c r="O8909" s="10">
        <f>IFERROR(__xludf.DUMMYFUNCTION("VALUE(REGEXEXTRACT(A8909, ""\d+""))"),13418.0)</f>
        <v>13418</v>
      </c>
    </row>
    <row r="8910">
      <c r="A8910" s="9" t="s">
        <v>29722</v>
      </c>
      <c r="B8910" s="9" t="s">
        <v>29723</v>
      </c>
      <c r="G8910" s="9" t="s">
        <v>29724</v>
      </c>
      <c r="O8910" s="10">
        <f>IFERROR(__xludf.DUMMYFUNCTION("VALUE(REGEXEXTRACT(A8910, ""\d+""))"),13419.0)</f>
        <v>13419</v>
      </c>
    </row>
    <row r="8911">
      <c r="A8911" s="9" t="s">
        <v>29725</v>
      </c>
      <c r="B8911" s="9" t="s">
        <v>29726</v>
      </c>
      <c r="G8911" s="9" t="s">
        <v>29727</v>
      </c>
      <c r="O8911" s="10">
        <f>IFERROR(__xludf.DUMMYFUNCTION("VALUE(REGEXEXTRACT(A8911, ""\d+""))"),13420.0)</f>
        <v>13420</v>
      </c>
    </row>
    <row r="8912">
      <c r="A8912" s="9" t="s">
        <v>29728</v>
      </c>
      <c r="B8912" s="9" t="s">
        <v>29729</v>
      </c>
      <c r="G8912" s="9" t="s">
        <v>29730</v>
      </c>
      <c r="O8912" s="10">
        <f>IFERROR(__xludf.DUMMYFUNCTION("VALUE(REGEXEXTRACT(A8912, ""\d+""))"),13421.0)</f>
        <v>13421</v>
      </c>
    </row>
    <row r="8913">
      <c r="A8913" s="9" t="s">
        <v>29731</v>
      </c>
      <c r="B8913" s="9" t="s">
        <v>29732</v>
      </c>
      <c r="G8913" s="9" t="s">
        <v>29733</v>
      </c>
      <c r="O8913" s="10">
        <f>IFERROR(__xludf.DUMMYFUNCTION("VALUE(REGEXEXTRACT(A8913, ""\d+""))"),13422.0)</f>
        <v>13422</v>
      </c>
    </row>
    <row r="8914">
      <c r="A8914" s="9" t="s">
        <v>29734</v>
      </c>
      <c r="B8914" s="9" t="s">
        <v>29735</v>
      </c>
      <c r="G8914" s="9" t="s">
        <v>29736</v>
      </c>
      <c r="O8914" s="10">
        <f>IFERROR(__xludf.DUMMYFUNCTION("VALUE(REGEXEXTRACT(A8914, ""\d+""))"),13423.0)</f>
        <v>13423</v>
      </c>
    </row>
    <row r="8915">
      <c r="A8915" s="9" t="s">
        <v>29737</v>
      </c>
      <c r="B8915" s="9" t="s">
        <v>29738</v>
      </c>
      <c r="G8915" s="9" t="s">
        <v>29739</v>
      </c>
      <c r="O8915" s="10">
        <f>IFERROR(__xludf.DUMMYFUNCTION("VALUE(REGEXEXTRACT(A8915, ""\d+""))"),13424.0)</f>
        <v>13424</v>
      </c>
    </row>
    <row r="8916">
      <c r="A8916" s="9" t="s">
        <v>29740</v>
      </c>
      <c r="B8916" s="9" t="s">
        <v>29741</v>
      </c>
      <c r="G8916" s="9" t="s">
        <v>29742</v>
      </c>
      <c r="O8916" s="10">
        <f>IFERROR(__xludf.DUMMYFUNCTION("VALUE(REGEXEXTRACT(A8916, ""\d+""))"),13425.0)</f>
        <v>13425</v>
      </c>
    </row>
    <row r="8917">
      <c r="A8917" s="9" t="s">
        <v>29743</v>
      </c>
      <c r="B8917" s="9" t="s">
        <v>29744</v>
      </c>
      <c r="G8917" s="9" t="s">
        <v>29745</v>
      </c>
      <c r="O8917" s="10">
        <f>IFERROR(__xludf.DUMMYFUNCTION("VALUE(REGEXEXTRACT(A8917, ""\d+""))"),13426.0)</f>
        <v>13426</v>
      </c>
    </row>
    <row r="8918">
      <c r="A8918" s="9" t="s">
        <v>29746</v>
      </c>
      <c r="B8918" s="9" t="s">
        <v>29747</v>
      </c>
      <c r="G8918" s="9" t="s">
        <v>29748</v>
      </c>
      <c r="O8918" s="10">
        <f>IFERROR(__xludf.DUMMYFUNCTION("VALUE(REGEXEXTRACT(A8918, ""\d+""))"),13427.0)</f>
        <v>13427</v>
      </c>
    </row>
    <row r="8919">
      <c r="A8919" s="9" t="s">
        <v>29749</v>
      </c>
      <c r="B8919" s="9" t="s">
        <v>29750</v>
      </c>
      <c r="G8919" s="9" t="s">
        <v>29751</v>
      </c>
      <c r="O8919" s="10">
        <f>IFERROR(__xludf.DUMMYFUNCTION("VALUE(REGEXEXTRACT(A8919, ""\d+""))"),13428.0)</f>
        <v>13428</v>
      </c>
    </row>
    <row r="8920">
      <c r="A8920" s="9" t="s">
        <v>29752</v>
      </c>
      <c r="B8920" s="9" t="s">
        <v>29753</v>
      </c>
      <c r="G8920" s="9" t="s">
        <v>29754</v>
      </c>
      <c r="O8920" s="10">
        <f>IFERROR(__xludf.DUMMYFUNCTION("VALUE(REGEXEXTRACT(A8920, ""\d+""))"),13429.0)</f>
        <v>13429</v>
      </c>
    </row>
    <row r="8921">
      <c r="A8921" s="9" t="s">
        <v>29755</v>
      </c>
      <c r="B8921" s="9" t="s">
        <v>29756</v>
      </c>
      <c r="G8921" s="9" t="s">
        <v>29757</v>
      </c>
      <c r="O8921" s="10">
        <f>IFERROR(__xludf.DUMMYFUNCTION("VALUE(REGEXEXTRACT(A8921, ""\d+""))"),13430.0)</f>
        <v>13430</v>
      </c>
    </row>
    <row r="8922">
      <c r="A8922" s="9" t="s">
        <v>29758</v>
      </c>
      <c r="B8922" s="9" t="s">
        <v>29759</v>
      </c>
      <c r="G8922" s="9" t="s">
        <v>29760</v>
      </c>
      <c r="O8922" s="10">
        <f>IFERROR(__xludf.DUMMYFUNCTION("VALUE(REGEXEXTRACT(A8922, ""\d+""))"),13431.0)</f>
        <v>13431</v>
      </c>
    </row>
    <row r="8923">
      <c r="A8923" s="9" t="s">
        <v>29761</v>
      </c>
      <c r="B8923" s="9" t="s">
        <v>29762</v>
      </c>
      <c r="G8923" s="9" t="s">
        <v>29763</v>
      </c>
      <c r="O8923" s="10">
        <f>IFERROR(__xludf.DUMMYFUNCTION("VALUE(REGEXEXTRACT(A8923, ""\d+""))"),13432.0)</f>
        <v>13432</v>
      </c>
    </row>
    <row r="8924">
      <c r="A8924" s="9" t="s">
        <v>29764</v>
      </c>
      <c r="B8924" s="9" t="s">
        <v>29765</v>
      </c>
      <c r="G8924" s="9" t="s">
        <v>29766</v>
      </c>
      <c r="O8924" s="10">
        <f>IFERROR(__xludf.DUMMYFUNCTION("VALUE(REGEXEXTRACT(A8924, ""\d+""))"),13433.0)</f>
        <v>13433</v>
      </c>
    </row>
    <row r="8925">
      <c r="A8925" s="9" t="s">
        <v>29767</v>
      </c>
      <c r="B8925" s="9" t="s">
        <v>29768</v>
      </c>
      <c r="G8925" s="9" t="s">
        <v>29769</v>
      </c>
      <c r="O8925" s="10">
        <f>IFERROR(__xludf.DUMMYFUNCTION("VALUE(REGEXEXTRACT(A8925, ""\d+""))"),13434.0)</f>
        <v>13434</v>
      </c>
    </row>
    <row r="8926">
      <c r="A8926" s="9" t="s">
        <v>29770</v>
      </c>
      <c r="B8926" s="9" t="s">
        <v>29771</v>
      </c>
      <c r="G8926" s="9" t="s">
        <v>29772</v>
      </c>
      <c r="O8926" s="10">
        <f>IFERROR(__xludf.DUMMYFUNCTION("VALUE(REGEXEXTRACT(A8926, ""\d+""))"),13435.0)</f>
        <v>13435</v>
      </c>
    </row>
    <row r="8927">
      <c r="A8927" s="9" t="s">
        <v>29773</v>
      </c>
      <c r="B8927" s="9" t="s">
        <v>29774</v>
      </c>
      <c r="G8927" s="9" t="s">
        <v>29775</v>
      </c>
      <c r="O8927" s="10">
        <f>IFERROR(__xludf.DUMMYFUNCTION("VALUE(REGEXEXTRACT(A8927, ""\d+""))"),13436.0)</f>
        <v>13436</v>
      </c>
    </row>
    <row r="8928">
      <c r="A8928" s="9" t="s">
        <v>29776</v>
      </c>
      <c r="B8928" s="9" t="s">
        <v>29777</v>
      </c>
      <c r="G8928" s="9" t="s">
        <v>29778</v>
      </c>
      <c r="O8928" s="10">
        <f>IFERROR(__xludf.DUMMYFUNCTION("VALUE(REGEXEXTRACT(A8928, ""\d+""))"),13438.0)</f>
        <v>13438</v>
      </c>
    </row>
    <row r="8929">
      <c r="A8929" s="9" t="s">
        <v>29779</v>
      </c>
      <c r="B8929" s="9" t="s">
        <v>29780</v>
      </c>
      <c r="G8929" s="9" t="s">
        <v>29781</v>
      </c>
      <c r="O8929" s="10">
        <f>IFERROR(__xludf.DUMMYFUNCTION("VALUE(REGEXEXTRACT(A8929, ""\d+""))"),13439.0)</f>
        <v>13439</v>
      </c>
    </row>
    <row r="8930">
      <c r="A8930" s="9" t="s">
        <v>29782</v>
      </c>
      <c r="B8930" s="9" t="s">
        <v>29783</v>
      </c>
      <c r="G8930" s="9" t="s">
        <v>29784</v>
      </c>
      <c r="O8930" s="10">
        <f>IFERROR(__xludf.DUMMYFUNCTION("VALUE(REGEXEXTRACT(A8930, ""\d+""))"),13440.0)</f>
        <v>13440</v>
      </c>
    </row>
    <row r="8931">
      <c r="A8931" s="9" t="s">
        <v>29785</v>
      </c>
      <c r="B8931" s="9" t="s">
        <v>29786</v>
      </c>
      <c r="G8931" s="9" t="s">
        <v>29787</v>
      </c>
      <c r="O8931" s="10">
        <f>IFERROR(__xludf.DUMMYFUNCTION("VALUE(REGEXEXTRACT(A8931, ""\d+""))"),13441.0)</f>
        <v>13441</v>
      </c>
    </row>
    <row r="8932">
      <c r="A8932" s="9" t="s">
        <v>29788</v>
      </c>
      <c r="B8932" s="9" t="s">
        <v>29789</v>
      </c>
      <c r="G8932" s="9" t="s">
        <v>29790</v>
      </c>
      <c r="O8932" s="10">
        <f>IFERROR(__xludf.DUMMYFUNCTION("VALUE(REGEXEXTRACT(A8932, ""\d+""))"),13442.0)</f>
        <v>13442</v>
      </c>
    </row>
    <row r="8933">
      <c r="A8933" s="9" t="s">
        <v>29791</v>
      </c>
      <c r="B8933" s="9" t="s">
        <v>29792</v>
      </c>
      <c r="G8933" s="9" t="s">
        <v>29793</v>
      </c>
      <c r="O8933" s="10">
        <f>IFERROR(__xludf.DUMMYFUNCTION("VALUE(REGEXEXTRACT(A8933, ""\d+""))"),13443.0)</f>
        <v>13443</v>
      </c>
    </row>
    <row r="8934">
      <c r="A8934" s="9" t="s">
        <v>29794</v>
      </c>
      <c r="B8934" s="9" t="s">
        <v>29795</v>
      </c>
      <c r="G8934" s="9" t="s">
        <v>29796</v>
      </c>
      <c r="O8934" s="10">
        <f>IFERROR(__xludf.DUMMYFUNCTION("VALUE(REGEXEXTRACT(A8934, ""\d+""))"),13444.0)</f>
        <v>13444</v>
      </c>
    </row>
    <row r="8935">
      <c r="A8935" s="9" t="s">
        <v>29797</v>
      </c>
      <c r="B8935" s="9" t="s">
        <v>29798</v>
      </c>
      <c r="G8935" s="9" t="s">
        <v>29799</v>
      </c>
      <c r="O8935" s="10">
        <f>IFERROR(__xludf.DUMMYFUNCTION("VALUE(REGEXEXTRACT(A8935, ""\d+""))"),13445.0)</f>
        <v>13445</v>
      </c>
    </row>
    <row r="8936">
      <c r="A8936" s="9" t="s">
        <v>29800</v>
      </c>
      <c r="B8936" s="9" t="s">
        <v>29801</v>
      </c>
      <c r="G8936" s="9" t="s">
        <v>29802</v>
      </c>
      <c r="O8936" s="10">
        <f>IFERROR(__xludf.DUMMYFUNCTION("VALUE(REGEXEXTRACT(A8936, ""\d+""))"),13446.0)</f>
        <v>13446</v>
      </c>
    </row>
    <row r="8937">
      <c r="A8937" s="9" t="s">
        <v>29803</v>
      </c>
      <c r="B8937" s="9" t="s">
        <v>29804</v>
      </c>
      <c r="G8937" s="9" t="s">
        <v>29805</v>
      </c>
      <c r="O8937" s="10">
        <f>IFERROR(__xludf.DUMMYFUNCTION("VALUE(REGEXEXTRACT(A8937, ""\d+""))"),13447.0)</f>
        <v>13447</v>
      </c>
    </row>
    <row r="8938">
      <c r="A8938" s="9" t="s">
        <v>29806</v>
      </c>
      <c r="B8938" s="9" t="s">
        <v>29807</v>
      </c>
      <c r="G8938" s="9" t="s">
        <v>29808</v>
      </c>
      <c r="O8938" s="10">
        <f>IFERROR(__xludf.DUMMYFUNCTION("VALUE(REGEXEXTRACT(A8938, ""\d+""))"),13448.0)</f>
        <v>13448</v>
      </c>
    </row>
    <row r="8939">
      <c r="A8939" s="9" t="s">
        <v>29809</v>
      </c>
      <c r="B8939" s="9" t="s">
        <v>29810</v>
      </c>
      <c r="G8939" s="9" t="s">
        <v>29811</v>
      </c>
      <c r="O8939" s="10">
        <f>IFERROR(__xludf.DUMMYFUNCTION("VALUE(REGEXEXTRACT(A8939, ""\d+""))"),13449.0)</f>
        <v>13449</v>
      </c>
    </row>
    <row r="8940">
      <c r="A8940" s="9" t="s">
        <v>29812</v>
      </c>
      <c r="B8940" s="9" t="s">
        <v>29813</v>
      </c>
      <c r="G8940" s="9" t="s">
        <v>29814</v>
      </c>
      <c r="O8940" s="10">
        <f>IFERROR(__xludf.DUMMYFUNCTION("VALUE(REGEXEXTRACT(A8940, ""\d+""))"),13450.0)</f>
        <v>13450</v>
      </c>
    </row>
    <row r="8941">
      <c r="A8941" s="9" t="s">
        <v>29815</v>
      </c>
      <c r="B8941" s="9" t="s">
        <v>29816</v>
      </c>
      <c r="G8941" s="9" t="s">
        <v>29817</v>
      </c>
      <c r="O8941" s="10">
        <f>IFERROR(__xludf.DUMMYFUNCTION("VALUE(REGEXEXTRACT(A8941, ""\d+""))"),13451.0)</f>
        <v>13451</v>
      </c>
    </row>
    <row r="8942">
      <c r="A8942" s="9" t="s">
        <v>29818</v>
      </c>
      <c r="B8942" s="9" t="s">
        <v>29819</v>
      </c>
      <c r="G8942" s="9" t="s">
        <v>29820</v>
      </c>
      <c r="O8942" s="10">
        <f>IFERROR(__xludf.DUMMYFUNCTION("VALUE(REGEXEXTRACT(A8942, ""\d+""))"),13452.0)</f>
        <v>13452</v>
      </c>
    </row>
    <row r="8943">
      <c r="A8943" s="9" t="s">
        <v>29821</v>
      </c>
      <c r="B8943" s="9" t="s">
        <v>29822</v>
      </c>
      <c r="G8943" s="9" t="s">
        <v>29823</v>
      </c>
      <c r="O8943" s="10">
        <f>IFERROR(__xludf.DUMMYFUNCTION("VALUE(REGEXEXTRACT(A8943, ""\d+""))"),13454.0)</f>
        <v>13454</v>
      </c>
    </row>
    <row r="8944">
      <c r="A8944" s="9" t="s">
        <v>29824</v>
      </c>
      <c r="B8944" s="9" t="s">
        <v>29825</v>
      </c>
      <c r="G8944" s="9" t="s">
        <v>29826</v>
      </c>
      <c r="O8944" s="10">
        <f>IFERROR(__xludf.DUMMYFUNCTION("VALUE(REGEXEXTRACT(A8944, ""\d+""))"),13455.0)</f>
        <v>13455</v>
      </c>
    </row>
    <row r="8945">
      <c r="A8945" s="9" t="s">
        <v>29827</v>
      </c>
      <c r="B8945" s="9" t="s">
        <v>29828</v>
      </c>
      <c r="G8945" s="9" t="s">
        <v>29829</v>
      </c>
      <c r="O8945" s="10">
        <f>IFERROR(__xludf.DUMMYFUNCTION("VALUE(REGEXEXTRACT(A8945, ""\d+""))"),13456.0)</f>
        <v>13456</v>
      </c>
    </row>
    <row r="8946">
      <c r="A8946" s="9" t="s">
        <v>29830</v>
      </c>
      <c r="B8946" s="9" t="s">
        <v>29831</v>
      </c>
      <c r="G8946" s="9" t="s">
        <v>29832</v>
      </c>
      <c r="O8946" s="10">
        <f>IFERROR(__xludf.DUMMYFUNCTION("VALUE(REGEXEXTRACT(A8946, ""\d+""))"),13457.0)</f>
        <v>13457</v>
      </c>
    </row>
    <row r="8947">
      <c r="A8947" s="9" t="s">
        <v>29833</v>
      </c>
      <c r="B8947" s="9" t="s">
        <v>29834</v>
      </c>
      <c r="G8947" s="9" t="s">
        <v>29835</v>
      </c>
      <c r="O8947" s="10">
        <f>IFERROR(__xludf.DUMMYFUNCTION("VALUE(REGEXEXTRACT(A8947, ""\d+""))"),13458.0)</f>
        <v>13458</v>
      </c>
    </row>
    <row r="8948">
      <c r="A8948" s="9" t="s">
        <v>29836</v>
      </c>
      <c r="B8948" s="9" t="s">
        <v>29837</v>
      </c>
      <c r="G8948" s="9" t="s">
        <v>29838</v>
      </c>
      <c r="O8948" s="10">
        <f>IFERROR(__xludf.DUMMYFUNCTION("VALUE(REGEXEXTRACT(A8948, ""\d+""))"),13459.0)</f>
        <v>13459</v>
      </c>
    </row>
    <row r="8949">
      <c r="A8949" s="9" t="s">
        <v>29839</v>
      </c>
      <c r="B8949" s="9" t="s">
        <v>29840</v>
      </c>
      <c r="G8949" s="9" t="s">
        <v>29841</v>
      </c>
      <c r="O8949" s="10">
        <f>IFERROR(__xludf.DUMMYFUNCTION("VALUE(REGEXEXTRACT(A8949, ""\d+""))"),13460.0)</f>
        <v>13460</v>
      </c>
    </row>
    <row r="8950">
      <c r="A8950" s="9" t="s">
        <v>29842</v>
      </c>
      <c r="B8950" s="9" t="s">
        <v>29843</v>
      </c>
      <c r="G8950" s="9" t="s">
        <v>29844</v>
      </c>
      <c r="O8950" s="10">
        <f>IFERROR(__xludf.DUMMYFUNCTION("VALUE(REGEXEXTRACT(A8950, ""\d+""))"),13461.0)</f>
        <v>13461</v>
      </c>
    </row>
    <row r="8951">
      <c r="A8951" s="9" t="s">
        <v>29845</v>
      </c>
      <c r="B8951" s="9" t="s">
        <v>29846</v>
      </c>
      <c r="G8951" s="9" t="s">
        <v>29847</v>
      </c>
      <c r="O8951" s="10">
        <f>IFERROR(__xludf.DUMMYFUNCTION("VALUE(REGEXEXTRACT(A8951, ""\d+""))"),13462.0)</f>
        <v>13462</v>
      </c>
    </row>
    <row r="8952">
      <c r="A8952" s="9" t="s">
        <v>29848</v>
      </c>
      <c r="B8952" s="9" t="s">
        <v>29849</v>
      </c>
      <c r="G8952" s="9" t="s">
        <v>29850</v>
      </c>
      <c r="O8952" s="10">
        <f>IFERROR(__xludf.DUMMYFUNCTION("VALUE(REGEXEXTRACT(A8952, ""\d+""))"),13463.0)</f>
        <v>13463</v>
      </c>
    </row>
    <row r="8953">
      <c r="A8953" s="9" t="s">
        <v>29851</v>
      </c>
      <c r="B8953" s="9" t="s">
        <v>29852</v>
      </c>
      <c r="G8953" s="9" t="s">
        <v>29853</v>
      </c>
      <c r="O8953" s="10">
        <f>IFERROR(__xludf.DUMMYFUNCTION("VALUE(REGEXEXTRACT(A8953, ""\d+""))"),13464.0)</f>
        <v>13464</v>
      </c>
    </row>
    <row r="8954">
      <c r="A8954" s="9" t="s">
        <v>29854</v>
      </c>
      <c r="B8954" s="9" t="s">
        <v>29855</v>
      </c>
      <c r="G8954" s="9" t="s">
        <v>29856</v>
      </c>
      <c r="O8954" s="10">
        <f>IFERROR(__xludf.DUMMYFUNCTION("VALUE(REGEXEXTRACT(A8954, ""\d+""))"),13465.0)</f>
        <v>13465</v>
      </c>
    </row>
    <row r="8955">
      <c r="A8955" s="9" t="s">
        <v>29857</v>
      </c>
      <c r="B8955" s="9" t="s">
        <v>29858</v>
      </c>
      <c r="G8955" s="9" t="s">
        <v>29859</v>
      </c>
      <c r="O8955" s="10">
        <f>IFERROR(__xludf.DUMMYFUNCTION("VALUE(REGEXEXTRACT(A8955, ""\d+""))"),13466.0)</f>
        <v>13466</v>
      </c>
    </row>
    <row r="8956">
      <c r="A8956" s="9" t="s">
        <v>29860</v>
      </c>
      <c r="B8956" s="9" t="s">
        <v>29861</v>
      </c>
      <c r="G8956" s="9" t="s">
        <v>29862</v>
      </c>
      <c r="O8956" s="10">
        <f>IFERROR(__xludf.DUMMYFUNCTION("VALUE(REGEXEXTRACT(A8956, ""\d+""))"),13467.0)</f>
        <v>13467</v>
      </c>
    </row>
    <row r="8957">
      <c r="A8957" s="9" t="s">
        <v>29863</v>
      </c>
      <c r="B8957" s="9" t="s">
        <v>29864</v>
      </c>
      <c r="G8957" s="9" t="s">
        <v>29865</v>
      </c>
      <c r="O8957" s="10">
        <f>IFERROR(__xludf.DUMMYFUNCTION("VALUE(REGEXEXTRACT(A8957, ""\d+""))"),13468.0)</f>
        <v>13468</v>
      </c>
    </row>
    <row r="8958">
      <c r="A8958" s="9" t="s">
        <v>29866</v>
      </c>
      <c r="B8958" s="9" t="s">
        <v>29867</v>
      </c>
      <c r="G8958" s="9" t="s">
        <v>29868</v>
      </c>
      <c r="O8958" s="10">
        <f>IFERROR(__xludf.DUMMYFUNCTION("VALUE(REGEXEXTRACT(A8958, ""\d+""))"),13469.0)</f>
        <v>13469</v>
      </c>
    </row>
    <row r="8959">
      <c r="A8959" s="9" t="s">
        <v>29869</v>
      </c>
      <c r="B8959" s="9" t="s">
        <v>29870</v>
      </c>
      <c r="G8959" s="9" t="s">
        <v>29871</v>
      </c>
      <c r="O8959" s="10">
        <f>IFERROR(__xludf.DUMMYFUNCTION("VALUE(REGEXEXTRACT(A8959, ""\d+""))"),13470.0)</f>
        <v>13470</v>
      </c>
    </row>
    <row r="8960">
      <c r="A8960" s="9" t="s">
        <v>29872</v>
      </c>
      <c r="B8960" s="9" t="s">
        <v>29873</v>
      </c>
      <c r="G8960" s="9" t="s">
        <v>29874</v>
      </c>
      <c r="O8960" s="10">
        <f>IFERROR(__xludf.DUMMYFUNCTION("VALUE(REGEXEXTRACT(A8960, ""\d+""))"),13471.0)</f>
        <v>13471</v>
      </c>
    </row>
    <row r="8961">
      <c r="A8961" s="9" t="s">
        <v>29875</v>
      </c>
      <c r="B8961" s="9" t="s">
        <v>29876</v>
      </c>
      <c r="G8961" s="9" t="s">
        <v>29877</v>
      </c>
      <c r="O8961" s="10">
        <f>IFERROR(__xludf.DUMMYFUNCTION("VALUE(REGEXEXTRACT(A8961, ""\d+""))"),13472.0)</f>
        <v>13472</v>
      </c>
    </row>
    <row r="8962">
      <c r="A8962" s="9" t="s">
        <v>29878</v>
      </c>
      <c r="B8962" s="9" t="s">
        <v>29879</v>
      </c>
      <c r="G8962" s="9" t="s">
        <v>29880</v>
      </c>
      <c r="O8962" s="10">
        <f>IFERROR(__xludf.DUMMYFUNCTION("VALUE(REGEXEXTRACT(A8962, ""\d+""))"),13473.0)</f>
        <v>13473</v>
      </c>
    </row>
    <row r="8963">
      <c r="A8963" s="9" t="s">
        <v>29881</v>
      </c>
      <c r="B8963" s="9" t="s">
        <v>29882</v>
      </c>
      <c r="G8963" s="9" t="s">
        <v>29883</v>
      </c>
      <c r="O8963" s="10">
        <f>IFERROR(__xludf.DUMMYFUNCTION("VALUE(REGEXEXTRACT(A8963, ""\d+""))"),13474.0)</f>
        <v>13474</v>
      </c>
    </row>
    <row r="8964">
      <c r="A8964" s="9" t="s">
        <v>29884</v>
      </c>
      <c r="B8964" s="9" t="s">
        <v>29885</v>
      </c>
      <c r="G8964" s="9" t="s">
        <v>29886</v>
      </c>
      <c r="O8964" s="10">
        <f>IFERROR(__xludf.DUMMYFUNCTION("VALUE(REGEXEXTRACT(A8964, ""\d+""))"),13475.0)</f>
        <v>13475</v>
      </c>
    </row>
    <row r="8965">
      <c r="A8965" s="9" t="s">
        <v>29887</v>
      </c>
      <c r="B8965" s="9" t="s">
        <v>29888</v>
      </c>
      <c r="G8965" s="9" t="s">
        <v>29889</v>
      </c>
      <c r="O8965" s="10">
        <f>IFERROR(__xludf.DUMMYFUNCTION("VALUE(REGEXEXTRACT(A8965, ""\d+""))"),13476.0)</f>
        <v>13476</v>
      </c>
    </row>
    <row r="8966">
      <c r="A8966" s="9" t="s">
        <v>29890</v>
      </c>
      <c r="B8966" s="9" t="s">
        <v>29891</v>
      </c>
      <c r="G8966" s="9" t="s">
        <v>29892</v>
      </c>
      <c r="O8966" s="10">
        <f>IFERROR(__xludf.DUMMYFUNCTION("VALUE(REGEXEXTRACT(A8966, ""\d+""))"),13477.0)</f>
        <v>13477</v>
      </c>
    </row>
    <row r="8967">
      <c r="A8967" s="9" t="s">
        <v>29893</v>
      </c>
      <c r="B8967" s="9" t="s">
        <v>29894</v>
      </c>
      <c r="G8967" s="9" t="s">
        <v>29895</v>
      </c>
      <c r="O8967" s="10">
        <f>IFERROR(__xludf.DUMMYFUNCTION("VALUE(REGEXEXTRACT(A8967, ""\d+""))"),13478.0)</f>
        <v>13478</v>
      </c>
    </row>
    <row r="8968">
      <c r="A8968" s="9" t="s">
        <v>29896</v>
      </c>
      <c r="B8968" s="9" t="s">
        <v>29897</v>
      </c>
      <c r="G8968" s="9" t="s">
        <v>29898</v>
      </c>
      <c r="O8968" s="10">
        <f>IFERROR(__xludf.DUMMYFUNCTION("VALUE(REGEXEXTRACT(A8968, ""\d+""))"),13479.0)</f>
        <v>13479</v>
      </c>
    </row>
    <row r="8969">
      <c r="A8969" s="9" t="s">
        <v>29899</v>
      </c>
      <c r="B8969" s="9" t="s">
        <v>29900</v>
      </c>
      <c r="G8969" s="9" t="s">
        <v>29901</v>
      </c>
      <c r="O8969" s="10">
        <f>IFERROR(__xludf.DUMMYFUNCTION("VALUE(REGEXEXTRACT(A8969, ""\d+""))"),13480.0)</f>
        <v>13480</v>
      </c>
    </row>
    <row r="8970">
      <c r="A8970" s="9" t="s">
        <v>29902</v>
      </c>
      <c r="B8970" s="9" t="s">
        <v>29903</v>
      </c>
      <c r="G8970" s="9" t="s">
        <v>29904</v>
      </c>
      <c r="O8970" s="10">
        <f>IFERROR(__xludf.DUMMYFUNCTION("VALUE(REGEXEXTRACT(A8970, ""\d+""))"),13481.0)</f>
        <v>13481</v>
      </c>
    </row>
    <row r="8971">
      <c r="A8971" s="9" t="s">
        <v>29905</v>
      </c>
      <c r="B8971" s="9" t="s">
        <v>29906</v>
      </c>
      <c r="G8971" s="9" t="s">
        <v>29907</v>
      </c>
      <c r="O8971" s="10">
        <f>IFERROR(__xludf.DUMMYFUNCTION("VALUE(REGEXEXTRACT(A8971, ""\d+""))"),13482.0)</f>
        <v>13482</v>
      </c>
    </row>
    <row r="8972">
      <c r="A8972" s="9" t="s">
        <v>29908</v>
      </c>
      <c r="B8972" s="9" t="s">
        <v>29909</v>
      </c>
      <c r="G8972" s="9" t="s">
        <v>29910</v>
      </c>
      <c r="O8972" s="10">
        <f>IFERROR(__xludf.DUMMYFUNCTION("VALUE(REGEXEXTRACT(A8972, ""\d+""))"),13483.0)</f>
        <v>13483</v>
      </c>
    </row>
    <row r="8973">
      <c r="A8973" s="9" t="s">
        <v>29911</v>
      </c>
      <c r="B8973" s="9" t="s">
        <v>29912</v>
      </c>
      <c r="G8973" s="9" t="s">
        <v>29913</v>
      </c>
      <c r="O8973" s="10">
        <f>IFERROR(__xludf.DUMMYFUNCTION("VALUE(REGEXEXTRACT(A8973, ""\d+""))"),13484.0)</f>
        <v>13484</v>
      </c>
    </row>
    <row r="8974">
      <c r="A8974" s="9" t="s">
        <v>29914</v>
      </c>
      <c r="B8974" s="9" t="s">
        <v>29915</v>
      </c>
      <c r="G8974" s="9" t="s">
        <v>29916</v>
      </c>
      <c r="O8974" s="10">
        <f>IFERROR(__xludf.DUMMYFUNCTION("VALUE(REGEXEXTRACT(A8974, ""\d+""))"),13485.0)</f>
        <v>13485</v>
      </c>
    </row>
    <row r="8975">
      <c r="A8975" s="9" t="s">
        <v>29917</v>
      </c>
      <c r="B8975" s="9" t="s">
        <v>29918</v>
      </c>
      <c r="G8975" s="9" t="s">
        <v>29919</v>
      </c>
      <c r="O8975" s="10">
        <f>IFERROR(__xludf.DUMMYFUNCTION("VALUE(REGEXEXTRACT(A8975, ""\d+""))"),13486.0)</f>
        <v>13486</v>
      </c>
    </row>
    <row r="8976">
      <c r="A8976" s="9" t="s">
        <v>29920</v>
      </c>
      <c r="B8976" s="9" t="s">
        <v>29921</v>
      </c>
      <c r="G8976" s="9" t="s">
        <v>29922</v>
      </c>
      <c r="O8976" s="10">
        <f>IFERROR(__xludf.DUMMYFUNCTION("VALUE(REGEXEXTRACT(A8976, ""\d+""))"),13487.0)</f>
        <v>13487</v>
      </c>
    </row>
    <row r="8977">
      <c r="A8977" s="9" t="s">
        <v>29923</v>
      </c>
      <c r="B8977" s="9" t="s">
        <v>29924</v>
      </c>
      <c r="G8977" s="9" t="s">
        <v>29925</v>
      </c>
      <c r="O8977" s="10">
        <f>IFERROR(__xludf.DUMMYFUNCTION("VALUE(REGEXEXTRACT(A8977, ""\d+""))"),13488.0)</f>
        <v>13488</v>
      </c>
    </row>
    <row r="8978">
      <c r="A8978" s="9" t="s">
        <v>29926</v>
      </c>
      <c r="B8978" s="9" t="s">
        <v>29927</v>
      </c>
      <c r="G8978" s="9" t="s">
        <v>29928</v>
      </c>
      <c r="O8978" s="10">
        <f>IFERROR(__xludf.DUMMYFUNCTION("VALUE(REGEXEXTRACT(A8978, ""\d+""))"),13489.0)</f>
        <v>13489</v>
      </c>
    </row>
    <row r="8979">
      <c r="A8979" s="9" t="s">
        <v>29929</v>
      </c>
      <c r="B8979" s="9" t="s">
        <v>29930</v>
      </c>
      <c r="G8979" s="9" t="s">
        <v>29931</v>
      </c>
      <c r="O8979" s="10">
        <f>IFERROR(__xludf.DUMMYFUNCTION("VALUE(REGEXEXTRACT(A8979, ""\d+""))"),13490.0)</f>
        <v>13490</v>
      </c>
    </row>
    <row r="8980">
      <c r="A8980" s="9" t="s">
        <v>29932</v>
      </c>
      <c r="B8980" s="9" t="s">
        <v>29933</v>
      </c>
      <c r="G8980" s="9" t="s">
        <v>29934</v>
      </c>
      <c r="O8980" s="10">
        <f>IFERROR(__xludf.DUMMYFUNCTION("VALUE(REGEXEXTRACT(A8980, ""\d+""))"),13491.0)</f>
        <v>13491</v>
      </c>
    </row>
    <row r="8981">
      <c r="A8981" s="9" t="s">
        <v>29935</v>
      </c>
      <c r="B8981" s="9" t="s">
        <v>29936</v>
      </c>
      <c r="G8981" s="9" t="s">
        <v>29937</v>
      </c>
      <c r="O8981" s="10">
        <f>IFERROR(__xludf.DUMMYFUNCTION("VALUE(REGEXEXTRACT(A8981, ""\d+""))"),13492.0)</f>
        <v>13492</v>
      </c>
    </row>
    <row r="8982">
      <c r="A8982" s="9" t="s">
        <v>29938</v>
      </c>
      <c r="B8982" s="9" t="s">
        <v>29939</v>
      </c>
      <c r="G8982" s="9" t="s">
        <v>29940</v>
      </c>
      <c r="O8982" s="10">
        <f>IFERROR(__xludf.DUMMYFUNCTION("VALUE(REGEXEXTRACT(A8982, ""\d+""))"),13493.0)</f>
        <v>13493</v>
      </c>
    </row>
    <row r="8983">
      <c r="A8983" s="9" t="s">
        <v>29941</v>
      </c>
      <c r="B8983" s="9" t="s">
        <v>29942</v>
      </c>
      <c r="G8983" s="9" t="s">
        <v>29943</v>
      </c>
      <c r="O8983" s="10">
        <f>IFERROR(__xludf.DUMMYFUNCTION("VALUE(REGEXEXTRACT(A8983, ""\d+""))"),13494.0)</f>
        <v>13494</v>
      </c>
    </row>
    <row r="8984">
      <c r="A8984" s="9" t="s">
        <v>29944</v>
      </c>
      <c r="B8984" s="9" t="s">
        <v>29945</v>
      </c>
      <c r="G8984" s="9" t="s">
        <v>29946</v>
      </c>
      <c r="O8984" s="10">
        <f>IFERROR(__xludf.DUMMYFUNCTION("VALUE(REGEXEXTRACT(A8984, ""\d+""))"),13495.0)</f>
        <v>13495</v>
      </c>
    </row>
    <row r="8985">
      <c r="A8985" s="9" t="s">
        <v>29947</v>
      </c>
      <c r="B8985" s="9" t="s">
        <v>29948</v>
      </c>
      <c r="G8985" s="9" t="s">
        <v>29949</v>
      </c>
      <c r="O8985" s="10">
        <f>IFERROR(__xludf.DUMMYFUNCTION("VALUE(REGEXEXTRACT(A8985, ""\d+""))"),13496.0)</f>
        <v>13496</v>
      </c>
    </row>
    <row r="8986">
      <c r="A8986" s="9" t="s">
        <v>29950</v>
      </c>
      <c r="B8986" s="9" t="s">
        <v>29951</v>
      </c>
      <c r="G8986" s="9" t="s">
        <v>29952</v>
      </c>
      <c r="O8986" s="10">
        <f>IFERROR(__xludf.DUMMYFUNCTION("VALUE(REGEXEXTRACT(A8986, ""\d+""))"),13497.0)</f>
        <v>13497</v>
      </c>
    </row>
    <row r="8987">
      <c r="A8987" s="9" t="s">
        <v>29953</v>
      </c>
      <c r="B8987" s="9" t="s">
        <v>29954</v>
      </c>
      <c r="G8987" s="9" t="s">
        <v>29955</v>
      </c>
      <c r="O8987" s="10">
        <f>IFERROR(__xludf.DUMMYFUNCTION("VALUE(REGEXEXTRACT(A8987, ""\d+""))"),13498.0)</f>
        <v>13498</v>
      </c>
    </row>
    <row r="8988">
      <c r="A8988" s="9" t="s">
        <v>29956</v>
      </c>
      <c r="B8988" s="9" t="s">
        <v>29957</v>
      </c>
      <c r="G8988" s="9" t="s">
        <v>29958</v>
      </c>
      <c r="O8988" s="10">
        <f>IFERROR(__xludf.DUMMYFUNCTION("VALUE(REGEXEXTRACT(A8988, ""\d+""))"),13499.0)</f>
        <v>13499</v>
      </c>
    </row>
    <row r="8989">
      <c r="A8989" s="9" t="s">
        <v>29959</v>
      </c>
      <c r="B8989" s="9" t="s">
        <v>29960</v>
      </c>
      <c r="G8989" s="9" t="s">
        <v>29961</v>
      </c>
      <c r="O8989" s="10">
        <f>IFERROR(__xludf.DUMMYFUNCTION("VALUE(REGEXEXTRACT(A8989, ""\d+""))"),13500.0)</f>
        <v>13500</v>
      </c>
    </row>
    <row r="8990">
      <c r="A8990" s="9" t="s">
        <v>29962</v>
      </c>
      <c r="B8990" s="9" t="s">
        <v>29963</v>
      </c>
      <c r="G8990" s="9" t="s">
        <v>29964</v>
      </c>
      <c r="O8990" s="10">
        <f>IFERROR(__xludf.DUMMYFUNCTION("VALUE(REGEXEXTRACT(A8990, ""\d+""))"),13501.0)</f>
        <v>13501</v>
      </c>
    </row>
    <row r="8991">
      <c r="A8991" s="9" t="s">
        <v>29965</v>
      </c>
      <c r="B8991" s="9" t="s">
        <v>29966</v>
      </c>
      <c r="G8991" s="9" t="s">
        <v>29967</v>
      </c>
      <c r="O8991" s="10">
        <f>IFERROR(__xludf.DUMMYFUNCTION("VALUE(REGEXEXTRACT(A8991, ""\d+""))"),13502.0)</f>
        <v>13502</v>
      </c>
    </row>
    <row r="8992">
      <c r="A8992" s="9" t="s">
        <v>29968</v>
      </c>
      <c r="B8992" s="9" t="s">
        <v>29969</v>
      </c>
      <c r="G8992" s="9" t="s">
        <v>29970</v>
      </c>
      <c r="O8992" s="10">
        <f>IFERROR(__xludf.DUMMYFUNCTION("VALUE(REGEXEXTRACT(A8992, ""\d+""))"),13503.0)</f>
        <v>13503</v>
      </c>
    </row>
    <row r="8993">
      <c r="A8993" s="9" t="s">
        <v>29971</v>
      </c>
      <c r="B8993" s="9" t="s">
        <v>29972</v>
      </c>
      <c r="G8993" s="9" t="s">
        <v>29973</v>
      </c>
      <c r="O8993" s="10">
        <f>IFERROR(__xludf.DUMMYFUNCTION("VALUE(REGEXEXTRACT(A8993, ""\d+""))"),13504.0)</f>
        <v>13504</v>
      </c>
    </row>
    <row r="8994">
      <c r="A8994" s="9" t="s">
        <v>29974</v>
      </c>
      <c r="B8994" s="9" t="s">
        <v>29975</v>
      </c>
      <c r="G8994" s="9" t="s">
        <v>29976</v>
      </c>
      <c r="O8994" s="10">
        <f>IFERROR(__xludf.DUMMYFUNCTION("VALUE(REGEXEXTRACT(A8994, ""\d+""))"),13506.0)</f>
        <v>13506</v>
      </c>
    </row>
    <row r="8995">
      <c r="A8995" s="9" t="s">
        <v>29977</v>
      </c>
      <c r="B8995" s="9" t="s">
        <v>29978</v>
      </c>
      <c r="G8995" s="9" t="s">
        <v>29978</v>
      </c>
      <c r="O8995" s="10">
        <f>IFERROR(__xludf.DUMMYFUNCTION("VALUE(REGEXEXTRACT(A8995, ""\d+""))"),13507.0)</f>
        <v>13507</v>
      </c>
    </row>
    <row r="8996">
      <c r="A8996" s="9" t="s">
        <v>29979</v>
      </c>
      <c r="B8996" s="9" t="s">
        <v>29980</v>
      </c>
      <c r="G8996" s="9" t="s">
        <v>29981</v>
      </c>
      <c r="O8996" s="10">
        <f>IFERROR(__xludf.DUMMYFUNCTION("VALUE(REGEXEXTRACT(A8996, ""\d+""))"),13508.0)</f>
        <v>13508</v>
      </c>
    </row>
    <row r="8997">
      <c r="A8997" s="9" t="s">
        <v>29982</v>
      </c>
      <c r="B8997" s="9" t="s">
        <v>29983</v>
      </c>
      <c r="G8997" s="9" t="s">
        <v>29984</v>
      </c>
      <c r="O8997" s="10">
        <f>IFERROR(__xludf.DUMMYFUNCTION("VALUE(REGEXEXTRACT(A8997, ""\d+""))"),13509.0)</f>
        <v>13509</v>
      </c>
    </row>
    <row r="8998">
      <c r="A8998" s="9" t="s">
        <v>29985</v>
      </c>
      <c r="B8998" s="9" t="s">
        <v>29986</v>
      </c>
      <c r="G8998" s="20" t="s">
        <v>29987</v>
      </c>
      <c r="O8998" s="10">
        <f>IFERROR(__xludf.DUMMYFUNCTION("VALUE(REGEXEXTRACT(A8998, ""\d+""))"),13510.0)</f>
        <v>13510</v>
      </c>
    </row>
    <row r="8999">
      <c r="A8999" s="9" t="s">
        <v>29988</v>
      </c>
      <c r="B8999" s="9" t="s">
        <v>29989</v>
      </c>
      <c r="G8999" s="9" t="s">
        <v>29990</v>
      </c>
      <c r="O8999" s="10">
        <f>IFERROR(__xludf.DUMMYFUNCTION("VALUE(REGEXEXTRACT(A8999, ""\d+""))"),13511.0)</f>
        <v>13511</v>
      </c>
    </row>
    <row r="9000">
      <c r="A9000" s="9" t="s">
        <v>29991</v>
      </c>
      <c r="B9000" s="9" t="s">
        <v>29992</v>
      </c>
      <c r="G9000" s="9" t="s">
        <v>29993</v>
      </c>
      <c r="O9000" s="10">
        <f>IFERROR(__xludf.DUMMYFUNCTION("VALUE(REGEXEXTRACT(A9000, ""\d+""))"),13512.0)</f>
        <v>13512</v>
      </c>
    </row>
    <row r="9001">
      <c r="A9001" s="9" t="s">
        <v>29994</v>
      </c>
      <c r="B9001" s="9" t="s">
        <v>29995</v>
      </c>
      <c r="G9001" s="9" t="s">
        <v>29996</v>
      </c>
      <c r="O9001" s="10">
        <f>IFERROR(__xludf.DUMMYFUNCTION("VALUE(REGEXEXTRACT(A9001, ""\d+""))"),13513.0)</f>
        <v>13513</v>
      </c>
    </row>
    <row r="9002">
      <c r="A9002" s="9" t="s">
        <v>29997</v>
      </c>
      <c r="B9002" s="9" t="s">
        <v>29998</v>
      </c>
      <c r="G9002" s="9" t="s">
        <v>29999</v>
      </c>
      <c r="O9002" s="10">
        <f>IFERROR(__xludf.DUMMYFUNCTION("VALUE(REGEXEXTRACT(A9002, ""\d+""))"),13514.0)</f>
        <v>13514</v>
      </c>
    </row>
    <row r="9003">
      <c r="A9003" s="9" t="s">
        <v>30000</v>
      </c>
      <c r="B9003" s="9" t="s">
        <v>30001</v>
      </c>
      <c r="G9003" s="9" t="s">
        <v>30002</v>
      </c>
      <c r="O9003" s="10">
        <f>IFERROR(__xludf.DUMMYFUNCTION("VALUE(REGEXEXTRACT(A9003, ""\d+""))"),13515.0)</f>
        <v>13515</v>
      </c>
    </row>
    <row r="9004">
      <c r="A9004" s="9" t="s">
        <v>30003</v>
      </c>
      <c r="B9004" s="9" t="s">
        <v>30004</v>
      </c>
      <c r="G9004" s="9" t="s">
        <v>30005</v>
      </c>
      <c r="O9004" s="10">
        <f>IFERROR(__xludf.DUMMYFUNCTION("VALUE(REGEXEXTRACT(A9004, ""\d+""))"),13516.0)</f>
        <v>13516</v>
      </c>
    </row>
    <row r="9005">
      <c r="A9005" s="9" t="s">
        <v>30006</v>
      </c>
      <c r="B9005" s="9" t="s">
        <v>30007</v>
      </c>
      <c r="G9005" s="9" t="s">
        <v>30008</v>
      </c>
      <c r="O9005" s="10">
        <f>IFERROR(__xludf.DUMMYFUNCTION("VALUE(REGEXEXTRACT(A9005, ""\d+""))"),13517.0)</f>
        <v>13517</v>
      </c>
    </row>
    <row r="9006">
      <c r="A9006" s="9" t="s">
        <v>30009</v>
      </c>
      <c r="B9006" s="9" t="s">
        <v>30010</v>
      </c>
      <c r="G9006" s="9" t="s">
        <v>30011</v>
      </c>
      <c r="O9006" s="10">
        <f>IFERROR(__xludf.DUMMYFUNCTION("VALUE(REGEXEXTRACT(A9006, ""\d+""))"),13518.0)</f>
        <v>13518</v>
      </c>
    </row>
    <row r="9007">
      <c r="A9007" s="9" t="s">
        <v>30012</v>
      </c>
      <c r="B9007" s="9" t="s">
        <v>30013</v>
      </c>
      <c r="G9007" s="9" t="s">
        <v>30014</v>
      </c>
      <c r="O9007" s="10">
        <f>IFERROR(__xludf.DUMMYFUNCTION("VALUE(REGEXEXTRACT(A9007, ""\d+""))"),13519.0)</f>
        <v>13519</v>
      </c>
    </row>
    <row r="9008">
      <c r="A9008" s="9" t="s">
        <v>30015</v>
      </c>
      <c r="B9008" s="9" t="s">
        <v>30016</v>
      </c>
      <c r="G9008" s="9" t="s">
        <v>30017</v>
      </c>
      <c r="O9008" s="10">
        <f>IFERROR(__xludf.DUMMYFUNCTION("VALUE(REGEXEXTRACT(A9008, ""\d+""))"),13520.0)</f>
        <v>13520</v>
      </c>
    </row>
    <row r="9009">
      <c r="A9009" s="9" t="s">
        <v>30018</v>
      </c>
      <c r="B9009" s="9" t="s">
        <v>30019</v>
      </c>
      <c r="G9009" s="9" t="s">
        <v>30020</v>
      </c>
      <c r="O9009" s="10">
        <f>IFERROR(__xludf.DUMMYFUNCTION("VALUE(REGEXEXTRACT(A9009, ""\d+""))"),13521.0)</f>
        <v>13521</v>
      </c>
    </row>
    <row r="9010">
      <c r="A9010" s="9" t="s">
        <v>30021</v>
      </c>
      <c r="B9010" s="9" t="s">
        <v>30022</v>
      </c>
      <c r="G9010" s="9" t="s">
        <v>30023</v>
      </c>
      <c r="O9010" s="10">
        <f>IFERROR(__xludf.DUMMYFUNCTION("VALUE(REGEXEXTRACT(A9010, ""\d+""))"),13522.0)</f>
        <v>13522</v>
      </c>
    </row>
    <row r="9011">
      <c r="A9011" s="9" t="s">
        <v>30024</v>
      </c>
      <c r="B9011" s="9" t="s">
        <v>30025</v>
      </c>
      <c r="G9011" s="9" t="s">
        <v>30026</v>
      </c>
      <c r="O9011" s="10">
        <f>IFERROR(__xludf.DUMMYFUNCTION("VALUE(REGEXEXTRACT(A9011, ""\d+""))"),13523.0)</f>
        <v>13523</v>
      </c>
    </row>
    <row r="9012">
      <c r="A9012" s="9" t="s">
        <v>30027</v>
      </c>
      <c r="B9012" s="9" t="s">
        <v>30028</v>
      </c>
      <c r="G9012" s="9" t="s">
        <v>30029</v>
      </c>
      <c r="O9012" s="10">
        <f>IFERROR(__xludf.DUMMYFUNCTION("VALUE(REGEXEXTRACT(A9012, ""\d+""))"),13524.0)</f>
        <v>13524</v>
      </c>
    </row>
    <row r="9013">
      <c r="A9013" s="9" t="s">
        <v>30030</v>
      </c>
      <c r="B9013" s="9" t="s">
        <v>30031</v>
      </c>
      <c r="G9013" s="9" t="s">
        <v>30032</v>
      </c>
      <c r="O9013" s="10">
        <f>IFERROR(__xludf.DUMMYFUNCTION("VALUE(REGEXEXTRACT(A9013, ""\d+""))"),13525.0)</f>
        <v>13525</v>
      </c>
    </row>
    <row r="9014">
      <c r="A9014" s="9" t="s">
        <v>30033</v>
      </c>
      <c r="B9014" s="9" t="s">
        <v>30034</v>
      </c>
      <c r="G9014" s="9" t="s">
        <v>30035</v>
      </c>
      <c r="O9014" s="10">
        <f>IFERROR(__xludf.DUMMYFUNCTION("VALUE(REGEXEXTRACT(A9014, ""\d+""))"),13526.0)</f>
        <v>13526</v>
      </c>
    </row>
    <row r="9015">
      <c r="A9015" s="9" t="s">
        <v>30036</v>
      </c>
      <c r="B9015" s="9" t="s">
        <v>30037</v>
      </c>
      <c r="G9015" s="9" t="s">
        <v>30038</v>
      </c>
      <c r="O9015" s="10">
        <f>IFERROR(__xludf.DUMMYFUNCTION("VALUE(REGEXEXTRACT(A9015, ""\d+""))"),13527.0)</f>
        <v>13527</v>
      </c>
    </row>
    <row r="9016">
      <c r="A9016" s="9" t="s">
        <v>30039</v>
      </c>
      <c r="B9016" s="9" t="s">
        <v>30040</v>
      </c>
      <c r="G9016" s="9" t="s">
        <v>30041</v>
      </c>
      <c r="O9016" s="10">
        <f>IFERROR(__xludf.DUMMYFUNCTION("VALUE(REGEXEXTRACT(A9016, ""\d+""))"),13528.0)</f>
        <v>13528</v>
      </c>
    </row>
    <row r="9017">
      <c r="A9017" s="9" t="s">
        <v>30042</v>
      </c>
      <c r="B9017" s="9" t="s">
        <v>30043</v>
      </c>
      <c r="G9017" s="9" t="s">
        <v>30044</v>
      </c>
      <c r="O9017" s="10">
        <f>IFERROR(__xludf.DUMMYFUNCTION("VALUE(REGEXEXTRACT(A9017, ""\d+""))"),13529.0)</f>
        <v>13529</v>
      </c>
    </row>
    <row r="9018">
      <c r="A9018" s="9" t="s">
        <v>30045</v>
      </c>
      <c r="B9018" s="9" t="s">
        <v>30046</v>
      </c>
      <c r="G9018" s="9" t="s">
        <v>30046</v>
      </c>
      <c r="O9018" s="10">
        <f>IFERROR(__xludf.DUMMYFUNCTION("VALUE(REGEXEXTRACT(A9018, ""\d+""))"),13530.0)</f>
        <v>13530</v>
      </c>
    </row>
    <row r="9019">
      <c r="A9019" s="9" t="s">
        <v>30047</v>
      </c>
      <c r="B9019" s="9" t="s">
        <v>30048</v>
      </c>
      <c r="G9019" s="9" t="s">
        <v>30048</v>
      </c>
      <c r="O9019" s="10">
        <f>IFERROR(__xludf.DUMMYFUNCTION("VALUE(REGEXEXTRACT(A9019, ""\d+""))"),13531.0)</f>
        <v>13531</v>
      </c>
    </row>
    <row r="9020">
      <c r="A9020" s="9" t="s">
        <v>30049</v>
      </c>
      <c r="B9020" s="9" t="s">
        <v>30050</v>
      </c>
      <c r="G9020" s="9" t="s">
        <v>30051</v>
      </c>
      <c r="O9020" s="10">
        <f>IFERROR(__xludf.DUMMYFUNCTION("VALUE(REGEXEXTRACT(A9020, ""\d+""))"),13532.0)</f>
        <v>13532</v>
      </c>
    </row>
    <row r="9021">
      <c r="A9021" s="9" t="s">
        <v>30052</v>
      </c>
      <c r="B9021" s="9" t="s">
        <v>30053</v>
      </c>
      <c r="G9021" s="9" t="s">
        <v>30054</v>
      </c>
      <c r="O9021" s="10">
        <f>IFERROR(__xludf.DUMMYFUNCTION("VALUE(REGEXEXTRACT(A9021, ""\d+""))"),13533.0)</f>
        <v>13533</v>
      </c>
    </row>
    <row r="9022">
      <c r="A9022" s="9" t="s">
        <v>30055</v>
      </c>
      <c r="B9022" s="9" t="s">
        <v>30056</v>
      </c>
      <c r="G9022" s="9" t="s">
        <v>30057</v>
      </c>
      <c r="O9022" s="10">
        <f>IFERROR(__xludf.DUMMYFUNCTION("VALUE(REGEXEXTRACT(A9022, ""\d+""))"),13534.0)</f>
        <v>13534</v>
      </c>
    </row>
    <row r="9023">
      <c r="A9023" s="9" t="s">
        <v>30058</v>
      </c>
      <c r="B9023" s="9" t="s">
        <v>30059</v>
      </c>
      <c r="G9023" s="9" t="s">
        <v>30060</v>
      </c>
      <c r="O9023" s="10">
        <f>IFERROR(__xludf.DUMMYFUNCTION("VALUE(REGEXEXTRACT(A9023, ""\d+""))"),13535.0)</f>
        <v>13535</v>
      </c>
    </row>
    <row r="9024">
      <c r="A9024" s="9" t="s">
        <v>30061</v>
      </c>
      <c r="B9024" s="9" t="s">
        <v>30062</v>
      </c>
      <c r="G9024" s="9" t="s">
        <v>30063</v>
      </c>
      <c r="O9024" s="10">
        <f>IFERROR(__xludf.DUMMYFUNCTION("VALUE(REGEXEXTRACT(A9024, ""\d+""))"),13536.0)</f>
        <v>13536</v>
      </c>
    </row>
    <row r="9025">
      <c r="A9025" s="9" t="s">
        <v>30064</v>
      </c>
      <c r="B9025" s="9" t="s">
        <v>30065</v>
      </c>
      <c r="G9025" s="9" t="s">
        <v>30066</v>
      </c>
      <c r="O9025" s="10">
        <f>IFERROR(__xludf.DUMMYFUNCTION("VALUE(REGEXEXTRACT(A9025, ""\d+""))"),13538.0)</f>
        <v>13538</v>
      </c>
    </row>
    <row r="9026">
      <c r="A9026" s="9" t="s">
        <v>30067</v>
      </c>
      <c r="B9026" s="9" t="s">
        <v>30068</v>
      </c>
      <c r="G9026" s="9" t="s">
        <v>30069</v>
      </c>
      <c r="O9026" s="10">
        <f>IFERROR(__xludf.DUMMYFUNCTION("VALUE(REGEXEXTRACT(A9026, ""\d+""))"),13539.0)</f>
        <v>13539</v>
      </c>
    </row>
    <row r="9027">
      <c r="A9027" s="9" t="s">
        <v>30070</v>
      </c>
      <c r="B9027" s="9" t="s">
        <v>30071</v>
      </c>
      <c r="G9027" s="9" t="s">
        <v>30072</v>
      </c>
      <c r="O9027" s="10">
        <f>IFERROR(__xludf.DUMMYFUNCTION("VALUE(REGEXEXTRACT(A9027, ""\d+""))"),13540.0)</f>
        <v>13540</v>
      </c>
    </row>
    <row r="9028">
      <c r="A9028" s="9" t="s">
        <v>30073</v>
      </c>
      <c r="B9028" s="9" t="s">
        <v>30074</v>
      </c>
      <c r="G9028" s="9" t="s">
        <v>30075</v>
      </c>
      <c r="O9028" s="10">
        <f>IFERROR(__xludf.DUMMYFUNCTION("VALUE(REGEXEXTRACT(A9028, ""\d+""))"),13541.0)</f>
        <v>13541</v>
      </c>
    </row>
    <row r="9029">
      <c r="A9029" s="9" t="s">
        <v>30076</v>
      </c>
      <c r="B9029" s="9" t="s">
        <v>30077</v>
      </c>
      <c r="G9029" s="9" t="s">
        <v>30078</v>
      </c>
      <c r="O9029" s="10">
        <f>IFERROR(__xludf.DUMMYFUNCTION("VALUE(REGEXEXTRACT(A9029, ""\d+""))"),13542.0)</f>
        <v>13542</v>
      </c>
    </row>
    <row r="9030">
      <c r="A9030" s="9" t="s">
        <v>30079</v>
      </c>
      <c r="B9030" s="9" t="s">
        <v>30080</v>
      </c>
      <c r="G9030" s="9" t="s">
        <v>30081</v>
      </c>
      <c r="O9030" s="10">
        <f>IFERROR(__xludf.DUMMYFUNCTION("VALUE(REGEXEXTRACT(A9030, ""\d+""))"),13543.0)</f>
        <v>13543</v>
      </c>
    </row>
    <row r="9031">
      <c r="A9031" s="9" t="s">
        <v>30082</v>
      </c>
      <c r="B9031" s="9" t="s">
        <v>30083</v>
      </c>
      <c r="G9031" s="9" t="s">
        <v>30084</v>
      </c>
      <c r="O9031" s="10">
        <f>IFERROR(__xludf.DUMMYFUNCTION("VALUE(REGEXEXTRACT(A9031, ""\d+""))"),13544.0)</f>
        <v>13544</v>
      </c>
    </row>
    <row r="9032">
      <c r="A9032" s="9" t="s">
        <v>30085</v>
      </c>
      <c r="B9032" s="9" t="s">
        <v>30086</v>
      </c>
      <c r="G9032" s="9" t="s">
        <v>30087</v>
      </c>
      <c r="O9032" s="10">
        <f>IFERROR(__xludf.DUMMYFUNCTION("VALUE(REGEXEXTRACT(A9032, ""\d+""))"),13545.0)</f>
        <v>13545</v>
      </c>
    </row>
    <row r="9033">
      <c r="A9033" s="9" t="s">
        <v>30088</v>
      </c>
      <c r="B9033" s="9" t="s">
        <v>30089</v>
      </c>
      <c r="G9033" s="9" t="s">
        <v>30090</v>
      </c>
      <c r="O9033" s="10">
        <f>IFERROR(__xludf.DUMMYFUNCTION("VALUE(REGEXEXTRACT(A9033, ""\d+""))"),13546.0)</f>
        <v>13546</v>
      </c>
    </row>
    <row r="9034">
      <c r="A9034" s="9" t="s">
        <v>30091</v>
      </c>
      <c r="B9034" s="9" t="s">
        <v>30092</v>
      </c>
      <c r="G9034" s="9" t="s">
        <v>30093</v>
      </c>
      <c r="O9034" s="10">
        <f>IFERROR(__xludf.DUMMYFUNCTION("VALUE(REGEXEXTRACT(A9034, ""\d+""))"),13547.0)</f>
        <v>13547</v>
      </c>
    </row>
    <row r="9035">
      <c r="A9035" s="9" t="s">
        <v>30094</v>
      </c>
      <c r="B9035" s="9" t="s">
        <v>30095</v>
      </c>
      <c r="G9035" s="9" t="s">
        <v>30096</v>
      </c>
      <c r="O9035" s="10">
        <f>IFERROR(__xludf.DUMMYFUNCTION("VALUE(REGEXEXTRACT(A9035, ""\d+""))"),13548.0)</f>
        <v>13548</v>
      </c>
    </row>
    <row r="9036">
      <c r="A9036" s="9" t="s">
        <v>30097</v>
      </c>
      <c r="B9036" s="9" t="s">
        <v>30098</v>
      </c>
      <c r="G9036" s="9" t="s">
        <v>30099</v>
      </c>
      <c r="O9036" s="10">
        <f>IFERROR(__xludf.DUMMYFUNCTION("VALUE(REGEXEXTRACT(A9036, ""\d+""))"),13549.0)</f>
        <v>13549</v>
      </c>
    </row>
    <row r="9037">
      <c r="A9037" s="9" t="s">
        <v>30100</v>
      </c>
      <c r="B9037" s="9" t="s">
        <v>30101</v>
      </c>
      <c r="G9037" s="9" t="s">
        <v>30102</v>
      </c>
      <c r="O9037" s="10">
        <f>IFERROR(__xludf.DUMMYFUNCTION("VALUE(REGEXEXTRACT(A9037, ""\d+""))"),13550.0)</f>
        <v>13550</v>
      </c>
    </row>
    <row r="9038">
      <c r="A9038" s="9" t="s">
        <v>30103</v>
      </c>
      <c r="B9038" s="9" t="s">
        <v>30104</v>
      </c>
      <c r="G9038" s="9" t="s">
        <v>30105</v>
      </c>
      <c r="O9038" s="10">
        <f>IFERROR(__xludf.DUMMYFUNCTION("VALUE(REGEXEXTRACT(A9038, ""\d+""))"),13551.0)</f>
        <v>13551</v>
      </c>
    </row>
    <row r="9039">
      <c r="A9039" s="9" t="s">
        <v>30106</v>
      </c>
      <c r="B9039" s="9" t="s">
        <v>30107</v>
      </c>
      <c r="G9039" s="9" t="s">
        <v>30107</v>
      </c>
      <c r="O9039" s="10">
        <f>IFERROR(__xludf.DUMMYFUNCTION("VALUE(REGEXEXTRACT(A9039, ""\d+""))"),13553.0)</f>
        <v>13553</v>
      </c>
    </row>
    <row r="9040">
      <c r="A9040" s="9" t="s">
        <v>30108</v>
      </c>
      <c r="B9040" s="9" t="s">
        <v>30109</v>
      </c>
      <c r="G9040" s="9" t="s">
        <v>30110</v>
      </c>
      <c r="O9040" s="10">
        <f>IFERROR(__xludf.DUMMYFUNCTION("VALUE(REGEXEXTRACT(A9040, ""\d+""))"),13554.0)</f>
        <v>13554</v>
      </c>
    </row>
    <row r="9041">
      <c r="A9041" s="9" t="s">
        <v>30111</v>
      </c>
      <c r="B9041" s="9" t="s">
        <v>30112</v>
      </c>
      <c r="G9041" s="9" t="s">
        <v>30113</v>
      </c>
      <c r="O9041" s="10">
        <f>IFERROR(__xludf.DUMMYFUNCTION("VALUE(REGEXEXTRACT(A9041, ""\d+""))"),13555.0)</f>
        <v>13555</v>
      </c>
    </row>
    <row r="9042">
      <c r="A9042" s="9" t="s">
        <v>30114</v>
      </c>
      <c r="B9042" s="9" t="s">
        <v>30115</v>
      </c>
      <c r="G9042" s="9" t="s">
        <v>30116</v>
      </c>
      <c r="O9042" s="10">
        <f>IFERROR(__xludf.DUMMYFUNCTION("VALUE(REGEXEXTRACT(A9042, ""\d+""))"),13556.0)</f>
        <v>13556</v>
      </c>
    </row>
    <row r="9043">
      <c r="A9043" s="9" t="s">
        <v>30117</v>
      </c>
      <c r="B9043" s="9" t="s">
        <v>30118</v>
      </c>
      <c r="G9043" s="9" t="s">
        <v>30119</v>
      </c>
      <c r="O9043" s="10">
        <f>IFERROR(__xludf.DUMMYFUNCTION("VALUE(REGEXEXTRACT(A9043, ""\d+""))"),13557.0)</f>
        <v>13557</v>
      </c>
    </row>
    <row r="9044">
      <c r="A9044" s="9" t="s">
        <v>30120</v>
      </c>
      <c r="B9044" s="9" t="s">
        <v>30121</v>
      </c>
      <c r="G9044" s="9" t="s">
        <v>30122</v>
      </c>
      <c r="O9044" s="10">
        <f>IFERROR(__xludf.DUMMYFUNCTION("VALUE(REGEXEXTRACT(A9044, ""\d+""))"),13558.0)</f>
        <v>13558</v>
      </c>
    </row>
    <row r="9045">
      <c r="A9045" s="9" t="s">
        <v>30123</v>
      </c>
      <c r="B9045" s="9" t="s">
        <v>30124</v>
      </c>
      <c r="G9045" s="9" t="s">
        <v>30125</v>
      </c>
      <c r="O9045" s="10">
        <f>IFERROR(__xludf.DUMMYFUNCTION("VALUE(REGEXEXTRACT(A9045, ""\d+""))"),13559.0)</f>
        <v>13559</v>
      </c>
    </row>
    <row r="9046">
      <c r="A9046" s="9" t="s">
        <v>30126</v>
      </c>
      <c r="B9046" s="9" t="s">
        <v>30127</v>
      </c>
      <c r="G9046" s="9" t="s">
        <v>30128</v>
      </c>
      <c r="O9046" s="10">
        <f>IFERROR(__xludf.DUMMYFUNCTION("VALUE(REGEXEXTRACT(A9046, ""\d+""))"),13560.0)</f>
        <v>13560</v>
      </c>
    </row>
    <row r="9047">
      <c r="A9047" s="9" t="s">
        <v>30129</v>
      </c>
      <c r="B9047" s="9" t="s">
        <v>30130</v>
      </c>
      <c r="G9047" s="9" t="s">
        <v>30131</v>
      </c>
      <c r="O9047" s="10">
        <f>IFERROR(__xludf.DUMMYFUNCTION("VALUE(REGEXEXTRACT(A9047, ""\d+""))"),13561.0)</f>
        <v>13561</v>
      </c>
    </row>
    <row r="9048">
      <c r="A9048" s="9" t="s">
        <v>30132</v>
      </c>
      <c r="B9048" s="9" t="s">
        <v>30133</v>
      </c>
      <c r="G9048" s="9" t="s">
        <v>30134</v>
      </c>
      <c r="O9048" s="10">
        <f>IFERROR(__xludf.DUMMYFUNCTION("VALUE(REGEXEXTRACT(A9048, ""\d+""))"),13562.0)</f>
        <v>13562</v>
      </c>
    </row>
    <row r="9049">
      <c r="A9049" s="9" t="s">
        <v>30135</v>
      </c>
      <c r="B9049" s="9" t="s">
        <v>30136</v>
      </c>
      <c r="G9049" s="9" t="s">
        <v>30137</v>
      </c>
      <c r="O9049" s="10">
        <f>IFERROR(__xludf.DUMMYFUNCTION("VALUE(REGEXEXTRACT(A9049, ""\d+""))"),13563.0)</f>
        <v>13563</v>
      </c>
    </row>
    <row r="9050">
      <c r="A9050" s="9" t="s">
        <v>30138</v>
      </c>
      <c r="B9050" s="9" t="s">
        <v>30139</v>
      </c>
      <c r="G9050" s="9" t="s">
        <v>30140</v>
      </c>
      <c r="O9050" s="10">
        <f>IFERROR(__xludf.DUMMYFUNCTION("VALUE(REGEXEXTRACT(A9050, ""\d+""))"),13564.0)</f>
        <v>13564</v>
      </c>
    </row>
    <row r="9051">
      <c r="A9051" s="9" t="s">
        <v>30141</v>
      </c>
      <c r="B9051" s="9" t="s">
        <v>30142</v>
      </c>
      <c r="G9051" s="9" t="s">
        <v>30143</v>
      </c>
      <c r="O9051" s="10">
        <f>IFERROR(__xludf.DUMMYFUNCTION("VALUE(REGEXEXTRACT(A9051, ""\d+""))"),13565.0)</f>
        <v>13565</v>
      </c>
    </row>
    <row r="9052">
      <c r="A9052" s="9" t="s">
        <v>30144</v>
      </c>
      <c r="B9052" s="9" t="s">
        <v>30145</v>
      </c>
      <c r="G9052" s="9" t="s">
        <v>30146</v>
      </c>
      <c r="O9052" s="10">
        <f>IFERROR(__xludf.DUMMYFUNCTION("VALUE(REGEXEXTRACT(A9052, ""\d+""))"),13566.0)</f>
        <v>13566</v>
      </c>
    </row>
    <row r="9053">
      <c r="A9053" s="9" t="s">
        <v>30147</v>
      </c>
      <c r="B9053" s="9" t="s">
        <v>30148</v>
      </c>
      <c r="G9053" s="9" t="s">
        <v>30149</v>
      </c>
      <c r="O9053" s="10">
        <f>IFERROR(__xludf.DUMMYFUNCTION("VALUE(REGEXEXTRACT(A9053, ""\d+""))"),13567.0)</f>
        <v>13567</v>
      </c>
    </row>
    <row r="9054">
      <c r="A9054" s="9" t="s">
        <v>30150</v>
      </c>
      <c r="B9054" s="9" t="s">
        <v>30151</v>
      </c>
      <c r="G9054" s="9" t="s">
        <v>30152</v>
      </c>
      <c r="O9054" s="10">
        <f>IFERROR(__xludf.DUMMYFUNCTION("VALUE(REGEXEXTRACT(A9054, ""\d+""))"),13568.0)</f>
        <v>13568</v>
      </c>
    </row>
    <row r="9055">
      <c r="A9055" s="9" t="s">
        <v>30153</v>
      </c>
      <c r="B9055" s="9" t="s">
        <v>30154</v>
      </c>
      <c r="G9055" s="9" t="s">
        <v>30155</v>
      </c>
      <c r="O9055" s="10">
        <f>IFERROR(__xludf.DUMMYFUNCTION("VALUE(REGEXEXTRACT(A9055, ""\d+""))"),13569.0)</f>
        <v>13569</v>
      </c>
    </row>
    <row r="9056">
      <c r="A9056" s="9" t="s">
        <v>30156</v>
      </c>
      <c r="B9056" s="9" t="s">
        <v>30157</v>
      </c>
      <c r="G9056" s="9" t="s">
        <v>30158</v>
      </c>
      <c r="O9056" s="10">
        <f>IFERROR(__xludf.DUMMYFUNCTION("VALUE(REGEXEXTRACT(A9056, ""\d+""))"),13570.0)</f>
        <v>13570</v>
      </c>
    </row>
    <row r="9057">
      <c r="A9057" s="9" t="s">
        <v>30159</v>
      </c>
      <c r="B9057" s="9" t="s">
        <v>30160</v>
      </c>
      <c r="G9057" s="9" t="s">
        <v>30161</v>
      </c>
      <c r="O9057" s="10">
        <f>IFERROR(__xludf.DUMMYFUNCTION("VALUE(REGEXEXTRACT(A9057, ""\d+""))"),13572.0)</f>
        <v>13572</v>
      </c>
    </row>
    <row r="9058">
      <c r="A9058" s="9" t="s">
        <v>30162</v>
      </c>
      <c r="B9058" s="9" t="s">
        <v>30163</v>
      </c>
      <c r="G9058" s="9" t="s">
        <v>30164</v>
      </c>
      <c r="O9058" s="10">
        <f>IFERROR(__xludf.DUMMYFUNCTION("VALUE(REGEXEXTRACT(A9058, ""\d+""))"),13573.0)</f>
        <v>13573</v>
      </c>
    </row>
    <row r="9059">
      <c r="A9059" s="9" t="s">
        <v>30165</v>
      </c>
      <c r="B9059" s="9" t="s">
        <v>30166</v>
      </c>
      <c r="G9059" s="9" t="s">
        <v>30167</v>
      </c>
      <c r="O9059" s="10">
        <f>IFERROR(__xludf.DUMMYFUNCTION("VALUE(REGEXEXTRACT(A9059, ""\d+""))"),13574.0)</f>
        <v>13574</v>
      </c>
    </row>
    <row r="9060">
      <c r="A9060" s="9" t="s">
        <v>30168</v>
      </c>
      <c r="B9060" s="9" t="s">
        <v>30169</v>
      </c>
      <c r="G9060" s="9" t="s">
        <v>30170</v>
      </c>
      <c r="O9060" s="10">
        <f>IFERROR(__xludf.DUMMYFUNCTION("VALUE(REGEXEXTRACT(A9060, ""\d+""))"),13575.0)</f>
        <v>13575</v>
      </c>
    </row>
    <row r="9061">
      <c r="A9061" s="9" t="s">
        <v>30171</v>
      </c>
      <c r="B9061" s="9" t="s">
        <v>30172</v>
      </c>
      <c r="G9061" s="9" t="s">
        <v>30173</v>
      </c>
      <c r="O9061" s="10">
        <f>IFERROR(__xludf.DUMMYFUNCTION("VALUE(REGEXEXTRACT(A9061, ""\d+""))"),13576.0)</f>
        <v>13576</v>
      </c>
    </row>
    <row r="9062">
      <c r="A9062" s="9" t="s">
        <v>30174</v>
      </c>
      <c r="B9062" s="9" t="s">
        <v>30175</v>
      </c>
      <c r="G9062" s="9" t="s">
        <v>30176</v>
      </c>
      <c r="O9062" s="10">
        <f>IFERROR(__xludf.DUMMYFUNCTION("VALUE(REGEXEXTRACT(A9062, ""\d+""))"),13577.0)</f>
        <v>13577</v>
      </c>
    </row>
    <row r="9063">
      <c r="A9063" s="9" t="s">
        <v>30177</v>
      </c>
      <c r="B9063" s="9" t="s">
        <v>30178</v>
      </c>
      <c r="G9063" s="9" t="s">
        <v>30179</v>
      </c>
      <c r="O9063" s="10">
        <f>IFERROR(__xludf.DUMMYFUNCTION("VALUE(REGEXEXTRACT(A9063, ""\d+""))"),13578.0)</f>
        <v>13578</v>
      </c>
    </row>
    <row r="9064">
      <c r="A9064" s="9" t="s">
        <v>30180</v>
      </c>
      <c r="B9064" s="9" t="s">
        <v>30181</v>
      </c>
      <c r="G9064" s="9" t="s">
        <v>30182</v>
      </c>
      <c r="O9064" s="10">
        <f>IFERROR(__xludf.DUMMYFUNCTION("VALUE(REGEXEXTRACT(A9064, ""\d+""))"),13579.0)</f>
        <v>13579</v>
      </c>
    </row>
    <row r="9065">
      <c r="A9065" s="9" t="s">
        <v>30183</v>
      </c>
      <c r="B9065" s="9" t="s">
        <v>30184</v>
      </c>
      <c r="G9065" s="9" t="s">
        <v>30185</v>
      </c>
      <c r="O9065" s="10">
        <f>IFERROR(__xludf.DUMMYFUNCTION("VALUE(REGEXEXTRACT(A9065, ""\d+""))"),13580.0)</f>
        <v>13580</v>
      </c>
    </row>
    <row r="9066">
      <c r="A9066" s="9" t="s">
        <v>30186</v>
      </c>
      <c r="B9066" s="9" t="s">
        <v>30187</v>
      </c>
      <c r="G9066" s="9" t="s">
        <v>30188</v>
      </c>
      <c r="O9066" s="10">
        <f>IFERROR(__xludf.DUMMYFUNCTION("VALUE(REGEXEXTRACT(A9066, ""\d+""))"),13581.0)</f>
        <v>13581</v>
      </c>
    </row>
    <row r="9067">
      <c r="A9067" s="9" t="s">
        <v>30189</v>
      </c>
      <c r="B9067" s="9" t="s">
        <v>30190</v>
      </c>
      <c r="G9067" s="9" t="s">
        <v>30191</v>
      </c>
      <c r="O9067" s="10">
        <f>IFERROR(__xludf.DUMMYFUNCTION("VALUE(REGEXEXTRACT(A9067, ""\d+""))"),13582.0)</f>
        <v>13582</v>
      </c>
    </row>
    <row r="9068">
      <c r="A9068" s="9" t="s">
        <v>30192</v>
      </c>
      <c r="B9068" s="9" t="s">
        <v>30193</v>
      </c>
      <c r="G9068" s="9" t="s">
        <v>30194</v>
      </c>
      <c r="O9068" s="10">
        <f>IFERROR(__xludf.DUMMYFUNCTION("VALUE(REGEXEXTRACT(A9068, ""\d+""))"),13583.0)</f>
        <v>13583</v>
      </c>
    </row>
    <row r="9069">
      <c r="A9069" s="9" t="s">
        <v>30195</v>
      </c>
      <c r="B9069" s="9" t="s">
        <v>30196</v>
      </c>
      <c r="G9069" s="9" t="s">
        <v>30197</v>
      </c>
      <c r="O9069" s="10">
        <f>IFERROR(__xludf.DUMMYFUNCTION("VALUE(REGEXEXTRACT(A9069, ""\d+""))"),13584.0)</f>
        <v>13584</v>
      </c>
    </row>
    <row r="9070">
      <c r="A9070" s="9" t="s">
        <v>30198</v>
      </c>
      <c r="B9070" s="9" t="s">
        <v>30199</v>
      </c>
      <c r="G9070" s="9" t="s">
        <v>30200</v>
      </c>
      <c r="O9070" s="10">
        <f>IFERROR(__xludf.DUMMYFUNCTION("VALUE(REGEXEXTRACT(A9070, ""\d+""))"),13585.0)</f>
        <v>13585</v>
      </c>
    </row>
    <row r="9071">
      <c r="A9071" s="9" t="s">
        <v>30201</v>
      </c>
      <c r="B9071" s="9" t="s">
        <v>30202</v>
      </c>
      <c r="G9071" s="9" t="s">
        <v>30203</v>
      </c>
      <c r="O9071" s="10">
        <f>IFERROR(__xludf.DUMMYFUNCTION("VALUE(REGEXEXTRACT(A9071, ""\d+""))"),13586.0)</f>
        <v>13586</v>
      </c>
    </row>
    <row r="9072">
      <c r="A9072" s="9" t="s">
        <v>30204</v>
      </c>
      <c r="B9072" s="9" t="s">
        <v>30205</v>
      </c>
      <c r="G9072" s="9" t="s">
        <v>30206</v>
      </c>
      <c r="O9072" s="10">
        <f>IFERROR(__xludf.DUMMYFUNCTION("VALUE(REGEXEXTRACT(A9072, ""\d+""))"),13587.0)</f>
        <v>13587</v>
      </c>
    </row>
    <row r="9073">
      <c r="A9073" s="9" t="s">
        <v>30207</v>
      </c>
      <c r="B9073" s="9" t="s">
        <v>30208</v>
      </c>
      <c r="G9073" s="9" t="s">
        <v>30209</v>
      </c>
      <c r="O9073" s="10">
        <f>IFERROR(__xludf.DUMMYFUNCTION("VALUE(REGEXEXTRACT(A9073, ""\d+""))"),13588.0)</f>
        <v>13588</v>
      </c>
    </row>
    <row r="9074">
      <c r="A9074" s="9" t="s">
        <v>30210</v>
      </c>
      <c r="B9074" s="9" t="s">
        <v>30211</v>
      </c>
      <c r="G9074" s="9" t="s">
        <v>30212</v>
      </c>
      <c r="O9074" s="10">
        <f>IFERROR(__xludf.DUMMYFUNCTION("VALUE(REGEXEXTRACT(A9074, ""\d+""))"),13589.0)</f>
        <v>13589</v>
      </c>
    </row>
    <row r="9075">
      <c r="A9075" s="9" t="s">
        <v>30213</v>
      </c>
      <c r="B9075" s="9" t="s">
        <v>30214</v>
      </c>
      <c r="G9075" s="9" t="s">
        <v>30215</v>
      </c>
      <c r="O9075" s="10">
        <f>IFERROR(__xludf.DUMMYFUNCTION("VALUE(REGEXEXTRACT(A9075, ""\d+""))"),13590.0)</f>
        <v>13590</v>
      </c>
    </row>
    <row r="9076">
      <c r="A9076" s="9" t="s">
        <v>30216</v>
      </c>
      <c r="B9076" s="9" t="s">
        <v>30217</v>
      </c>
      <c r="G9076" s="9" t="s">
        <v>30218</v>
      </c>
      <c r="O9076" s="10">
        <f>IFERROR(__xludf.DUMMYFUNCTION("VALUE(REGEXEXTRACT(A9076, ""\d+""))"),13591.0)</f>
        <v>13591</v>
      </c>
    </row>
    <row r="9077">
      <c r="A9077" s="9" t="s">
        <v>30219</v>
      </c>
      <c r="B9077" s="9" t="s">
        <v>30220</v>
      </c>
      <c r="G9077" s="9" t="s">
        <v>30221</v>
      </c>
      <c r="O9077" s="10">
        <f>IFERROR(__xludf.DUMMYFUNCTION("VALUE(REGEXEXTRACT(A9077, ""\d+""))"),13592.0)</f>
        <v>13592</v>
      </c>
    </row>
    <row r="9078">
      <c r="A9078" s="9" t="s">
        <v>30222</v>
      </c>
      <c r="B9078" s="9" t="s">
        <v>30223</v>
      </c>
      <c r="G9078" s="9" t="s">
        <v>30224</v>
      </c>
      <c r="O9078" s="10">
        <f>IFERROR(__xludf.DUMMYFUNCTION("VALUE(REGEXEXTRACT(A9078, ""\d+""))"),13593.0)</f>
        <v>13593</v>
      </c>
    </row>
    <row r="9079">
      <c r="A9079" s="9" t="s">
        <v>30225</v>
      </c>
      <c r="B9079" s="9" t="s">
        <v>30226</v>
      </c>
      <c r="G9079" s="9" t="s">
        <v>30227</v>
      </c>
      <c r="O9079" s="10">
        <f>IFERROR(__xludf.DUMMYFUNCTION("VALUE(REGEXEXTRACT(A9079, ""\d+""))"),13594.0)</f>
        <v>13594</v>
      </c>
    </row>
    <row r="9080">
      <c r="A9080" s="9" t="s">
        <v>30228</v>
      </c>
      <c r="B9080" s="9" t="s">
        <v>30229</v>
      </c>
      <c r="G9080" s="9" t="s">
        <v>30230</v>
      </c>
      <c r="O9080" s="10">
        <f>IFERROR(__xludf.DUMMYFUNCTION("VALUE(REGEXEXTRACT(A9080, ""\d+""))"),13595.0)</f>
        <v>13595</v>
      </c>
    </row>
    <row r="9081">
      <c r="A9081" s="9" t="s">
        <v>30231</v>
      </c>
      <c r="B9081" s="9" t="s">
        <v>30232</v>
      </c>
      <c r="G9081" s="9" t="s">
        <v>30233</v>
      </c>
      <c r="O9081" s="10">
        <f>IFERROR(__xludf.DUMMYFUNCTION("VALUE(REGEXEXTRACT(A9081, ""\d+""))"),13596.0)</f>
        <v>13596</v>
      </c>
    </row>
    <row r="9082">
      <c r="A9082" s="9" t="s">
        <v>30234</v>
      </c>
      <c r="B9082" s="9" t="s">
        <v>30235</v>
      </c>
      <c r="G9082" s="9" t="s">
        <v>30236</v>
      </c>
      <c r="O9082" s="10">
        <f>IFERROR(__xludf.DUMMYFUNCTION("VALUE(REGEXEXTRACT(A9082, ""\d+""))"),13597.0)</f>
        <v>13597</v>
      </c>
    </row>
    <row r="9083">
      <c r="A9083" s="9" t="s">
        <v>30237</v>
      </c>
      <c r="B9083" s="9" t="s">
        <v>30238</v>
      </c>
      <c r="G9083" s="9" t="s">
        <v>30239</v>
      </c>
      <c r="O9083" s="10">
        <f>IFERROR(__xludf.DUMMYFUNCTION("VALUE(REGEXEXTRACT(A9083, ""\d+""))"),13598.0)</f>
        <v>13598</v>
      </c>
    </row>
    <row r="9084">
      <c r="A9084" s="9" t="s">
        <v>30240</v>
      </c>
      <c r="B9084" s="9" t="s">
        <v>30241</v>
      </c>
      <c r="G9084" s="9" t="s">
        <v>30242</v>
      </c>
      <c r="O9084" s="10">
        <f>IFERROR(__xludf.DUMMYFUNCTION("VALUE(REGEXEXTRACT(A9084, ""\d+""))"),13599.0)</f>
        <v>13599</v>
      </c>
    </row>
    <row r="9085">
      <c r="A9085" s="9" t="s">
        <v>30243</v>
      </c>
      <c r="B9085" s="9" t="s">
        <v>30244</v>
      </c>
      <c r="G9085" s="9" t="s">
        <v>30245</v>
      </c>
      <c r="O9085" s="10">
        <f>IFERROR(__xludf.DUMMYFUNCTION("VALUE(REGEXEXTRACT(A9085, ""\d+""))"),13600.0)</f>
        <v>13600</v>
      </c>
    </row>
    <row r="9086">
      <c r="A9086" s="9" t="s">
        <v>30246</v>
      </c>
      <c r="B9086" s="9" t="s">
        <v>30247</v>
      </c>
      <c r="G9086" s="9" t="s">
        <v>30248</v>
      </c>
      <c r="O9086" s="10">
        <f>IFERROR(__xludf.DUMMYFUNCTION("VALUE(REGEXEXTRACT(A9086, ""\d+""))"),13601.0)</f>
        <v>13601</v>
      </c>
    </row>
    <row r="9087">
      <c r="A9087" s="9" t="s">
        <v>30249</v>
      </c>
      <c r="B9087" s="9" t="s">
        <v>30250</v>
      </c>
      <c r="G9087" s="9" t="s">
        <v>30251</v>
      </c>
      <c r="O9087" s="10">
        <f>IFERROR(__xludf.DUMMYFUNCTION("VALUE(REGEXEXTRACT(A9087, ""\d+""))"),13602.0)</f>
        <v>13602</v>
      </c>
    </row>
    <row r="9088">
      <c r="A9088" s="9" t="s">
        <v>30252</v>
      </c>
      <c r="B9088" s="9" t="s">
        <v>30253</v>
      </c>
      <c r="G9088" s="9" t="s">
        <v>30254</v>
      </c>
      <c r="O9088" s="10">
        <f>IFERROR(__xludf.DUMMYFUNCTION("VALUE(REGEXEXTRACT(A9088, ""\d+""))"),13603.0)</f>
        <v>13603</v>
      </c>
    </row>
    <row r="9089">
      <c r="A9089" s="9" t="s">
        <v>30255</v>
      </c>
      <c r="B9089" s="9" t="s">
        <v>30256</v>
      </c>
      <c r="G9089" s="9" t="s">
        <v>30257</v>
      </c>
      <c r="O9089" s="10">
        <f>IFERROR(__xludf.DUMMYFUNCTION("VALUE(REGEXEXTRACT(A9089, ""\d+""))"),13605.0)</f>
        <v>13605</v>
      </c>
    </row>
    <row r="9090">
      <c r="A9090" s="9" t="s">
        <v>30258</v>
      </c>
      <c r="B9090" s="9" t="s">
        <v>30259</v>
      </c>
      <c r="G9090" s="9" t="s">
        <v>30260</v>
      </c>
      <c r="O9090" s="10">
        <f>IFERROR(__xludf.DUMMYFUNCTION("VALUE(REGEXEXTRACT(A9090, ""\d+""))"),13606.0)</f>
        <v>13606</v>
      </c>
    </row>
    <row r="9091">
      <c r="A9091" s="9" t="s">
        <v>30261</v>
      </c>
      <c r="B9091" s="9" t="s">
        <v>30262</v>
      </c>
      <c r="G9091" s="9" t="s">
        <v>30263</v>
      </c>
      <c r="O9091" s="10">
        <f>IFERROR(__xludf.DUMMYFUNCTION("VALUE(REGEXEXTRACT(A9091, ""\d+""))"),13607.0)</f>
        <v>13607</v>
      </c>
    </row>
    <row r="9092">
      <c r="A9092" s="9" t="s">
        <v>30264</v>
      </c>
      <c r="B9092" s="9" t="s">
        <v>30265</v>
      </c>
      <c r="G9092" s="9" t="s">
        <v>30266</v>
      </c>
      <c r="O9092" s="10">
        <f>IFERROR(__xludf.DUMMYFUNCTION("VALUE(REGEXEXTRACT(A9092, ""\d+""))"),13608.0)</f>
        <v>13608</v>
      </c>
    </row>
    <row r="9093">
      <c r="A9093" s="9" t="s">
        <v>30267</v>
      </c>
      <c r="B9093" s="9" t="s">
        <v>30268</v>
      </c>
      <c r="G9093" s="9" t="s">
        <v>30269</v>
      </c>
      <c r="O9093" s="10">
        <f>IFERROR(__xludf.DUMMYFUNCTION("VALUE(REGEXEXTRACT(A9093, ""\d+""))"),13609.0)</f>
        <v>13609</v>
      </c>
    </row>
    <row r="9094">
      <c r="A9094" s="9" t="s">
        <v>30270</v>
      </c>
      <c r="B9094" s="9" t="s">
        <v>30271</v>
      </c>
      <c r="G9094" s="9" t="s">
        <v>30272</v>
      </c>
      <c r="O9094" s="10">
        <f>IFERROR(__xludf.DUMMYFUNCTION("VALUE(REGEXEXTRACT(A9094, ""\d+""))"),13610.0)</f>
        <v>13610</v>
      </c>
    </row>
    <row r="9095">
      <c r="A9095" s="9" t="s">
        <v>30273</v>
      </c>
      <c r="B9095" s="9" t="s">
        <v>30274</v>
      </c>
      <c r="G9095" s="9" t="s">
        <v>30275</v>
      </c>
      <c r="O9095" s="10">
        <f>IFERROR(__xludf.DUMMYFUNCTION("VALUE(REGEXEXTRACT(A9095, ""\d+""))"),13611.0)</f>
        <v>13611</v>
      </c>
    </row>
    <row r="9096">
      <c r="A9096" s="9" t="s">
        <v>30276</v>
      </c>
      <c r="B9096" s="9" t="s">
        <v>30277</v>
      </c>
      <c r="G9096" s="9" t="s">
        <v>30278</v>
      </c>
      <c r="O9096" s="10">
        <f>IFERROR(__xludf.DUMMYFUNCTION("VALUE(REGEXEXTRACT(A9096, ""\d+""))"),13613.0)</f>
        <v>13613</v>
      </c>
    </row>
    <row r="9097">
      <c r="A9097" s="9" t="s">
        <v>30279</v>
      </c>
      <c r="B9097" s="9" t="s">
        <v>30280</v>
      </c>
      <c r="G9097" s="9" t="s">
        <v>30281</v>
      </c>
      <c r="O9097" s="10">
        <f>IFERROR(__xludf.DUMMYFUNCTION("VALUE(REGEXEXTRACT(A9097, ""\d+""))"),13614.0)</f>
        <v>13614</v>
      </c>
    </row>
    <row r="9098">
      <c r="A9098" s="9" t="s">
        <v>30282</v>
      </c>
      <c r="B9098" s="9" t="s">
        <v>30283</v>
      </c>
      <c r="G9098" s="9" t="s">
        <v>30284</v>
      </c>
      <c r="O9098" s="10">
        <f>IFERROR(__xludf.DUMMYFUNCTION("VALUE(REGEXEXTRACT(A9098, ""\d+""))"),13615.0)</f>
        <v>13615</v>
      </c>
    </row>
    <row r="9099">
      <c r="A9099" s="9" t="s">
        <v>30285</v>
      </c>
      <c r="B9099" s="9" t="s">
        <v>30286</v>
      </c>
      <c r="G9099" s="9" t="s">
        <v>30286</v>
      </c>
      <c r="O9099" s="10">
        <f>IFERROR(__xludf.DUMMYFUNCTION("VALUE(REGEXEXTRACT(A9099, ""\d+""))"),13616.0)</f>
        <v>13616</v>
      </c>
    </row>
    <row r="9100">
      <c r="A9100" s="9" t="s">
        <v>30287</v>
      </c>
      <c r="B9100" s="9" t="s">
        <v>30288</v>
      </c>
      <c r="G9100" s="9" t="s">
        <v>24954</v>
      </c>
      <c r="O9100" s="10">
        <f>IFERROR(__xludf.DUMMYFUNCTION("VALUE(REGEXEXTRACT(A9100, ""\d+""))"),13617.0)</f>
        <v>13617</v>
      </c>
    </row>
    <row r="9101">
      <c r="A9101" s="9" t="s">
        <v>30289</v>
      </c>
      <c r="B9101" s="9" t="s">
        <v>30290</v>
      </c>
      <c r="G9101" s="9" t="s">
        <v>30291</v>
      </c>
      <c r="O9101" s="10">
        <f>IFERROR(__xludf.DUMMYFUNCTION("VALUE(REGEXEXTRACT(A9101, ""\d+""))"),13618.0)</f>
        <v>13618</v>
      </c>
    </row>
    <row r="9102">
      <c r="A9102" s="9" t="s">
        <v>30292</v>
      </c>
      <c r="B9102" s="9" t="s">
        <v>30293</v>
      </c>
      <c r="G9102" s="9" t="s">
        <v>30294</v>
      </c>
      <c r="O9102" s="10">
        <f>IFERROR(__xludf.DUMMYFUNCTION("VALUE(REGEXEXTRACT(A9102, ""\d+""))"),13619.0)</f>
        <v>13619</v>
      </c>
    </row>
    <row r="9103">
      <c r="A9103" s="9" t="s">
        <v>30295</v>
      </c>
      <c r="B9103" s="9" t="s">
        <v>30296</v>
      </c>
      <c r="G9103" s="9" t="s">
        <v>30297</v>
      </c>
      <c r="O9103" s="10">
        <f>IFERROR(__xludf.DUMMYFUNCTION("VALUE(REGEXEXTRACT(A9103, ""\d+""))"),13621.0)</f>
        <v>13621</v>
      </c>
    </row>
    <row r="9104">
      <c r="A9104" s="9" t="s">
        <v>30298</v>
      </c>
      <c r="B9104" s="9" t="s">
        <v>30299</v>
      </c>
      <c r="G9104" s="9" t="s">
        <v>30300</v>
      </c>
      <c r="O9104" s="10">
        <f>IFERROR(__xludf.DUMMYFUNCTION("VALUE(REGEXEXTRACT(A9104, ""\d+""))"),13622.0)</f>
        <v>13622</v>
      </c>
    </row>
    <row r="9105">
      <c r="A9105" s="9" t="s">
        <v>30301</v>
      </c>
      <c r="B9105" s="9" t="s">
        <v>30302</v>
      </c>
      <c r="G9105" s="9" t="s">
        <v>30303</v>
      </c>
      <c r="O9105" s="10">
        <f>IFERROR(__xludf.DUMMYFUNCTION("VALUE(REGEXEXTRACT(A9105, ""\d+""))"),13623.0)</f>
        <v>13623</v>
      </c>
    </row>
    <row r="9106">
      <c r="A9106" s="9" t="s">
        <v>30304</v>
      </c>
      <c r="B9106" s="9" t="s">
        <v>30305</v>
      </c>
      <c r="G9106" s="9" t="s">
        <v>30306</v>
      </c>
      <c r="O9106" s="10">
        <f>IFERROR(__xludf.DUMMYFUNCTION("VALUE(REGEXEXTRACT(A9106, ""\d+""))"),13624.0)</f>
        <v>13624</v>
      </c>
    </row>
    <row r="9107">
      <c r="A9107" s="9" t="s">
        <v>30307</v>
      </c>
      <c r="B9107" s="9" t="s">
        <v>30308</v>
      </c>
      <c r="G9107" s="9" t="s">
        <v>30309</v>
      </c>
      <c r="O9107" s="10">
        <f>IFERROR(__xludf.DUMMYFUNCTION("VALUE(REGEXEXTRACT(A9107, ""\d+""))"),13625.0)</f>
        <v>13625</v>
      </c>
    </row>
    <row r="9108">
      <c r="A9108" s="9" t="s">
        <v>30310</v>
      </c>
      <c r="B9108" s="9" t="s">
        <v>30311</v>
      </c>
      <c r="G9108" s="9" t="s">
        <v>30312</v>
      </c>
      <c r="O9108" s="10">
        <f>IFERROR(__xludf.DUMMYFUNCTION("VALUE(REGEXEXTRACT(A9108, ""\d+""))"),13627.0)</f>
        <v>13627</v>
      </c>
    </row>
    <row r="9109">
      <c r="A9109" s="9" t="s">
        <v>30313</v>
      </c>
      <c r="B9109" s="9" t="s">
        <v>30314</v>
      </c>
      <c r="G9109" s="9" t="s">
        <v>30315</v>
      </c>
      <c r="O9109" s="10">
        <f>IFERROR(__xludf.DUMMYFUNCTION("VALUE(REGEXEXTRACT(A9109, ""\d+""))"),13630.0)</f>
        <v>13630</v>
      </c>
    </row>
    <row r="9110">
      <c r="A9110" s="9" t="s">
        <v>30316</v>
      </c>
      <c r="B9110" s="9" t="s">
        <v>30317</v>
      </c>
      <c r="G9110" s="9" t="s">
        <v>30318</v>
      </c>
      <c r="O9110" s="10">
        <f>IFERROR(__xludf.DUMMYFUNCTION("VALUE(REGEXEXTRACT(A9110, ""\d+""))"),13631.0)</f>
        <v>13631</v>
      </c>
    </row>
    <row r="9111">
      <c r="A9111" s="9" t="s">
        <v>30319</v>
      </c>
      <c r="B9111" s="9" t="s">
        <v>30320</v>
      </c>
      <c r="G9111" s="9" t="s">
        <v>30321</v>
      </c>
      <c r="O9111" s="10">
        <f>IFERROR(__xludf.DUMMYFUNCTION("VALUE(REGEXEXTRACT(A9111, ""\d+""))"),13632.0)</f>
        <v>13632</v>
      </c>
    </row>
    <row r="9112">
      <c r="A9112" s="9" t="s">
        <v>30322</v>
      </c>
      <c r="B9112" s="9" t="s">
        <v>30323</v>
      </c>
      <c r="G9112" s="9" t="s">
        <v>30324</v>
      </c>
      <c r="O9112" s="10">
        <f>IFERROR(__xludf.DUMMYFUNCTION("VALUE(REGEXEXTRACT(A9112, ""\d+""))"),13633.0)</f>
        <v>13633</v>
      </c>
    </row>
    <row r="9113">
      <c r="A9113" s="9" t="s">
        <v>30325</v>
      </c>
      <c r="B9113" s="9" t="s">
        <v>30326</v>
      </c>
      <c r="G9113" s="9" t="s">
        <v>30327</v>
      </c>
      <c r="O9113" s="10">
        <f>IFERROR(__xludf.DUMMYFUNCTION("VALUE(REGEXEXTRACT(A9113, ""\d+""))"),13634.0)</f>
        <v>13634</v>
      </c>
    </row>
    <row r="9114">
      <c r="A9114" s="9" t="s">
        <v>30328</v>
      </c>
      <c r="B9114" s="9" t="s">
        <v>30329</v>
      </c>
      <c r="G9114" s="9" t="s">
        <v>30330</v>
      </c>
      <c r="O9114" s="10">
        <f>IFERROR(__xludf.DUMMYFUNCTION("VALUE(REGEXEXTRACT(A9114, ""\d+""))"),13635.0)</f>
        <v>13635</v>
      </c>
    </row>
    <row r="9115">
      <c r="A9115" s="9" t="s">
        <v>30331</v>
      </c>
      <c r="B9115" s="9" t="s">
        <v>30332</v>
      </c>
      <c r="G9115" s="9" t="s">
        <v>30333</v>
      </c>
      <c r="O9115" s="10">
        <f>IFERROR(__xludf.DUMMYFUNCTION("VALUE(REGEXEXTRACT(A9115, ""\d+""))"),13636.0)</f>
        <v>13636</v>
      </c>
    </row>
    <row r="9116">
      <c r="A9116" s="9" t="s">
        <v>30334</v>
      </c>
      <c r="B9116" s="9" t="s">
        <v>30335</v>
      </c>
      <c r="G9116" s="9" t="s">
        <v>30336</v>
      </c>
      <c r="O9116" s="10">
        <f>IFERROR(__xludf.DUMMYFUNCTION("VALUE(REGEXEXTRACT(A9116, ""\d+""))"),13637.0)</f>
        <v>13637</v>
      </c>
    </row>
    <row r="9117">
      <c r="A9117" s="9" t="s">
        <v>30337</v>
      </c>
      <c r="B9117" s="9" t="s">
        <v>30338</v>
      </c>
      <c r="G9117" s="9" t="s">
        <v>30339</v>
      </c>
      <c r="O9117" s="10">
        <f>IFERROR(__xludf.DUMMYFUNCTION("VALUE(REGEXEXTRACT(A9117, ""\d+""))"),13638.0)</f>
        <v>13638</v>
      </c>
    </row>
    <row r="9118">
      <c r="A9118" s="9" t="s">
        <v>30340</v>
      </c>
      <c r="B9118" s="9" t="s">
        <v>30341</v>
      </c>
      <c r="G9118" s="9" t="s">
        <v>30342</v>
      </c>
      <c r="O9118" s="10">
        <f>IFERROR(__xludf.DUMMYFUNCTION("VALUE(REGEXEXTRACT(A9118, ""\d+""))"),13639.0)</f>
        <v>13639</v>
      </c>
    </row>
    <row r="9119">
      <c r="A9119" s="9" t="s">
        <v>30343</v>
      </c>
      <c r="B9119" s="9" t="s">
        <v>30344</v>
      </c>
      <c r="G9119" s="9" t="s">
        <v>30345</v>
      </c>
      <c r="O9119" s="10">
        <f>IFERROR(__xludf.DUMMYFUNCTION("VALUE(REGEXEXTRACT(A9119, ""\d+""))"),13640.0)</f>
        <v>13640</v>
      </c>
    </row>
    <row r="9120">
      <c r="A9120" s="9" t="s">
        <v>30346</v>
      </c>
      <c r="B9120" s="9" t="s">
        <v>30347</v>
      </c>
      <c r="G9120" s="9" t="s">
        <v>30348</v>
      </c>
      <c r="O9120" s="10">
        <f>IFERROR(__xludf.DUMMYFUNCTION("VALUE(REGEXEXTRACT(A9120, ""\d+""))"),13641.0)</f>
        <v>13641</v>
      </c>
    </row>
    <row r="9121">
      <c r="A9121" s="9" t="s">
        <v>30349</v>
      </c>
      <c r="B9121" s="9" t="s">
        <v>30350</v>
      </c>
      <c r="G9121" s="9" t="s">
        <v>30351</v>
      </c>
      <c r="O9121" s="10">
        <f>IFERROR(__xludf.DUMMYFUNCTION("VALUE(REGEXEXTRACT(A9121, ""\d+""))"),13642.0)</f>
        <v>13642</v>
      </c>
    </row>
    <row r="9122">
      <c r="A9122" s="9" t="s">
        <v>30352</v>
      </c>
      <c r="B9122" s="9" t="s">
        <v>30353</v>
      </c>
      <c r="G9122" s="9" t="s">
        <v>30354</v>
      </c>
      <c r="O9122" s="10">
        <f>IFERROR(__xludf.DUMMYFUNCTION("VALUE(REGEXEXTRACT(A9122, ""\d+""))"),13643.0)</f>
        <v>13643</v>
      </c>
    </row>
    <row r="9123">
      <c r="A9123" s="9" t="s">
        <v>30355</v>
      </c>
      <c r="B9123" s="9" t="s">
        <v>30356</v>
      </c>
      <c r="G9123" s="9" t="s">
        <v>30357</v>
      </c>
      <c r="O9123" s="10">
        <f>IFERROR(__xludf.DUMMYFUNCTION("VALUE(REGEXEXTRACT(A9123, ""\d+""))"),13644.0)</f>
        <v>13644</v>
      </c>
    </row>
    <row r="9124">
      <c r="A9124" s="9" t="s">
        <v>30358</v>
      </c>
      <c r="B9124" s="9" t="s">
        <v>30359</v>
      </c>
      <c r="G9124" s="9" t="s">
        <v>30360</v>
      </c>
      <c r="O9124" s="10">
        <f>IFERROR(__xludf.DUMMYFUNCTION("VALUE(REGEXEXTRACT(A9124, ""\d+""))"),13646.0)</f>
        <v>13646</v>
      </c>
    </row>
    <row r="9125">
      <c r="A9125" s="9" t="s">
        <v>30361</v>
      </c>
      <c r="B9125" s="9" t="s">
        <v>30362</v>
      </c>
      <c r="G9125" s="9" t="s">
        <v>30363</v>
      </c>
      <c r="O9125" s="10">
        <f>IFERROR(__xludf.DUMMYFUNCTION("VALUE(REGEXEXTRACT(A9125, ""\d+""))"),13648.0)</f>
        <v>13648</v>
      </c>
    </row>
    <row r="9126">
      <c r="A9126" s="9" t="s">
        <v>30364</v>
      </c>
      <c r="B9126" s="9" t="s">
        <v>30365</v>
      </c>
      <c r="G9126" s="9" t="s">
        <v>30366</v>
      </c>
      <c r="O9126" s="10">
        <f>IFERROR(__xludf.DUMMYFUNCTION("VALUE(REGEXEXTRACT(A9126, ""\d+""))"),13650.0)</f>
        <v>13650</v>
      </c>
    </row>
    <row r="9127">
      <c r="A9127" s="9" t="s">
        <v>30367</v>
      </c>
      <c r="B9127" s="9" t="s">
        <v>30368</v>
      </c>
      <c r="G9127" s="9" t="s">
        <v>30369</v>
      </c>
      <c r="O9127" s="10">
        <f>IFERROR(__xludf.DUMMYFUNCTION("VALUE(REGEXEXTRACT(A9127, ""\d+""))"),13651.0)</f>
        <v>13651</v>
      </c>
    </row>
    <row r="9128">
      <c r="A9128" s="9" t="s">
        <v>30370</v>
      </c>
      <c r="B9128" s="9" t="s">
        <v>30371</v>
      </c>
      <c r="G9128" s="9" t="s">
        <v>30372</v>
      </c>
      <c r="O9128" s="10">
        <f>IFERROR(__xludf.DUMMYFUNCTION("VALUE(REGEXEXTRACT(A9128, ""\d+""))"),13652.0)</f>
        <v>13652</v>
      </c>
    </row>
    <row r="9129">
      <c r="A9129" s="9" t="s">
        <v>30373</v>
      </c>
      <c r="B9129" s="9" t="s">
        <v>30374</v>
      </c>
      <c r="G9129" s="9" t="s">
        <v>30375</v>
      </c>
      <c r="O9129" s="10">
        <f>IFERROR(__xludf.DUMMYFUNCTION("VALUE(REGEXEXTRACT(A9129, ""\d+""))"),13653.0)</f>
        <v>13653</v>
      </c>
    </row>
    <row r="9130">
      <c r="A9130" s="9" t="s">
        <v>30376</v>
      </c>
      <c r="B9130" s="9" t="s">
        <v>30377</v>
      </c>
      <c r="G9130" s="9" t="s">
        <v>30378</v>
      </c>
      <c r="O9130" s="10">
        <f>IFERROR(__xludf.DUMMYFUNCTION("VALUE(REGEXEXTRACT(A9130, ""\d+""))"),13654.0)</f>
        <v>13654</v>
      </c>
    </row>
    <row r="9131">
      <c r="A9131" s="9" t="s">
        <v>30379</v>
      </c>
      <c r="B9131" s="9" t="s">
        <v>30380</v>
      </c>
      <c r="G9131" s="9" t="s">
        <v>30381</v>
      </c>
      <c r="O9131" s="10">
        <f>IFERROR(__xludf.DUMMYFUNCTION("VALUE(REGEXEXTRACT(A9131, ""\d+""))"),13655.0)</f>
        <v>13655</v>
      </c>
    </row>
    <row r="9132">
      <c r="A9132" s="9" t="s">
        <v>30382</v>
      </c>
      <c r="B9132" s="9" t="s">
        <v>30383</v>
      </c>
      <c r="G9132" s="9" t="s">
        <v>30384</v>
      </c>
      <c r="O9132" s="10">
        <f>IFERROR(__xludf.DUMMYFUNCTION("VALUE(REGEXEXTRACT(A9132, ""\d+""))"),13656.0)</f>
        <v>13656</v>
      </c>
    </row>
    <row r="9133">
      <c r="A9133" s="9" t="s">
        <v>30385</v>
      </c>
      <c r="B9133" s="9" t="s">
        <v>30386</v>
      </c>
      <c r="G9133" s="9" t="s">
        <v>30387</v>
      </c>
      <c r="O9133" s="10">
        <f>IFERROR(__xludf.DUMMYFUNCTION("VALUE(REGEXEXTRACT(A9133, ""\d+""))"),13657.0)</f>
        <v>13657</v>
      </c>
    </row>
    <row r="9134">
      <c r="A9134" s="9" t="s">
        <v>30388</v>
      </c>
      <c r="B9134" s="9" t="s">
        <v>30389</v>
      </c>
      <c r="G9134" s="9" t="s">
        <v>30390</v>
      </c>
      <c r="O9134" s="10">
        <f>IFERROR(__xludf.DUMMYFUNCTION("VALUE(REGEXEXTRACT(A9134, ""\d+""))"),13658.0)</f>
        <v>13658</v>
      </c>
    </row>
    <row r="9135">
      <c r="A9135" s="9" t="s">
        <v>30391</v>
      </c>
      <c r="B9135" s="9" t="s">
        <v>30392</v>
      </c>
      <c r="G9135" s="9" t="s">
        <v>30393</v>
      </c>
      <c r="O9135" s="10">
        <f>IFERROR(__xludf.DUMMYFUNCTION("VALUE(REGEXEXTRACT(A9135, ""\d+""))"),13659.0)</f>
        <v>13659</v>
      </c>
    </row>
    <row r="9136">
      <c r="A9136" s="9" t="s">
        <v>30394</v>
      </c>
      <c r="B9136" s="9" t="s">
        <v>30395</v>
      </c>
      <c r="G9136" s="9" t="s">
        <v>30396</v>
      </c>
      <c r="O9136" s="10">
        <f>IFERROR(__xludf.DUMMYFUNCTION("VALUE(REGEXEXTRACT(A9136, ""\d+""))"),13660.0)</f>
        <v>13660</v>
      </c>
    </row>
    <row r="9137">
      <c r="A9137" s="9" t="s">
        <v>30397</v>
      </c>
      <c r="B9137" s="9" t="s">
        <v>30398</v>
      </c>
      <c r="G9137" s="9" t="s">
        <v>30399</v>
      </c>
      <c r="O9137" s="10">
        <f>IFERROR(__xludf.DUMMYFUNCTION("VALUE(REGEXEXTRACT(A9137, ""\d+""))"),13661.0)</f>
        <v>13661</v>
      </c>
    </row>
    <row r="9138">
      <c r="A9138" s="9" t="s">
        <v>30400</v>
      </c>
      <c r="B9138" s="9" t="s">
        <v>30401</v>
      </c>
      <c r="G9138" s="9" t="s">
        <v>30402</v>
      </c>
      <c r="O9138" s="10">
        <f>IFERROR(__xludf.DUMMYFUNCTION("VALUE(REGEXEXTRACT(A9138, ""\d+""))"),13662.0)</f>
        <v>13662</v>
      </c>
    </row>
    <row r="9139">
      <c r="A9139" s="9" t="s">
        <v>30403</v>
      </c>
      <c r="B9139" s="9" t="s">
        <v>30404</v>
      </c>
      <c r="G9139" s="9" t="s">
        <v>30405</v>
      </c>
      <c r="O9139" s="10">
        <f>IFERROR(__xludf.DUMMYFUNCTION("VALUE(REGEXEXTRACT(A9139, ""\d+""))"),13663.0)</f>
        <v>13663</v>
      </c>
    </row>
    <row r="9140">
      <c r="A9140" s="9" t="s">
        <v>30406</v>
      </c>
      <c r="B9140" s="9" t="s">
        <v>30407</v>
      </c>
      <c r="G9140" s="9" t="s">
        <v>30408</v>
      </c>
      <c r="O9140" s="10">
        <f>IFERROR(__xludf.DUMMYFUNCTION("VALUE(REGEXEXTRACT(A9140, ""\d+""))"),13664.0)</f>
        <v>13664</v>
      </c>
    </row>
    <row r="9141">
      <c r="A9141" s="9" t="s">
        <v>30409</v>
      </c>
      <c r="B9141" s="9" t="s">
        <v>30410</v>
      </c>
      <c r="G9141" s="9" t="s">
        <v>30411</v>
      </c>
      <c r="O9141" s="10">
        <f>IFERROR(__xludf.DUMMYFUNCTION("VALUE(REGEXEXTRACT(A9141, ""\d+""))"),13665.0)</f>
        <v>13665</v>
      </c>
    </row>
    <row r="9142">
      <c r="A9142" s="9" t="s">
        <v>30412</v>
      </c>
      <c r="B9142" s="9" t="s">
        <v>30413</v>
      </c>
      <c r="G9142" s="9" t="s">
        <v>30414</v>
      </c>
      <c r="O9142" s="10">
        <f>IFERROR(__xludf.DUMMYFUNCTION("VALUE(REGEXEXTRACT(A9142, ""\d+""))"),13666.0)</f>
        <v>13666</v>
      </c>
    </row>
    <row r="9143">
      <c r="A9143" s="9" t="s">
        <v>30415</v>
      </c>
      <c r="B9143" s="9" t="s">
        <v>30416</v>
      </c>
      <c r="G9143" s="9" t="s">
        <v>30417</v>
      </c>
      <c r="O9143" s="10">
        <f>IFERROR(__xludf.DUMMYFUNCTION("VALUE(REGEXEXTRACT(A9143, ""\d+""))"),13668.0)</f>
        <v>13668</v>
      </c>
    </row>
    <row r="9144">
      <c r="A9144" s="9" t="s">
        <v>30418</v>
      </c>
      <c r="B9144" s="9" t="s">
        <v>30419</v>
      </c>
      <c r="G9144" s="9" t="s">
        <v>30420</v>
      </c>
      <c r="O9144" s="10">
        <f>IFERROR(__xludf.DUMMYFUNCTION("VALUE(REGEXEXTRACT(A9144, ""\d+""))"),13669.0)</f>
        <v>13669</v>
      </c>
    </row>
    <row r="9145">
      <c r="A9145" s="9" t="s">
        <v>30421</v>
      </c>
      <c r="B9145" s="9" t="s">
        <v>30422</v>
      </c>
      <c r="G9145" s="9" t="s">
        <v>30423</v>
      </c>
      <c r="O9145" s="10">
        <f>IFERROR(__xludf.DUMMYFUNCTION("VALUE(REGEXEXTRACT(A9145, ""\d+""))"),13671.0)</f>
        <v>13671</v>
      </c>
    </row>
    <row r="9146">
      <c r="A9146" s="9" t="s">
        <v>30424</v>
      </c>
      <c r="B9146" s="9" t="s">
        <v>30425</v>
      </c>
      <c r="G9146" s="9" t="s">
        <v>30426</v>
      </c>
      <c r="O9146" s="10">
        <f>IFERROR(__xludf.DUMMYFUNCTION("VALUE(REGEXEXTRACT(A9146, ""\d+""))"),13673.0)</f>
        <v>13673</v>
      </c>
    </row>
    <row r="9147">
      <c r="A9147" s="9" t="s">
        <v>30427</v>
      </c>
      <c r="B9147" s="9" t="s">
        <v>30428</v>
      </c>
      <c r="G9147" s="9" t="s">
        <v>30429</v>
      </c>
      <c r="O9147" s="10">
        <f>IFERROR(__xludf.DUMMYFUNCTION("VALUE(REGEXEXTRACT(A9147, ""\d+""))"),13674.0)</f>
        <v>13674</v>
      </c>
    </row>
    <row r="9148">
      <c r="A9148" s="9" t="s">
        <v>30430</v>
      </c>
      <c r="B9148" s="9" t="s">
        <v>30431</v>
      </c>
      <c r="G9148" s="9" t="s">
        <v>30432</v>
      </c>
      <c r="O9148" s="10">
        <f>IFERROR(__xludf.DUMMYFUNCTION("VALUE(REGEXEXTRACT(A9148, ""\d+""))"),13675.0)</f>
        <v>13675</v>
      </c>
    </row>
    <row r="9149">
      <c r="A9149" s="9" t="s">
        <v>30433</v>
      </c>
      <c r="B9149" s="9" t="s">
        <v>30434</v>
      </c>
      <c r="G9149" s="9" t="s">
        <v>30435</v>
      </c>
      <c r="O9149" s="10">
        <f>IFERROR(__xludf.DUMMYFUNCTION("VALUE(REGEXEXTRACT(A9149, ""\d+""))"),13676.0)</f>
        <v>13676</v>
      </c>
    </row>
    <row r="9150">
      <c r="A9150" s="9" t="s">
        <v>30436</v>
      </c>
      <c r="B9150" s="9" t="s">
        <v>30437</v>
      </c>
      <c r="G9150" s="9" t="s">
        <v>30438</v>
      </c>
      <c r="O9150" s="10">
        <f>IFERROR(__xludf.DUMMYFUNCTION("VALUE(REGEXEXTRACT(A9150, ""\d+""))"),13677.0)</f>
        <v>13677</v>
      </c>
    </row>
    <row r="9151">
      <c r="A9151" s="9" t="s">
        <v>30439</v>
      </c>
      <c r="B9151" s="9" t="s">
        <v>30440</v>
      </c>
      <c r="G9151" s="9" t="s">
        <v>30441</v>
      </c>
      <c r="O9151" s="10">
        <f>IFERROR(__xludf.DUMMYFUNCTION("VALUE(REGEXEXTRACT(A9151, ""\d+""))"),13678.0)</f>
        <v>13678</v>
      </c>
    </row>
    <row r="9152">
      <c r="A9152" s="9" t="s">
        <v>30442</v>
      </c>
      <c r="B9152" s="9" t="s">
        <v>30443</v>
      </c>
      <c r="G9152" s="9" t="s">
        <v>30444</v>
      </c>
      <c r="O9152" s="10">
        <f>IFERROR(__xludf.DUMMYFUNCTION("VALUE(REGEXEXTRACT(A9152, ""\d+""))"),13679.0)</f>
        <v>13679</v>
      </c>
    </row>
    <row r="9153">
      <c r="A9153" s="9" t="s">
        <v>30445</v>
      </c>
      <c r="B9153" s="9" t="s">
        <v>30446</v>
      </c>
      <c r="G9153" s="9" t="s">
        <v>30447</v>
      </c>
      <c r="O9153" s="10">
        <f>IFERROR(__xludf.DUMMYFUNCTION("VALUE(REGEXEXTRACT(A9153, ""\d+""))"),13680.0)</f>
        <v>13680</v>
      </c>
    </row>
    <row r="9154">
      <c r="A9154" s="9" t="s">
        <v>30448</v>
      </c>
      <c r="B9154" s="9" t="s">
        <v>30449</v>
      </c>
      <c r="G9154" s="9" t="s">
        <v>30450</v>
      </c>
      <c r="O9154" s="10">
        <f>IFERROR(__xludf.DUMMYFUNCTION("VALUE(REGEXEXTRACT(A9154, ""\d+""))"),13681.0)</f>
        <v>13681</v>
      </c>
    </row>
    <row r="9155">
      <c r="A9155" s="9" t="s">
        <v>30451</v>
      </c>
      <c r="B9155" s="9" t="s">
        <v>30452</v>
      </c>
      <c r="G9155" s="9" t="s">
        <v>30453</v>
      </c>
      <c r="O9155" s="10">
        <f>IFERROR(__xludf.DUMMYFUNCTION("VALUE(REGEXEXTRACT(A9155, ""\d+""))"),13683.0)</f>
        <v>13683</v>
      </c>
    </row>
    <row r="9156">
      <c r="A9156" s="9" t="s">
        <v>30454</v>
      </c>
      <c r="B9156" s="9" t="s">
        <v>30455</v>
      </c>
      <c r="G9156" s="9" t="s">
        <v>30456</v>
      </c>
      <c r="O9156" s="10">
        <f>IFERROR(__xludf.DUMMYFUNCTION("VALUE(REGEXEXTRACT(A9156, ""\d+""))"),13684.0)</f>
        <v>13684</v>
      </c>
    </row>
    <row r="9157">
      <c r="A9157" s="9" t="s">
        <v>30457</v>
      </c>
      <c r="B9157" s="9" t="s">
        <v>30458</v>
      </c>
      <c r="G9157" s="9" t="s">
        <v>30459</v>
      </c>
      <c r="O9157" s="10">
        <f>IFERROR(__xludf.DUMMYFUNCTION("VALUE(REGEXEXTRACT(A9157, ""\d+""))"),13685.0)</f>
        <v>13685</v>
      </c>
    </row>
    <row r="9158">
      <c r="A9158" s="9" t="s">
        <v>30460</v>
      </c>
      <c r="B9158" s="9" t="s">
        <v>30461</v>
      </c>
      <c r="G9158" s="9" t="s">
        <v>30462</v>
      </c>
      <c r="O9158" s="10">
        <f>IFERROR(__xludf.DUMMYFUNCTION("VALUE(REGEXEXTRACT(A9158, ""\d+""))"),13686.0)</f>
        <v>13686</v>
      </c>
    </row>
    <row r="9159">
      <c r="A9159" s="9" t="s">
        <v>30463</v>
      </c>
      <c r="B9159" s="9" t="s">
        <v>30464</v>
      </c>
      <c r="G9159" s="9" t="s">
        <v>30465</v>
      </c>
      <c r="O9159" s="10">
        <f>IFERROR(__xludf.DUMMYFUNCTION("VALUE(REGEXEXTRACT(A9159, ""\d+""))"),13687.0)</f>
        <v>13687</v>
      </c>
    </row>
    <row r="9160">
      <c r="A9160" s="9" t="s">
        <v>30466</v>
      </c>
      <c r="B9160" s="9" t="s">
        <v>30467</v>
      </c>
      <c r="G9160" s="9" t="s">
        <v>30468</v>
      </c>
      <c r="O9160" s="10">
        <f>IFERROR(__xludf.DUMMYFUNCTION("VALUE(REGEXEXTRACT(A9160, ""\d+""))"),13688.0)</f>
        <v>13688</v>
      </c>
    </row>
    <row r="9161">
      <c r="A9161" s="9" t="s">
        <v>30469</v>
      </c>
      <c r="B9161" s="9" t="s">
        <v>30470</v>
      </c>
      <c r="G9161" s="9" t="s">
        <v>30471</v>
      </c>
      <c r="O9161" s="10">
        <f>IFERROR(__xludf.DUMMYFUNCTION("VALUE(REGEXEXTRACT(A9161, ""\d+""))"),13689.0)</f>
        <v>13689</v>
      </c>
    </row>
    <row r="9162">
      <c r="A9162" s="9" t="s">
        <v>30472</v>
      </c>
      <c r="B9162" s="9" t="s">
        <v>30470</v>
      </c>
      <c r="G9162" s="9" t="s">
        <v>30471</v>
      </c>
      <c r="O9162" s="10">
        <f>IFERROR(__xludf.DUMMYFUNCTION("VALUE(REGEXEXTRACT(A9162, ""\d+""))"),13690.0)</f>
        <v>13690</v>
      </c>
    </row>
    <row r="9163">
      <c r="A9163" s="9" t="s">
        <v>30473</v>
      </c>
      <c r="B9163" s="9" t="s">
        <v>30470</v>
      </c>
      <c r="G9163" s="9" t="s">
        <v>30471</v>
      </c>
      <c r="O9163" s="10">
        <f>IFERROR(__xludf.DUMMYFUNCTION("VALUE(REGEXEXTRACT(A9163, ""\d+""))"),13691.0)</f>
        <v>13691</v>
      </c>
    </row>
    <row r="9164">
      <c r="A9164" s="9" t="s">
        <v>30474</v>
      </c>
      <c r="B9164" s="9" t="s">
        <v>30475</v>
      </c>
      <c r="G9164" s="9" t="s">
        <v>30476</v>
      </c>
      <c r="O9164" s="10">
        <f>IFERROR(__xludf.DUMMYFUNCTION("VALUE(REGEXEXTRACT(A9164, ""\d+""))"),13692.0)</f>
        <v>13692</v>
      </c>
    </row>
    <row r="9165">
      <c r="A9165" s="9" t="s">
        <v>30477</v>
      </c>
      <c r="B9165" s="9" t="s">
        <v>30478</v>
      </c>
      <c r="G9165" s="9" t="s">
        <v>30479</v>
      </c>
      <c r="O9165" s="10">
        <f>IFERROR(__xludf.DUMMYFUNCTION("VALUE(REGEXEXTRACT(A9165, ""\d+""))"),13694.0)</f>
        <v>13694</v>
      </c>
    </row>
    <row r="9166">
      <c r="A9166" s="9" t="s">
        <v>30480</v>
      </c>
      <c r="B9166" s="9" t="s">
        <v>30481</v>
      </c>
      <c r="G9166" s="9" t="s">
        <v>30482</v>
      </c>
      <c r="O9166" s="10">
        <f>IFERROR(__xludf.DUMMYFUNCTION("VALUE(REGEXEXTRACT(A9166, ""\d+""))"),13695.0)</f>
        <v>13695</v>
      </c>
    </row>
    <row r="9167">
      <c r="A9167" s="9" t="s">
        <v>30483</v>
      </c>
      <c r="B9167" s="9" t="s">
        <v>30484</v>
      </c>
      <c r="G9167" s="9" t="s">
        <v>30485</v>
      </c>
      <c r="O9167" s="10">
        <f>IFERROR(__xludf.DUMMYFUNCTION("VALUE(REGEXEXTRACT(A9167, ""\d+""))"),13699.0)</f>
        <v>13699</v>
      </c>
    </row>
    <row r="9168">
      <c r="A9168" s="9" t="s">
        <v>30486</v>
      </c>
      <c r="B9168" s="9" t="s">
        <v>30487</v>
      </c>
      <c r="G9168" s="9" t="s">
        <v>30488</v>
      </c>
      <c r="O9168" s="10">
        <f>IFERROR(__xludf.DUMMYFUNCTION("VALUE(REGEXEXTRACT(A9168, ""\d+""))"),13700.0)</f>
        <v>13700</v>
      </c>
    </row>
    <row r="9169">
      <c r="A9169" s="9" t="s">
        <v>30489</v>
      </c>
      <c r="B9169" s="9" t="s">
        <v>30490</v>
      </c>
      <c r="G9169" s="9" t="s">
        <v>30491</v>
      </c>
      <c r="O9169" s="10">
        <f>IFERROR(__xludf.DUMMYFUNCTION("VALUE(REGEXEXTRACT(A9169, ""\d+""))"),13701.0)</f>
        <v>13701</v>
      </c>
    </row>
    <row r="9170">
      <c r="A9170" s="9" t="s">
        <v>30492</v>
      </c>
      <c r="B9170" s="9" t="s">
        <v>30493</v>
      </c>
      <c r="G9170" s="9" t="s">
        <v>30494</v>
      </c>
      <c r="O9170" s="10">
        <f>IFERROR(__xludf.DUMMYFUNCTION("VALUE(REGEXEXTRACT(A9170, ""\d+""))"),13702.0)</f>
        <v>13702</v>
      </c>
    </row>
    <row r="9171">
      <c r="A9171" s="9" t="s">
        <v>30495</v>
      </c>
      <c r="B9171" s="9" t="s">
        <v>30496</v>
      </c>
      <c r="G9171" s="9" t="s">
        <v>30497</v>
      </c>
      <c r="O9171" s="10">
        <f>IFERROR(__xludf.DUMMYFUNCTION("VALUE(REGEXEXTRACT(A9171, ""\d+""))"),13703.0)</f>
        <v>13703</v>
      </c>
    </row>
    <row r="9172">
      <c r="A9172" s="9" t="s">
        <v>30498</v>
      </c>
      <c r="B9172" s="9" t="s">
        <v>30499</v>
      </c>
      <c r="G9172" s="9" t="s">
        <v>30500</v>
      </c>
      <c r="O9172" s="10">
        <f>IFERROR(__xludf.DUMMYFUNCTION("VALUE(REGEXEXTRACT(A9172, ""\d+""))"),13704.0)</f>
        <v>13704</v>
      </c>
    </row>
    <row r="9173">
      <c r="A9173" s="9" t="s">
        <v>30501</v>
      </c>
      <c r="B9173" s="9" t="s">
        <v>30502</v>
      </c>
      <c r="G9173" s="9" t="s">
        <v>30503</v>
      </c>
      <c r="O9173" s="10">
        <f>IFERROR(__xludf.DUMMYFUNCTION("VALUE(REGEXEXTRACT(A9173, ""\d+""))"),13705.0)</f>
        <v>13705</v>
      </c>
    </row>
    <row r="9174">
      <c r="A9174" s="9" t="s">
        <v>30504</v>
      </c>
      <c r="B9174" s="9" t="s">
        <v>30505</v>
      </c>
      <c r="G9174" s="9" t="s">
        <v>30506</v>
      </c>
      <c r="O9174" s="10">
        <f>IFERROR(__xludf.DUMMYFUNCTION("VALUE(REGEXEXTRACT(A9174, ""\d+""))"),13706.0)</f>
        <v>13706</v>
      </c>
    </row>
    <row r="9175">
      <c r="A9175" s="9" t="s">
        <v>30507</v>
      </c>
      <c r="B9175" s="9" t="s">
        <v>30508</v>
      </c>
      <c r="G9175" s="9" t="s">
        <v>30509</v>
      </c>
      <c r="O9175" s="10">
        <f>IFERROR(__xludf.DUMMYFUNCTION("VALUE(REGEXEXTRACT(A9175, ""\d+""))"),13707.0)</f>
        <v>13707</v>
      </c>
    </row>
    <row r="9176">
      <c r="A9176" s="9" t="s">
        <v>30510</v>
      </c>
      <c r="B9176" s="9" t="s">
        <v>30511</v>
      </c>
      <c r="G9176" s="9" t="s">
        <v>30512</v>
      </c>
      <c r="O9176" s="10">
        <f>IFERROR(__xludf.DUMMYFUNCTION("VALUE(REGEXEXTRACT(A9176, ""\d+""))"),13708.0)</f>
        <v>13708</v>
      </c>
    </row>
    <row r="9177">
      <c r="A9177" s="9" t="s">
        <v>30513</v>
      </c>
      <c r="B9177" s="9" t="s">
        <v>30514</v>
      </c>
      <c r="G9177" s="9" t="s">
        <v>30515</v>
      </c>
      <c r="O9177" s="10">
        <f>IFERROR(__xludf.DUMMYFUNCTION("VALUE(REGEXEXTRACT(A9177, ""\d+""))"),13709.0)</f>
        <v>13709</v>
      </c>
    </row>
    <row r="9178">
      <c r="A9178" s="9" t="s">
        <v>30516</v>
      </c>
      <c r="B9178" s="9" t="s">
        <v>30517</v>
      </c>
      <c r="G9178" s="9" t="s">
        <v>30518</v>
      </c>
      <c r="O9178" s="10">
        <f>IFERROR(__xludf.DUMMYFUNCTION("VALUE(REGEXEXTRACT(A9178, ""\d+""))"),13710.0)</f>
        <v>13710</v>
      </c>
    </row>
    <row r="9179">
      <c r="A9179" s="9" t="s">
        <v>30519</v>
      </c>
      <c r="B9179" s="9" t="s">
        <v>30520</v>
      </c>
      <c r="G9179" s="9" t="s">
        <v>30521</v>
      </c>
      <c r="O9179" s="10">
        <f>IFERROR(__xludf.DUMMYFUNCTION("VALUE(REGEXEXTRACT(A9179, ""\d+""))"),13711.0)</f>
        <v>13711</v>
      </c>
    </row>
    <row r="9180">
      <c r="A9180" s="9" t="s">
        <v>30522</v>
      </c>
      <c r="B9180" s="9" t="s">
        <v>30523</v>
      </c>
      <c r="G9180" s="9" t="s">
        <v>30524</v>
      </c>
      <c r="O9180" s="10">
        <f>IFERROR(__xludf.DUMMYFUNCTION("VALUE(REGEXEXTRACT(A9180, ""\d+""))"),13712.0)</f>
        <v>13712</v>
      </c>
    </row>
    <row r="9181">
      <c r="A9181" s="9" t="s">
        <v>30525</v>
      </c>
      <c r="B9181" s="9" t="s">
        <v>30526</v>
      </c>
      <c r="G9181" s="9" t="s">
        <v>30527</v>
      </c>
      <c r="O9181" s="10">
        <f>IFERROR(__xludf.DUMMYFUNCTION("VALUE(REGEXEXTRACT(A9181, ""\d+""))"),13713.0)</f>
        <v>13713</v>
      </c>
    </row>
    <row r="9182">
      <c r="A9182" s="9" t="s">
        <v>30528</v>
      </c>
      <c r="B9182" s="9" t="s">
        <v>30529</v>
      </c>
      <c r="G9182" s="9" t="s">
        <v>30530</v>
      </c>
      <c r="O9182" s="10">
        <f>IFERROR(__xludf.DUMMYFUNCTION("VALUE(REGEXEXTRACT(A9182, ""\d+""))"),13714.0)</f>
        <v>13714</v>
      </c>
    </row>
    <row r="9183">
      <c r="A9183" s="9" t="s">
        <v>30531</v>
      </c>
      <c r="B9183" s="9" t="s">
        <v>30532</v>
      </c>
      <c r="G9183" s="9" t="s">
        <v>30533</v>
      </c>
      <c r="O9183" s="10">
        <f>IFERROR(__xludf.DUMMYFUNCTION("VALUE(REGEXEXTRACT(A9183, ""\d+""))"),13715.0)</f>
        <v>13715</v>
      </c>
    </row>
    <row r="9184">
      <c r="A9184" s="9" t="s">
        <v>30534</v>
      </c>
      <c r="B9184" s="9" t="s">
        <v>30535</v>
      </c>
      <c r="G9184" s="9" t="s">
        <v>30536</v>
      </c>
      <c r="O9184" s="10">
        <f>IFERROR(__xludf.DUMMYFUNCTION("VALUE(REGEXEXTRACT(A9184, ""\d+""))"),13716.0)</f>
        <v>13716</v>
      </c>
    </row>
    <row r="9185">
      <c r="A9185" s="9" t="s">
        <v>30537</v>
      </c>
      <c r="B9185" s="9" t="s">
        <v>30538</v>
      </c>
      <c r="G9185" s="9" t="s">
        <v>30539</v>
      </c>
      <c r="O9185" s="10">
        <f>IFERROR(__xludf.DUMMYFUNCTION("VALUE(REGEXEXTRACT(A9185, ""\d+""))"),13717.0)</f>
        <v>13717</v>
      </c>
    </row>
    <row r="9186">
      <c r="A9186" s="9" t="s">
        <v>30540</v>
      </c>
      <c r="B9186" s="9" t="s">
        <v>30538</v>
      </c>
      <c r="G9186" s="9" t="s">
        <v>30539</v>
      </c>
      <c r="O9186" s="10">
        <f>IFERROR(__xludf.DUMMYFUNCTION("VALUE(REGEXEXTRACT(A9186, ""\d+""))"),13718.0)</f>
        <v>13718</v>
      </c>
    </row>
    <row r="9187">
      <c r="A9187" s="9" t="s">
        <v>30541</v>
      </c>
      <c r="B9187" s="9" t="s">
        <v>30542</v>
      </c>
      <c r="G9187" s="9" t="s">
        <v>30543</v>
      </c>
      <c r="O9187" s="10">
        <f>IFERROR(__xludf.DUMMYFUNCTION("VALUE(REGEXEXTRACT(A9187, ""\d+""))"),13719.0)</f>
        <v>13719</v>
      </c>
    </row>
    <row r="9188">
      <c r="A9188" s="9" t="s">
        <v>30544</v>
      </c>
      <c r="B9188" s="9" t="s">
        <v>30542</v>
      </c>
      <c r="G9188" s="9" t="s">
        <v>30543</v>
      </c>
      <c r="O9188" s="10">
        <f>IFERROR(__xludf.DUMMYFUNCTION("VALUE(REGEXEXTRACT(A9188, ""\d+""))"),13720.0)</f>
        <v>13720</v>
      </c>
    </row>
    <row r="9189">
      <c r="A9189" s="9" t="s">
        <v>30545</v>
      </c>
      <c r="B9189" s="9" t="s">
        <v>30546</v>
      </c>
      <c r="G9189" s="9" t="s">
        <v>30547</v>
      </c>
      <c r="O9189" s="10">
        <f>IFERROR(__xludf.DUMMYFUNCTION("VALUE(REGEXEXTRACT(A9189, ""\d+""))"),13721.0)</f>
        <v>13721</v>
      </c>
    </row>
    <row r="9190">
      <c r="A9190" s="9" t="s">
        <v>30548</v>
      </c>
      <c r="B9190" s="9" t="s">
        <v>30549</v>
      </c>
      <c r="G9190" s="9" t="s">
        <v>30550</v>
      </c>
      <c r="O9190" s="10">
        <f>IFERROR(__xludf.DUMMYFUNCTION("VALUE(REGEXEXTRACT(A9190, ""\d+""))"),13723.0)</f>
        <v>13723</v>
      </c>
    </row>
    <row r="9191">
      <c r="A9191" s="9" t="s">
        <v>30551</v>
      </c>
      <c r="B9191" s="9" t="s">
        <v>30552</v>
      </c>
      <c r="G9191" s="9" t="s">
        <v>30553</v>
      </c>
      <c r="O9191" s="10">
        <f>IFERROR(__xludf.DUMMYFUNCTION("VALUE(REGEXEXTRACT(A9191, ""\d+""))"),13724.0)</f>
        <v>13724</v>
      </c>
    </row>
    <row r="9192">
      <c r="A9192" s="9" t="s">
        <v>30554</v>
      </c>
      <c r="B9192" s="9" t="s">
        <v>30555</v>
      </c>
      <c r="G9192" s="9" t="s">
        <v>30556</v>
      </c>
      <c r="O9192" s="10">
        <f>IFERROR(__xludf.DUMMYFUNCTION("VALUE(REGEXEXTRACT(A9192, ""\d+""))"),13725.0)</f>
        <v>13725</v>
      </c>
    </row>
    <row r="9193">
      <c r="A9193" s="9" t="s">
        <v>30557</v>
      </c>
      <c r="B9193" s="9" t="s">
        <v>30558</v>
      </c>
      <c r="G9193" s="9" t="s">
        <v>30559</v>
      </c>
      <c r="O9193" s="10">
        <f>IFERROR(__xludf.DUMMYFUNCTION("VALUE(REGEXEXTRACT(A9193, ""\d+""))"),13726.0)</f>
        <v>13726</v>
      </c>
    </row>
    <row r="9194">
      <c r="A9194" s="9" t="s">
        <v>30560</v>
      </c>
      <c r="B9194" s="9" t="s">
        <v>30561</v>
      </c>
      <c r="G9194" s="9" t="s">
        <v>30562</v>
      </c>
      <c r="O9194" s="10">
        <f>IFERROR(__xludf.DUMMYFUNCTION("VALUE(REGEXEXTRACT(A9194, ""\d+""))"),13727.0)</f>
        <v>13727</v>
      </c>
    </row>
    <row r="9195">
      <c r="A9195" s="9" t="s">
        <v>30563</v>
      </c>
      <c r="B9195" s="9" t="s">
        <v>30564</v>
      </c>
      <c r="G9195" s="9" t="s">
        <v>30565</v>
      </c>
      <c r="O9195" s="10">
        <f>IFERROR(__xludf.DUMMYFUNCTION("VALUE(REGEXEXTRACT(A9195, ""\d+""))"),13728.0)</f>
        <v>13728</v>
      </c>
    </row>
    <row r="9196">
      <c r="A9196" s="9" t="s">
        <v>30566</v>
      </c>
      <c r="B9196" s="9" t="s">
        <v>30567</v>
      </c>
      <c r="G9196" s="9" t="s">
        <v>30568</v>
      </c>
      <c r="O9196" s="10">
        <f>IFERROR(__xludf.DUMMYFUNCTION("VALUE(REGEXEXTRACT(A9196, ""\d+""))"),13729.0)</f>
        <v>13729</v>
      </c>
    </row>
    <row r="9197">
      <c r="A9197" s="9" t="s">
        <v>30569</v>
      </c>
      <c r="B9197" s="9" t="s">
        <v>30570</v>
      </c>
      <c r="G9197" s="9" t="s">
        <v>30571</v>
      </c>
      <c r="O9197" s="10">
        <f>IFERROR(__xludf.DUMMYFUNCTION("VALUE(REGEXEXTRACT(A9197, ""\d+""))"),13730.0)</f>
        <v>13730</v>
      </c>
    </row>
    <row r="9198">
      <c r="A9198" s="9" t="s">
        <v>30572</v>
      </c>
      <c r="B9198" s="9" t="s">
        <v>30573</v>
      </c>
      <c r="G9198" s="9" t="s">
        <v>30574</v>
      </c>
      <c r="O9198" s="10">
        <f>IFERROR(__xludf.DUMMYFUNCTION("VALUE(REGEXEXTRACT(A9198, ""\d+""))"),13731.0)</f>
        <v>13731</v>
      </c>
    </row>
    <row r="9199">
      <c r="A9199" s="9" t="s">
        <v>30575</v>
      </c>
      <c r="B9199" s="9" t="s">
        <v>30576</v>
      </c>
      <c r="G9199" s="9" t="s">
        <v>30577</v>
      </c>
      <c r="O9199" s="10">
        <f>IFERROR(__xludf.DUMMYFUNCTION("VALUE(REGEXEXTRACT(A9199, ""\d+""))"),13735.0)</f>
        <v>13735</v>
      </c>
    </row>
    <row r="9200">
      <c r="A9200" s="9" t="s">
        <v>30578</v>
      </c>
      <c r="B9200" s="9" t="s">
        <v>30579</v>
      </c>
      <c r="G9200" s="9" t="s">
        <v>30580</v>
      </c>
      <c r="O9200" s="10">
        <f>IFERROR(__xludf.DUMMYFUNCTION("VALUE(REGEXEXTRACT(A9200, ""\d+""))"),13738.0)</f>
        <v>13738</v>
      </c>
    </row>
    <row r="9201">
      <c r="A9201" s="9" t="s">
        <v>30581</v>
      </c>
      <c r="B9201" s="9" t="s">
        <v>30582</v>
      </c>
      <c r="G9201" s="9" t="s">
        <v>30583</v>
      </c>
      <c r="O9201" s="10">
        <f>IFERROR(__xludf.DUMMYFUNCTION("VALUE(REGEXEXTRACT(A9201, ""\d+""))"),13739.0)</f>
        <v>13739</v>
      </c>
    </row>
    <row r="9202">
      <c r="A9202" s="9" t="s">
        <v>30584</v>
      </c>
      <c r="B9202" s="9" t="s">
        <v>30585</v>
      </c>
      <c r="G9202" s="9" t="s">
        <v>30586</v>
      </c>
      <c r="O9202" s="10">
        <f>IFERROR(__xludf.DUMMYFUNCTION("VALUE(REGEXEXTRACT(A9202, ""\d+""))"),13740.0)</f>
        <v>13740</v>
      </c>
    </row>
    <row r="9203">
      <c r="A9203" s="9" t="s">
        <v>30587</v>
      </c>
      <c r="B9203" s="9" t="s">
        <v>30588</v>
      </c>
      <c r="G9203" s="9" t="s">
        <v>30589</v>
      </c>
      <c r="O9203" s="10">
        <f>IFERROR(__xludf.DUMMYFUNCTION("VALUE(REGEXEXTRACT(A9203, ""\d+""))"),13741.0)</f>
        <v>13741</v>
      </c>
    </row>
    <row r="9204">
      <c r="A9204" s="9" t="s">
        <v>30590</v>
      </c>
      <c r="B9204" s="9" t="s">
        <v>30591</v>
      </c>
      <c r="G9204" s="9" t="s">
        <v>30592</v>
      </c>
      <c r="O9204" s="10">
        <f>IFERROR(__xludf.DUMMYFUNCTION("VALUE(REGEXEXTRACT(A9204, ""\d+""))"),13742.0)</f>
        <v>13742</v>
      </c>
    </row>
    <row r="9205">
      <c r="A9205" s="9" t="s">
        <v>30593</v>
      </c>
      <c r="B9205" s="9" t="s">
        <v>30594</v>
      </c>
      <c r="G9205" s="9" t="s">
        <v>30595</v>
      </c>
      <c r="O9205" s="10">
        <f>IFERROR(__xludf.DUMMYFUNCTION("VALUE(REGEXEXTRACT(A9205, ""\d+""))"),13743.0)</f>
        <v>13743</v>
      </c>
    </row>
    <row r="9206">
      <c r="A9206" s="9" t="s">
        <v>30596</v>
      </c>
      <c r="B9206" s="9" t="s">
        <v>30597</v>
      </c>
      <c r="G9206" s="9" t="s">
        <v>30598</v>
      </c>
      <c r="O9206" s="10">
        <f>IFERROR(__xludf.DUMMYFUNCTION("VALUE(REGEXEXTRACT(A9206, ""\d+""))"),13744.0)</f>
        <v>13744</v>
      </c>
    </row>
    <row r="9207">
      <c r="A9207" s="9" t="s">
        <v>30599</v>
      </c>
      <c r="B9207" s="9" t="s">
        <v>30600</v>
      </c>
      <c r="G9207" s="9" t="s">
        <v>30601</v>
      </c>
      <c r="O9207" s="10">
        <f>IFERROR(__xludf.DUMMYFUNCTION("VALUE(REGEXEXTRACT(A9207, ""\d+""))"),13745.0)</f>
        <v>13745</v>
      </c>
    </row>
    <row r="9208">
      <c r="A9208" s="9" t="s">
        <v>30602</v>
      </c>
      <c r="B9208" s="9" t="s">
        <v>30600</v>
      </c>
      <c r="G9208" s="9" t="s">
        <v>30601</v>
      </c>
      <c r="O9208" s="10">
        <f>IFERROR(__xludf.DUMMYFUNCTION("VALUE(REGEXEXTRACT(A9208, ""\d+""))"),13746.0)</f>
        <v>13746</v>
      </c>
    </row>
    <row r="9209">
      <c r="A9209" s="9" t="s">
        <v>30603</v>
      </c>
      <c r="B9209" s="9" t="s">
        <v>30600</v>
      </c>
      <c r="G9209" s="9" t="s">
        <v>30601</v>
      </c>
      <c r="O9209" s="10">
        <f>IFERROR(__xludf.DUMMYFUNCTION("VALUE(REGEXEXTRACT(A9209, ""\d+""))"),13747.0)</f>
        <v>13747</v>
      </c>
    </row>
    <row r="9210">
      <c r="A9210" s="9" t="s">
        <v>30604</v>
      </c>
      <c r="B9210" s="9" t="s">
        <v>30605</v>
      </c>
      <c r="G9210" s="9" t="s">
        <v>30606</v>
      </c>
      <c r="O9210" s="10">
        <f>IFERROR(__xludf.DUMMYFUNCTION("VALUE(REGEXEXTRACT(A9210, ""\d+""))"),13748.0)</f>
        <v>13748</v>
      </c>
    </row>
    <row r="9211">
      <c r="A9211" s="9" t="s">
        <v>30607</v>
      </c>
      <c r="B9211" s="9" t="s">
        <v>30605</v>
      </c>
      <c r="G9211" s="9" t="s">
        <v>30606</v>
      </c>
      <c r="O9211" s="10">
        <f>IFERROR(__xludf.DUMMYFUNCTION("VALUE(REGEXEXTRACT(A9211, ""\d+""))"),13749.0)</f>
        <v>13749</v>
      </c>
    </row>
    <row r="9212">
      <c r="A9212" s="9" t="s">
        <v>30608</v>
      </c>
      <c r="B9212" s="9" t="s">
        <v>30605</v>
      </c>
      <c r="G9212" s="9" t="s">
        <v>30606</v>
      </c>
      <c r="O9212" s="10">
        <f>IFERROR(__xludf.DUMMYFUNCTION("VALUE(REGEXEXTRACT(A9212, ""\d+""))"),13750.0)</f>
        <v>13750</v>
      </c>
    </row>
    <row r="9213">
      <c r="A9213" s="9" t="s">
        <v>30609</v>
      </c>
      <c r="B9213" s="9" t="s">
        <v>30610</v>
      </c>
      <c r="G9213" s="9" t="s">
        <v>30611</v>
      </c>
      <c r="O9213" s="10">
        <f>IFERROR(__xludf.DUMMYFUNCTION("VALUE(REGEXEXTRACT(A9213, ""\d+""))"),13751.0)</f>
        <v>13751</v>
      </c>
    </row>
    <row r="9214">
      <c r="A9214" s="9" t="s">
        <v>30612</v>
      </c>
      <c r="B9214" s="9" t="s">
        <v>30613</v>
      </c>
      <c r="G9214" s="9" t="s">
        <v>30614</v>
      </c>
      <c r="O9214" s="10">
        <f>IFERROR(__xludf.DUMMYFUNCTION("VALUE(REGEXEXTRACT(A9214, ""\d+""))"),13752.0)</f>
        <v>13752</v>
      </c>
    </row>
    <row r="9215">
      <c r="A9215" s="9" t="s">
        <v>30615</v>
      </c>
      <c r="B9215" s="9" t="s">
        <v>30613</v>
      </c>
      <c r="G9215" s="9" t="s">
        <v>30614</v>
      </c>
      <c r="O9215" s="10">
        <f>IFERROR(__xludf.DUMMYFUNCTION("VALUE(REGEXEXTRACT(A9215, ""\d+""))"),13753.0)</f>
        <v>13753</v>
      </c>
    </row>
    <row r="9216">
      <c r="A9216" s="9" t="s">
        <v>30616</v>
      </c>
      <c r="B9216" s="9" t="s">
        <v>30613</v>
      </c>
      <c r="G9216" s="9" t="s">
        <v>30614</v>
      </c>
      <c r="O9216" s="10">
        <f>IFERROR(__xludf.DUMMYFUNCTION("VALUE(REGEXEXTRACT(A9216, ""\d+""))"),13754.0)</f>
        <v>13754</v>
      </c>
    </row>
    <row r="9217">
      <c r="A9217" s="9" t="s">
        <v>30617</v>
      </c>
      <c r="B9217" s="9" t="s">
        <v>30618</v>
      </c>
      <c r="G9217" s="9" t="s">
        <v>30619</v>
      </c>
      <c r="O9217" s="10">
        <f>IFERROR(__xludf.DUMMYFUNCTION("VALUE(REGEXEXTRACT(A9217, ""\d+""))"),13757.0)</f>
        <v>13757</v>
      </c>
    </row>
    <row r="9218">
      <c r="A9218" s="9" t="s">
        <v>30620</v>
      </c>
      <c r="B9218" s="9" t="s">
        <v>30621</v>
      </c>
      <c r="G9218" s="9" t="s">
        <v>30622</v>
      </c>
      <c r="O9218" s="10">
        <f>IFERROR(__xludf.DUMMYFUNCTION("VALUE(REGEXEXTRACT(A9218, ""\d+""))"),13758.0)</f>
        <v>13758</v>
      </c>
    </row>
    <row r="9219">
      <c r="A9219" s="9" t="s">
        <v>30623</v>
      </c>
      <c r="B9219" s="9" t="s">
        <v>30624</v>
      </c>
      <c r="G9219" s="9" t="s">
        <v>30625</v>
      </c>
      <c r="O9219" s="10">
        <f>IFERROR(__xludf.DUMMYFUNCTION("VALUE(REGEXEXTRACT(A9219, ""\d+""))"),13759.0)</f>
        <v>13759</v>
      </c>
    </row>
    <row r="9220">
      <c r="A9220" s="9" t="s">
        <v>30626</v>
      </c>
      <c r="B9220" s="9" t="s">
        <v>30627</v>
      </c>
      <c r="G9220" s="9" t="s">
        <v>30628</v>
      </c>
      <c r="O9220" s="10">
        <f>IFERROR(__xludf.DUMMYFUNCTION("VALUE(REGEXEXTRACT(A9220, ""\d+""))"),13760.0)</f>
        <v>13760</v>
      </c>
    </row>
    <row r="9221">
      <c r="A9221" s="9" t="s">
        <v>30629</v>
      </c>
      <c r="B9221" s="9" t="s">
        <v>30630</v>
      </c>
      <c r="G9221" s="9" t="s">
        <v>30631</v>
      </c>
      <c r="O9221" s="10">
        <f>IFERROR(__xludf.DUMMYFUNCTION("VALUE(REGEXEXTRACT(A9221, ""\d+""))"),13761.0)</f>
        <v>13761</v>
      </c>
    </row>
    <row r="9222">
      <c r="A9222" s="9" t="s">
        <v>30632</v>
      </c>
      <c r="B9222" s="9" t="s">
        <v>30633</v>
      </c>
      <c r="G9222" s="9" t="s">
        <v>30634</v>
      </c>
      <c r="O9222" s="10">
        <f>IFERROR(__xludf.DUMMYFUNCTION("VALUE(REGEXEXTRACT(A9222, ""\d+""))"),13762.0)</f>
        <v>13762</v>
      </c>
    </row>
    <row r="9223">
      <c r="A9223" s="9" t="s">
        <v>30635</v>
      </c>
      <c r="B9223" s="9" t="s">
        <v>30636</v>
      </c>
      <c r="G9223" s="9" t="s">
        <v>30637</v>
      </c>
      <c r="O9223" s="10">
        <f>IFERROR(__xludf.DUMMYFUNCTION("VALUE(REGEXEXTRACT(A9223, ""\d+""))"),13763.0)</f>
        <v>13763</v>
      </c>
    </row>
    <row r="9224">
      <c r="A9224" s="9" t="s">
        <v>30638</v>
      </c>
      <c r="B9224" s="9" t="s">
        <v>30639</v>
      </c>
      <c r="G9224" s="9" t="s">
        <v>30640</v>
      </c>
      <c r="O9224" s="10">
        <f>IFERROR(__xludf.DUMMYFUNCTION("VALUE(REGEXEXTRACT(A9224, ""\d+""))"),13764.0)</f>
        <v>13764</v>
      </c>
    </row>
    <row r="9225">
      <c r="A9225" s="9" t="s">
        <v>30641</v>
      </c>
      <c r="B9225" s="9" t="s">
        <v>30642</v>
      </c>
      <c r="G9225" s="9" t="s">
        <v>30643</v>
      </c>
      <c r="O9225" s="10">
        <f>IFERROR(__xludf.DUMMYFUNCTION("VALUE(REGEXEXTRACT(A9225, ""\d+""))"),13765.0)</f>
        <v>13765</v>
      </c>
    </row>
    <row r="9226">
      <c r="A9226" s="9" t="s">
        <v>30644</v>
      </c>
      <c r="B9226" s="9" t="s">
        <v>30645</v>
      </c>
      <c r="G9226" s="9" t="s">
        <v>30646</v>
      </c>
      <c r="O9226" s="10">
        <f>IFERROR(__xludf.DUMMYFUNCTION("VALUE(REGEXEXTRACT(A9226, ""\d+""))"),13766.0)</f>
        <v>13766</v>
      </c>
    </row>
    <row r="9227">
      <c r="A9227" s="9" t="s">
        <v>30647</v>
      </c>
      <c r="B9227" s="9" t="s">
        <v>30648</v>
      </c>
      <c r="G9227" s="9" t="s">
        <v>30649</v>
      </c>
      <c r="O9227" s="10">
        <f>IFERROR(__xludf.DUMMYFUNCTION("VALUE(REGEXEXTRACT(A9227, ""\d+""))"),13767.0)</f>
        <v>13767</v>
      </c>
    </row>
    <row r="9228">
      <c r="A9228" s="9" t="s">
        <v>30650</v>
      </c>
      <c r="B9228" s="9" t="s">
        <v>30651</v>
      </c>
      <c r="G9228" s="9" t="s">
        <v>30652</v>
      </c>
      <c r="O9228" s="10">
        <f>IFERROR(__xludf.DUMMYFUNCTION("VALUE(REGEXEXTRACT(A9228, ""\d+""))"),13768.0)</f>
        <v>13768</v>
      </c>
    </row>
    <row r="9229">
      <c r="A9229" s="9" t="s">
        <v>30653</v>
      </c>
      <c r="B9229" s="9" t="s">
        <v>30654</v>
      </c>
      <c r="G9229" s="9" t="s">
        <v>30655</v>
      </c>
      <c r="O9229" s="10">
        <f>IFERROR(__xludf.DUMMYFUNCTION("VALUE(REGEXEXTRACT(A9229, ""\d+""))"),13769.0)</f>
        <v>13769</v>
      </c>
    </row>
    <row r="9230">
      <c r="A9230" s="9" t="s">
        <v>30656</v>
      </c>
      <c r="B9230" s="9" t="s">
        <v>30657</v>
      </c>
      <c r="G9230" s="9" t="s">
        <v>30658</v>
      </c>
      <c r="O9230" s="10">
        <f>IFERROR(__xludf.DUMMYFUNCTION("VALUE(REGEXEXTRACT(A9230, ""\d+""))"),13770.0)</f>
        <v>13770</v>
      </c>
    </row>
    <row r="9231">
      <c r="A9231" s="9" t="s">
        <v>30659</v>
      </c>
      <c r="B9231" s="9" t="s">
        <v>30660</v>
      </c>
      <c r="G9231" s="9" t="s">
        <v>30661</v>
      </c>
      <c r="O9231" s="10">
        <f>IFERROR(__xludf.DUMMYFUNCTION("VALUE(REGEXEXTRACT(A9231, ""\d+""))"),13772.0)</f>
        <v>13772</v>
      </c>
    </row>
    <row r="9232">
      <c r="A9232" s="9" t="s">
        <v>30662</v>
      </c>
      <c r="B9232" s="9" t="s">
        <v>30663</v>
      </c>
      <c r="G9232" s="9" t="s">
        <v>30664</v>
      </c>
      <c r="O9232" s="10">
        <f>IFERROR(__xludf.DUMMYFUNCTION("VALUE(REGEXEXTRACT(A9232, ""\d+""))"),13773.0)</f>
        <v>13773</v>
      </c>
    </row>
    <row r="9233">
      <c r="A9233" s="9" t="s">
        <v>30665</v>
      </c>
      <c r="B9233" s="9" t="s">
        <v>30666</v>
      </c>
      <c r="G9233" s="9" t="s">
        <v>30667</v>
      </c>
      <c r="O9233" s="10">
        <f>IFERROR(__xludf.DUMMYFUNCTION("VALUE(REGEXEXTRACT(A9233, ""\d+""))"),13774.0)</f>
        <v>13774</v>
      </c>
    </row>
    <row r="9234">
      <c r="A9234" s="9" t="s">
        <v>30668</v>
      </c>
      <c r="B9234" s="9" t="s">
        <v>30669</v>
      </c>
      <c r="G9234" s="9" t="s">
        <v>30670</v>
      </c>
      <c r="O9234" s="10">
        <f>IFERROR(__xludf.DUMMYFUNCTION("VALUE(REGEXEXTRACT(A9234, ""\d+""))"),13775.0)</f>
        <v>13775</v>
      </c>
    </row>
    <row r="9235">
      <c r="A9235" s="9" t="s">
        <v>30671</v>
      </c>
      <c r="B9235" s="9" t="s">
        <v>30672</v>
      </c>
      <c r="G9235" s="9" t="s">
        <v>30673</v>
      </c>
      <c r="O9235" s="10">
        <f>IFERROR(__xludf.DUMMYFUNCTION("VALUE(REGEXEXTRACT(A9235, ""\d+""))"),13776.0)</f>
        <v>13776</v>
      </c>
    </row>
    <row r="9236">
      <c r="A9236" s="9" t="s">
        <v>30674</v>
      </c>
      <c r="B9236" s="9" t="s">
        <v>30675</v>
      </c>
      <c r="G9236" s="9" t="s">
        <v>30676</v>
      </c>
      <c r="O9236" s="10">
        <f>IFERROR(__xludf.DUMMYFUNCTION("VALUE(REGEXEXTRACT(A9236, ""\d+""))"),13777.0)</f>
        <v>13777</v>
      </c>
    </row>
    <row r="9237">
      <c r="A9237" s="9" t="s">
        <v>30677</v>
      </c>
      <c r="B9237" s="9" t="s">
        <v>30678</v>
      </c>
      <c r="G9237" s="9" t="s">
        <v>30679</v>
      </c>
      <c r="O9237" s="10">
        <f>IFERROR(__xludf.DUMMYFUNCTION("VALUE(REGEXEXTRACT(A9237, ""\d+""))"),13778.0)</f>
        <v>13778</v>
      </c>
    </row>
    <row r="9238">
      <c r="A9238" s="9" t="s">
        <v>30680</v>
      </c>
      <c r="B9238" s="9" t="s">
        <v>30681</v>
      </c>
      <c r="G9238" s="9" t="s">
        <v>30682</v>
      </c>
      <c r="O9238" s="10">
        <f>IFERROR(__xludf.DUMMYFUNCTION("VALUE(REGEXEXTRACT(A9238, ""\d+""))"),13779.0)</f>
        <v>13779</v>
      </c>
    </row>
    <row r="9239">
      <c r="A9239" s="9" t="s">
        <v>30683</v>
      </c>
      <c r="B9239" s="9" t="s">
        <v>30684</v>
      </c>
      <c r="G9239" s="9" t="s">
        <v>30685</v>
      </c>
      <c r="O9239" s="10">
        <f>IFERROR(__xludf.DUMMYFUNCTION("VALUE(REGEXEXTRACT(A9239, ""\d+""))"),13780.0)</f>
        <v>13780</v>
      </c>
    </row>
    <row r="9240">
      <c r="A9240" s="9" t="s">
        <v>30686</v>
      </c>
      <c r="B9240" s="9" t="s">
        <v>30687</v>
      </c>
      <c r="G9240" s="9" t="s">
        <v>30688</v>
      </c>
      <c r="O9240" s="10">
        <f>IFERROR(__xludf.DUMMYFUNCTION("VALUE(REGEXEXTRACT(A9240, ""\d+""))"),13781.0)</f>
        <v>13781</v>
      </c>
    </row>
    <row r="9241">
      <c r="A9241" s="9" t="s">
        <v>30689</v>
      </c>
      <c r="B9241" s="9" t="s">
        <v>30690</v>
      </c>
      <c r="G9241" s="9" t="s">
        <v>30691</v>
      </c>
      <c r="O9241" s="10">
        <f>IFERROR(__xludf.DUMMYFUNCTION("VALUE(REGEXEXTRACT(A9241, ""\d+""))"),13782.0)</f>
        <v>13782</v>
      </c>
    </row>
    <row r="9242">
      <c r="A9242" s="9" t="s">
        <v>30692</v>
      </c>
      <c r="B9242" s="9" t="s">
        <v>30693</v>
      </c>
      <c r="G9242" s="9" t="s">
        <v>30694</v>
      </c>
      <c r="O9242" s="10">
        <f>IFERROR(__xludf.DUMMYFUNCTION("VALUE(REGEXEXTRACT(A9242, ""\d+""))"),13783.0)</f>
        <v>13783</v>
      </c>
    </row>
    <row r="9243">
      <c r="A9243" s="9" t="s">
        <v>30695</v>
      </c>
      <c r="B9243" s="9" t="s">
        <v>30696</v>
      </c>
      <c r="G9243" s="9" t="s">
        <v>30697</v>
      </c>
      <c r="O9243" s="10">
        <f>IFERROR(__xludf.DUMMYFUNCTION("VALUE(REGEXEXTRACT(A9243, ""\d+""))"),13784.0)</f>
        <v>13784</v>
      </c>
    </row>
    <row r="9244">
      <c r="A9244" s="9" t="s">
        <v>30698</v>
      </c>
      <c r="B9244" s="9" t="s">
        <v>30699</v>
      </c>
      <c r="G9244" s="9" t="s">
        <v>30700</v>
      </c>
      <c r="O9244" s="10">
        <f>IFERROR(__xludf.DUMMYFUNCTION("VALUE(REGEXEXTRACT(A9244, ""\d+""))"),13785.0)</f>
        <v>13785</v>
      </c>
    </row>
    <row r="9245">
      <c r="A9245" s="9" t="s">
        <v>30701</v>
      </c>
      <c r="B9245" s="9" t="s">
        <v>30702</v>
      </c>
      <c r="G9245" s="9" t="s">
        <v>30703</v>
      </c>
      <c r="O9245" s="10">
        <f>IFERROR(__xludf.DUMMYFUNCTION("VALUE(REGEXEXTRACT(A9245, ""\d+""))"),13786.0)</f>
        <v>13786</v>
      </c>
    </row>
    <row r="9246">
      <c r="A9246" s="9" t="s">
        <v>30704</v>
      </c>
      <c r="B9246" s="9" t="s">
        <v>30705</v>
      </c>
      <c r="G9246" s="9" t="s">
        <v>30706</v>
      </c>
      <c r="O9246" s="10">
        <f>IFERROR(__xludf.DUMMYFUNCTION("VALUE(REGEXEXTRACT(A9246, ""\d+""))"),13787.0)</f>
        <v>13787</v>
      </c>
    </row>
    <row r="9247">
      <c r="A9247" s="9" t="s">
        <v>30707</v>
      </c>
      <c r="B9247" s="9" t="s">
        <v>30708</v>
      </c>
      <c r="G9247" s="9" t="s">
        <v>30709</v>
      </c>
      <c r="O9247" s="10">
        <f>IFERROR(__xludf.DUMMYFUNCTION("VALUE(REGEXEXTRACT(A9247, ""\d+""))"),13788.0)</f>
        <v>13788</v>
      </c>
    </row>
    <row r="9248">
      <c r="A9248" s="9" t="s">
        <v>30710</v>
      </c>
      <c r="B9248" s="9" t="s">
        <v>30711</v>
      </c>
      <c r="G9248" s="9" t="s">
        <v>30712</v>
      </c>
      <c r="O9248" s="10">
        <f>IFERROR(__xludf.DUMMYFUNCTION("VALUE(REGEXEXTRACT(A9248, ""\d+""))"),13789.0)</f>
        <v>13789</v>
      </c>
    </row>
    <row r="9249">
      <c r="A9249" s="9" t="s">
        <v>30713</v>
      </c>
      <c r="B9249" s="9" t="s">
        <v>30714</v>
      </c>
      <c r="G9249" s="9" t="s">
        <v>30715</v>
      </c>
      <c r="O9249" s="10">
        <f>IFERROR(__xludf.DUMMYFUNCTION("VALUE(REGEXEXTRACT(A9249, ""\d+""))"),13790.0)</f>
        <v>13790</v>
      </c>
    </row>
    <row r="9250">
      <c r="A9250" s="9" t="s">
        <v>30716</v>
      </c>
      <c r="B9250" s="9" t="s">
        <v>30717</v>
      </c>
      <c r="G9250" s="9" t="s">
        <v>30718</v>
      </c>
      <c r="O9250" s="10">
        <f>IFERROR(__xludf.DUMMYFUNCTION("VALUE(REGEXEXTRACT(A9250, ""\d+""))"),13791.0)</f>
        <v>13791</v>
      </c>
    </row>
    <row r="9251">
      <c r="A9251" s="9" t="s">
        <v>30719</v>
      </c>
      <c r="B9251" s="9" t="s">
        <v>30720</v>
      </c>
      <c r="G9251" s="9" t="s">
        <v>30721</v>
      </c>
      <c r="O9251" s="10">
        <f>IFERROR(__xludf.DUMMYFUNCTION("VALUE(REGEXEXTRACT(A9251, ""\d+""))"),13792.0)</f>
        <v>13792</v>
      </c>
    </row>
    <row r="9252">
      <c r="A9252" s="9" t="s">
        <v>30722</v>
      </c>
      <c r="B9252" s="9" t="s">
        <v>30723</v>
      </c>
      <c r="G9252" s="9" t="s">
        <v>30724</v>
      </c>
      <c r="O9252" s="10">
        <f>IFERROR(__xludf.DUMMYFUNCTION("VALUE(REGEXEXTRACT(A9252, ""\d+""))"),13793.0)</f>
        <v>13793</v>
      </c>
    </row>
    <row r="9253">
      <c r="A9253" s="9" t="s">
        <v>30725</v>
      </c>
      <c r="B9253" s="9" t="s">
        <v>30726</v>
      </c>
      <c r="G9253" s="9" t="s">
        <v>30727</v>
      </c>
      <c r="O9253" s="10">
        <f>IFERROR(__xludf.DUMMYFUNCTION("VALUE(REGEXEXTRACT(A9253, ""\d+""))"),13794.0)</f>
        <v>13794</v>
      </c>
    </row>
    <row r="9254">
      <c r="A9254" s="9" t="s">
        <v>30728</v>
      </c>
      <c r="B9254" s="9" t="s">
        <v>30729</v>
      </c>
      <c r="G9254" s="9" t="s">
        <v>30730</v>
      </c>
      <c r="O9254" s="10">
        <f>IFERROR(__xludf.DUMMYFUNCTION("VALUE(REGEXEXTRACT(A9254, ""\d+""))"),13795.0)</f>
        <v>13795</v>
      </c>
    </row>
    <row r="9255">
      <c r="A9255" s="9" t="s">
        <v>30731</v>
      </c>
      <c r="B9255" s="9" t="s">
        <v>30732</v>
      </c>
      <c r="G9255" s="9" t="s">
        <v>30733</v>
      </c>
      <c r="O9255" s="10">
        <f>IFERROR(__xludf.DUMMYFUNCTION("VALUE(REGEXEXTRACT(A9255, ""\d+""))"),13796.0)</f>
        <v>13796</v>
      </c>
    </row>
    <row r="9256">
      <c r="A9256" s="9" t="s">
        <v>30734</v>
      </c>
      <c r="B9256" s="9" t="s">
        <v>30735</v>
      </c>
      <c r="G9256" s="9" t="s">
        <v>30736</v>
      </c>
      <c r="O9256" s="10">
        <f>IFERROR(__xludf.DUMMYFUNCTION("VALUE(REGEXEXTRACT(A9256, ""\d+""))"),13797.0)</f>
        <v>13797</v>
      </c>
    </row>
    <row r="9257">
      <c r="A9257" s="9" t="s">
        <v>30737</v>
      </c>
      <c r="B9257" s="9" t="s">
        <v>30738</v>
      </c>
      <c r="G9257" s="9" t="s">
        <v>30739</v>
      </c>
      <c r="O9257" s="10">
        <f>IFERROR(__xludf.DUMMYFUNCTION("VALUE(REGEXEXTRACT(A9257, ""\d+""))"),13798.0)</f>
        <v>13798</v>
      </c>
    </row>
    <row r="9258">
      <c r="A9258" s="9" t="s">
        <v>30740</v>
      </c>
      <c r="B9258" s="9" t="s">
        <v>30741</v>
      </c>
      <c r="G9258" s="9" t="s">
        <v>30742</v>
      </c>
      <c r="O9258" s="10">
        <f>IFERROR(__xludf.DUMMYFUNCTION("VALUE(REGEXEXTRACT(A9258, ""\d+""))"),13799.0)</f>
        <v>13799</v>
      </c>
    </row>
    <row r="9259">
      <c r="A9259" s="9" t="s">
        <v>30743</v>
      </c>
      <c r="B9259" s="9" t="s">
        <v>30744</v>
      </c>
      <c r="G9259" s="9" t="s">
        <v>30745</v>
      </c>
      <c r="O9259" s="10">
        <f>IFERROR(__xludf.DUMMYFUNCTION("VALUE(REGEXEXTRACT(A9259, ""\d+""))"),13800.0)</f>
        <v>13800</v>
      </c>
    </row>
    <row r="9260">
      <c r="A9260" s="9" t="s">
        <v>30746</v>
      </c>
      <c r="B9260" s="9" t="s">
        <v>30747</v>
      </c>
      <c r="G9260" s="9" t="s">
        <v>30748</v>
      </c>
      <c r="O9260" s="10">
        <f>IFERROR(__xludf.DUMMYFUNCTION("VALUE(REGEXEXTRACT(A9260, ""\d+""))"),13801.0)</f>
        <v>13801</v>
      </c>
    </row>
    <row r="9261">
      <c r="A9261" s="9" t="s">
        <v>30749</v>
      </c>
      <c r="B9261" s="9" t="s">
        <v>30750</v>
      </c>
      <c r="G9261" s="9" t="s">
        <v>30751</v>
      </c>
      <c r="O9261" s="10">
        <f>IFERROR(__xludf.DUMMYFUNCTION("VALUE(REGEXEXTRACT(A9261, ""\d+""))"),13802.0)</f>
        <v>13802</v>
      </c>
    </row>
    <row r="9262">
      <c r="A9262" s="9" t="s">
        <v>30752</v>
      </c>
      <c r="B9262" s="9" t="s">
        <v>30753</v>
      </c>
      <c r="G9262" s="9" t="s">
        <v>30754</v>
      </c>
      <c r="O9262" s="10">
        <f>IFERROR(__xludf.DUMMYFUNCTION("VALUE(REGEXEXTRACT(A9262, ""\d+""))"),13803.0)</f>
        <v>13803</v>
      </c>
    </row>
    <row r="9263">
      <c r="A9263" s="9" t="s">
        <v>30755</v>
      </c>
      <c r="B9263" s="9" t="s">
        <v>30756</v>
      </c>
      <c r="G9263" s="9" t="s">
        <v>30757</v>
      </c>
      <c r="O9263" s="10">
        <f>IFERROR(__xludf.DUMMYFUNCTION("VALUE(REGEXEXTRACT(A9263, ""\d+""))"),13804.0)</f>
        <v>13804</v>
      </c>
    </row>
    <row r="9264">
      <c r="A9264" s="9" t="s">
        <v>30758</v>
      </c>
      <c r="B9264" s="9" t="s">
        <v>30759</v>
      </c>
      <c r="G9264" s="9" t="s">
        <v>30760</v>
      </c>
      <c r="O9264" s="10">
        <f>IFERROR(__xludf.DUMMYFUNCTION("VALUE(REGEXEXTRACT(A9264, ""\d+""))"),13805.0)</f>
        <v>13805</v>
      </c>
    </row>
    <row r="9265">
      <c r="A9265" s="9" t="s">
        <v>30761</v>
      </c>
      <c r="B9265" s="9" t="s">
        <v>30762</v>
      </c>
      <c r="G9265" s="9" t="s">
        <v>30763</v>
      </c>
      <c r="O9265" s="10">
        <f>IFERROR(__xludf.DUMMYFUNCTION("VALUE(REGEXEXTRACT(A9265, ""\d+""))"),13806.0)</f>
        <v>13806</v>
      </c>
    </row>
    <row r="9266">
      <c r="A9266" s="9" t="s">
        <v>30764</v>
      </c>
      <c r="B9266" s="9" t="s">
        <v>30765</v>
      </c>
      <c r="G9266" s="9" t="s">
        <v>30766</v>
      </c>
      <c r="O9266" s="10">
        <f>IFERROR(__xludf.DUMMYFUNCTION("VALUE(REGEXEXTRACT(A9266, ""\d+""))"),13807.0)</f>
        <v>13807</v>
      </c>
    </row>
    <row r="9267">
      <c r="A9267" s="9" t="s">
        <v>30767</v>
      </c>
      <c r="B9267" s="9" t="s">
        <v>30768</v>
      </c>
      <c r="G9267" s="9" t="s">
        <v>30769</v>
      </c>
      <c r="O9267" s="10">
        <f>IFERROR(__xludf.DUMMYFUNCTION("VALUE(REGEXEXTRACT(A9267, ""\d+""))"),13808.0)</f>
        <v>13808</v>
      </c>
    </row>
    <row r="9268">
      <c r="A9268" s="9" t="s">
        <v>30770</v>
      </c>
      <c r="B9268" s="9" t="s">
        <v>30771</v>
      </c>
      <c r="G9268" s="9" t="s">
        <v>30772</v>
      </c>
      <c r="O9268" s="10">
        <f>IFERROR(__xludf.DUMMYFUNCTION("VALUE(REGEXEXTRACT(A9268, ""\d+""))"),13809.0)</f>
        <v>13809</v>
      </c>
    </row>
    <row r="9269">
      <c r="A9269" s="9" t="s">
        <v>30773</v>
      </c>
      <c r="B9269" s="9" t="s">
        <v>30774</v>
      </c>
      <c r="G9269" s="9" t="s">
        <v>30775</v>
      </c>
      <c r="O9269" s="10">
        <f>IFERROR(__xludf.DUMMYFUNCTION("VALUE(REGEXEXTRACT(A9269, ""\d+""))"),13810.0)</f>
        <v>13810</v>
      </c>
    </row>
    <row r="9270">
      <c r="A9270" s="9" t="s">
        <v>30776</v>
      </c>
      <c r="B9270" s="9" t="s">
        <v>30777</v>
      </c>
      <c r="G9270" s="9" t="s">
        <v>30778</v>
      </c>
      <c r="O9270" s="10">
        <f>IFERROR(__xludf.DUMMYFUNCTION("VALUE(REGEXEXTRACT(A9270, ""\d+""))"),13811.0)</f>
        <v>13811</v>
      </c>
    </row>
    <row r="9271">
      <c r="A9271" s="9" t="s">
        <v>30779</v>
      </c>
      <c r="B9271" s="9" t="s">
        <v>30780</v>
      </c>
      <c r="G9271" s="9" t="s">
        <v>30781</v>
      </c>
      <c r="O9271" s="10">
        <f>IFERROR(__xludf.DUMMYFUNCTION("VALUE(REGEXEXTRACT(A9271, ""\d+""))"),13812.0)</f>
        <v>13812</v>
      </c>
    </row>
    <row r="9272">
      <c r="A9272" s="9" t="s">
        <v>30782</v>
      </c>
      <c r="B9272" s="9" t="s">
        <v>30783</v>
      </c>
      <c r="G9272" s="9" t="s">
        <v>30784</v>
      </c>
      <c r="O9272" s="10">
        <f>IFERROR(__xludf.DUMMYFUNCTION("VALUE(REGEXEXTRACT(A9272, ""\d+""))"),13813.0)</f>
        <v>13813</v>
      </c>
    </row>
    <row r="9273">
      <c r="A9273" s="9" t="s">
        <v>30785</v>
      </c>
      <c r="B9273" s="9" t="s">
        <v>30786</v>
      </c>
      <c r="G9273" s="9" t="s">
        <v>30787</v>
      </c>
      <c r="O9273" s="10">
        <f>IFERROR(__xludf.DUMMYFUNCTION("VALUE(REGEXEXTRACT(A9273, ""\d+""))"),13814.0)</f>
        <v>13814</v>
      </c>
    </row>
    <row r="9274">
      <c r="A9274" s="9" t="s">
        <v>30788</v>
      </c>
      <c r="B9274" s="9" t="s">
        <v>30789</v>
      </c>
      <c r="G9274" s="9" t="s">
        <v>30769</v>
      </c>
      <c r="O9274" s="10">
        <f>IFERROR(__xludf.DUMMYFUNCTION("VALUE(REGEXEXTRACT(A9274, ""\d+""))"),13815.0)</f>
        <v>13815</v>
      </c>
    </row>
    <row r="9275">
      <c r="A9275" s="9" t="s">
        <v>30790</v>
      </c>
      <c r="B9275" s="9" t="s">
        <v>30791</v>
      </c>
      <c r="G9275" s="9" t="s">
        <v>30792</v>
      </c>
      <c r="O9275" s="10">
        <f>IFERROR(__xludf.DUMMYFUNCTION("VALUE(REGEXEXTRACT(A9275, ""\d+""))"),13816.0)</f>
        <v>13816</v>
      </c>
    </row>
    <row r="9276">
      <c r="A9276" s="9" t="s">
        <v>30793</v>
      </c>
      <c r="B9276" s="9" t="s">
        <v>30794</v>
      </c>
      <c r="G9276" s="9" t="s">
        <v>30795</v>
      </c>
      <c r="O9276" s="10">
        <f>IFERROR(__xludf.DUMMYFUNCTION("VALUE(REGEXEXTRACT(A9276, ""\d+""))"),13817.0)</f>
        <v>13817</v>
      </c>
    </row>
    <row r="9277">
      <c r="A9277" s="9" t="s">
        <v>30796</v>
      </c>
      <c r="B9277" s="9" t="s">
        <v>30797</v>
      </c>
      <c r="G9277" s="9" t="s">
        <v>30798</v>
      </c>
      <c r="O9277" s="10">
        <f>IFERROR(__xludf.DUMMYFUNCTION("VALUE(REGEXEXTRACT(A9277, ""\d+""))"),13818.0)</f>
        <v>13818</v>
      </c>
    </row>
    <row r="9278">
      <c r="A9278" s="9" t="s">
        <v>30799</v>
      </c>
      <c r="B9278" s="9" t="s">
        <v>30800</v>
      </c>
      <c r="G9278" s="9" t="s">
        <v>30801</v>
      </c>
      <c r="O9278" s="10">
        <f>IFERROR(__xludf.DUMMYFUNCTION("VALUE(REGEXEXTRACT(A9278, ""\d+""))"),13819.0)</f>
        <v>13819</v>
      </c>
    </row>
    <row r="9279">
      <c r="A9279" s="9" t="s">
        <v>30802</v>
      </c>
      <c r="B9279" s="9" t="s">
        <v>30803</v>
      </c>
      <c r="G9279" s="9" t="s">
        <v>30804</v>
      </c>
      <c r="O9279" s="10">
        <f>IFERROR(__xludf.DUMMYFUNCTION("VALUE(REGEXEXTRACT(A9279, ""\d+""))"),13820.0)</f>
        <v>13820</v>
      </c>
    </row>
    <row r="9280">
      <c r="A9280" s="9" t="s">
        <v>30805</v>
      </c>
      <c r="B9280" s="9" t="s">
        <v>30806</v>
      </c>
      <c r="G9280" s="9" t="s">
        <v>30807</v>
      </c>
      <c r="O9280" s="10">
        <f>IFERROR(__xludf.DUMMYFUNCTION("VALUE(REGEXEXTRACT(A9280, ""\d+""))"),13821.0)</f>
        <v>13821</v>
      </c>
    </row>
    <row r="9281">
      <c r="A9281" s="9" t="s">
        <v>30808</v>
      </c>
      <c r="B9281" s="9" t="s">
        <v>30809</v>
      </c>
      <c r="G9281" s="9" t="s">
        <v>30810</v>
      </c>
      <c r="O9281" s="10">
        <f>IFERROR(__xludf.DUMMYFUNCTION("VALUE(REGEXEXTRACT(A9281, ""\d+""))"),13822.0)</f>
        <v>13822</v>
      </c>
    </row>
    <row r="9282">
      <c r="A9282" s="9" t="s">
        <v>30811</v>
      </c>
      <c r="B9282" s="9" t="s">
        <v>30812</v>
      </c>
      <c r="G9282" s="9" t="s">
        <v>30813</v>
      </c>
      <c r="O9282" s="10">
        <f>IFERROR(__xludf.DUMMYFUNCTION("VALUE(REGEXEXTRACT(A9282, ""\d+""))"),13823.0)</f>
        <v>13823</v>
      </c>
    </row>
    <row r="9283">
      <c r="A9283" s="9" t="s">
        <v>30814</v>
      </c>
      <c r="B9283" s="9" t="s">
        <v>30815</v>
      </c>
      <c r="G9283" s="9" t="s">
        <v>30816</v>
      </c>
      <c r="O9283" s="10">
        <f>IFERROR(__xludf.DUMMYFUNCTION("VALUE(REGEXEXTRACT(A9283, ""\d+""))"),13824.0)</f>
        <v>13824</v>
      </c>
    </row>
    <row r="9284">
      <c r="A9284" s="9" t="s">
        <v>30817</v>
      </c>
      <c r="B9284" s="9" t="s">
        <v>30818</v>
      </c>
      <c r="G9284" s="9" t="s">
        <v>30819</v>
      </c>
      <c r="O9284" s="10">
        <f>IFERROR(__xludf.DUMMYFUNCTION("VALUE(REGEXEXTRACT(A9284, ""\d+""))"),13825.0)</f>
        <v>13825</v>
      </c>
    </row>
    <row r="9285">
      <c r="A9285" s="9" t="s">
        <v>30820</v>
      </c>
      <c r="B9285" s="9" t="s">
        <v>30821</v>
      </c>
      <c r="G9285" s="9" t="s">
        <v>30822</v>
      </c>
      <c r="O9285" s="10">
        <f>IFERROR(__xludf.DUMMYFUNCTION("VALUE(REGEXEXTRACT(A9285, ""\d+""))"),13826.0)</f>
        <v>13826</v>
      </c>
    </row>
    <row r="9286">
      <c r="A9286" s="9" t="s">
        <v>30823</v>
      </c>
      <c r="B9286" s="9" t="s">
        <v>30824</v>
      </c>
      <c r="G9286" s="9" t="s">
        <v>30825</v>
      </c>
      <c r="O9286" s="10">
        <f>IFERROR(__xludf.DUMMYFUNCTION("VALUE(REGEXEXTRACT(A9286, ""\d+""))"),13827.0)</f>
        <v>13827</v>
      </c>
    </row>
    <row r="9287">
      <c r="A9287" s="9" t="s">
        <v>30826</v>
      </c>
      <c r="B9287" s="9" t="s">
        <v>30827</v>
      </c>
      <c r="G9287" s="9" t="s">
        <v>30828</v>
      </c>
      <c r="O9287" s="10">
        <f>IFERROR(__xludf.DUMMYFUNCTION("VALUE(REGEXEXTRACT(A9287, ""\d+""))"),13828.0)</f>
        <v>13828</v>
      </c>
    </row>
    <row r="9288">
      <c r="A9288" s="9" t="s">
        <v>30829</v>
      </c>
      <c r="B9288" s="9" t="s">
        <v>30830</v>
      </c>
      <c r="G9288" s="9" t="s">
        <v>30831</v>
      </c>
      <c r="O9288" s="10">
        <f>IFERROR(__xludf.DUMMYFUNCTION("VALUE(REGEXEXTRACT(A9288, ""\d+""))"),13829.0)</f>
        <v>13829</v>
      </c>
    </row>
    <row r="9289">
      <c r="A9289" s="9" t="s">
        <v>30832</v>
      </c>
      <c r="B9289" s="9" t="s">
        <v>30833</v>
      </c>
      <c r="G9289" s="9" t="s">
        <v>30801</v>
      </c>
      <c r="O9289" s="10">
        <f>IFERROR(__xludf.DUMMYFUNCTION("VALUE(REGEXEXTRACT(A9289, ""\d+""))"),13830.0)</f>
        <v>13830</v>
      </c>
    </row>
    <row r="9290">
      <c r="A9290" s="9" t="s">
        <v>30834</v>
      </c>
      <c r="B9290" s="9" t="s">
        <v>30835</v>
      </c>
      <c r="G9290" s="9" t="s">
        <v>30836</v>
      </c>
      <c r="O9290" s="10">
        <f>IFERROR(__xludf.DUMMYFUNCTION("VALUE(REGEXEXTRACT(A9290, ""\d+""))"),13831.0)</f>
        <v>13831</v>
      </c>
    </row>
    <row r="9291">
      <c r="A9291" s="9" t="s">
        <v>30837</v>
      </c>
      <c r="B9291" s="9" t="s">
        <v>30838</v>
      </c>
      <c r="G9291" s="9" t="s">
        <v>30839</v>
      </c>
      <c r="O9291" s="10">
        <f>IFERROR(__xludf.DUMMYFUNCTION("VALUE(REGEXEXTRACT(A9291, ""\d+""))"),13832.0)</f>
        <v>13832</v>
      </c>
    </row>
    <row r="9292">
      <c r="A9292" s="9" t="s">
        <v>30840</v>
      </c>
      <c r="B9292" s="9" t="s">
        <v>30841</v>
      </c>
      <c r="G9292" s="9" t="s">
        <v>30842</v>
      </c>
      <c r="O9292" s="10">
        <f>IFERROR(__xludf.DUMMYFUNCTION("VALUE(REGEXEXTRACT(A9292, ""\d+""))"),13833.0)</f>
        <v>13833</v>
      </c>
    </row>
    <row r="9293">
      <c r="A9293" s="9" t="s">
        <v>30843</v>
      </c>
      <c r="B9293" s="9" t="s">
        <v>30844</v>
      </c>
      <c r="G9293" s="9" t="s">
        <v>30845</v>
      </c>
      <c r="O9293" s="10">
        <f>IFERROR(__xludf.DUMMYFUNCTION("VALUE(REGEXEXTRACT(A9293, ""\d+""))"),13834.0)</f>
        <v>13834</v>
      </c>
    </row>
    <row r="9294">
      <c r="A9294" s="9" t="s">
        <v>30846</v>
      </c>
      <c r="B9294" s="9" t="s">
        <v>30847</v>
      </c>
      <c r="G9294" s="9" t="s">
        <v>30848</v>
      </c>
      <c r="O9294" s="10">
        <f>IFERROR(__xludf.DUMMYFUNCTION("VALUE(REGEXEXTRACT(A9294, ""\d+""))"),13835.0)</f>
        <v>13835</v>
      </c>
    </row>
    <row r="9295">
      <c r="A9295" s="9" t="s">
        <v>30849</v>
      </c>
      <c r="B9295" s="9" t="s">
        <v>30850</v>
      </c>
      <c r="G9295" s="9" t="s">
        <v>30851</v>
      </c>
      <c r="O9295" s="10">
        <f>IFERROR(__xludf.DUMMYFUNCTION("VALUE(REGEXEXTRACT(A9295, ""\d+""))"),13836.0)</f>
        <v>13836</v>
      </c>
    </row>
    <row r="9296">
      <c r="A9296" s="9" t="s">
        <v>30852</v>
      </c>
      <c r="B9296" s="9" t="s">
        <v>30853</v>
      </c>
      <c r="G9296" s="9" t="s">
        <v>30854</v>
      </c>
      <c r="O9296" s="10">
        <f>IFERROR(__xludf.DUMMYFUNCTION("VALUE(REGEXEXTRACT(A9296, ""\d+""))"),13837.0)</f>
        <v>13837</v>
      </c>
    </row>
    <row r="9297">
      <c r="A9297" s="9" t="s">
        <v>30855</v>
      </c>
      <c r="B9297" s="9" t="s">
        <v>30856</v>
      </c>
      <c r="G9297" s="9" t="s">
        <v>30857</v>
      </c>
      <c r="O9297" s="10">
        <f>IFERROR(__xludf.DUMMYFUNCTION("VALUE(REGEXEXTRACT(A9297, ""\d+""))"),13838.0)</f>
        <v>13838</v>
      </c>
    </row>
    <row r="9298">
      <c r="A9298" s="9" t="s">
        <v>30858</v>
      </c>
      <c r="B9298" s="9" t="s">
        <v>30859</v>
      </c>
      <c r="G9298" s="9" t="s">
        <v>30860</v>
      </c>
      <c r="O9298" s="10">
        <f>IFERROR(__xludf.DUMMYFUNCTION("VALUE(REGEXEXTRACT(A9298, ""\d+""))"),13839.0)</f>
        <v>13839</v>
      </c>
    </row>
    <row r="9299">
      <c r="A9299" s="9" t="s">
        <v>30861</v>
      </c>
      <c r="B9299" s="9" t="s">
        <v>30862</v>
      </c>
      <c r="G9299" s="9" t="s">
        <v>30863</v>
      </c>
      <c r="O9299" s="10">
        <f>IFERROR(__xludf.DUMMYFUNCTION("VALUE(REGEXEXTRACT(A9299, ""\d+""))"),13840.0)</f>
        <v>13840</v>
      </c>
    </row>
    <row r="9300">
      <c r="A9300" s="9" t="s">
        <v>30864</v>
      </c>
      <c r="B9300" s="9" t="s">
        <v>30865</v>
      </c>
      <c r="G9300" s="9" t="s">
        <v>30866</v>
      </c>
      <c r="O9300" s="10">
        <f>IFERROR(__xludf.DUMMYFUNCTION("VALUE(REGEXEXTRACT(A9300, ""\d+""))"),13841.0)</f>
        <v>13841</v>
      </c>
    </row>
    <row r="9301">
      <c r="A9301" s="9" t="s">
        <v>30867</v>
      </c>
      <c r="B9301" s="9" t="s">
        <v>30868</v>
      </c>
      <c r="G9301" s="9" t="s">
        <v>30869</v>
      </c>
      <c r="O9301" s="10">
        <f>IFERROR(__xludf.DUMMYFUNCTION("VALUE(REGEXEXTRACT(A9301, ""\d+""))"),13842.0)</f>
        <v>13842</v>
      </c>
    </row>
    <row r="9302">
      <c r="A9302" s="9" t="s">
        <v>30870</v>
      </c>
      <c r="B9302" s="9" t="s">
        <v>30871</v>
      </c>
      <c r="G9302" s="9" t="s">
        <v>30872</v>
      </c>
      <c r="O9302" s="10">
        <f>IFERROR(__xludf.DUMMYFUNCTION("VALUE(REGEXEXTRACT(A9302, ""\d+""))"),13843.0)</f>
        <v>13843</v>
      </c>
    </row>
    <row r="9303">
      <c r="A9303" s="9" t="s">
        <v>30873</v>
      </c>
      <c r="B9303" s="9" t="s">
        <v>30874</v>
      </c>
      <c r="G9303" s="9" t="s">
        <v>30875</v>
      </c>
      <c r="O9303" s="10">
        <f>IFERROR(__xludf.DUMMYFUNCTION("VALUE(REGEXEXTRACT(A9303, ""\d+""))"),13844.0)</f>
        <v>13844</v>
      </c>
    </row>
    <row r="9304">
      <c r="A9304" s="9" t="s">
        <v>30876</v>
      </c>
      <c r="B9304" s="9" t="s">
        <v>30877</v>
      </c>
      <c r="G9304" s="9" t="s">
        <v>30878</v>
      </c>
      <c r="O9304" s="10">
        <f>IFERROR(__xludf.DUMMYFUNCTION("VALUE(REGEXEXTRACT(A9304, ""\d+""))"),13845.0)</f>
        <v>13845</v>
      </c>
    </row>
    <row r="9305">
      <c r="A9305" s="9" t="s">
        <v>30879</v>
      </c>
      <c r="B9305" s="9" t="s">
        <v>30880</v>
      </c>
      <c r="G9305" s="9" t="s">
        <v>30881</v>
      </c>
      <c r="O9305" s="10">
        <f>IFERROR(__xludf.DUMMYFUNCTION("VALUE(REGEXEXTRACT(A9305, ""\d+""))"),13846.0)</f>
        <v>13846</v>
      </c>
    </row>
    <row r="9306">
      <c r="A9306" s="9" t="s">
        <v>30882</v>
      </c>
      <c r="B9306" s="9" t="s">
        <v>30883</v>
      </c>
      <c r="G9306" s="9" t="s">
        <v>30884</v>
      </c>
      <c r="O9306" s="10">
        <f>IFERROR(__xludf.DUMMYFUNCTION("VALUE(REGEXEXTRACT(A9306, ""\d+""))"),13847.0)</f>
        <v>13847</v>
      </c>
    </row>
    <row r="9307">
      <c r="A9307" s="9" t="s">
        <v>30885</v>
      </c>
      <c r="B9307" s="9" t="s">
        <v>30886</v>
      </c>
      <c r="G9307" s="9" t="s">
        <v>30887</v>
      </c>
      <c r="O9307" s="10">
        <f>IFERROR(__xludf.DUMMYFUNCTION("VALUE(REGEXEXTRACT(A9307, ""\d+""))"),13848.0)</f>
        <v>13848</v>
      </c>
    </row>
    <row r="9308">
      <c r="A9308" s="9" t="s">
        <v>30888</v>
      </c>
      <c r="B9308" s="9" t="s">
        <v>30889</v>
      </c>
      <c r="G9308" s="9" t="s">
        <v>30890</v>
      </c>
      <c r="O9308" s="10">
        <f>IFERROR(__xludf.DUMMYFUNCTION("VALUE(REGEXEXTRACT(A9308, ""\d+""))"),13849.0)</f>
        <v>13849</v>
      </c>
    </row>
    <row r="9309">
      <c r="A9309" s="9" t="s">
        <v>30891</v>
      </c>
      <c r="B9309" s="9" t="s">
        <v>30892</v>
      </c>
      <c r="G9309" s="9" t="s">
        <v>30893</v>
      </c>
      <c r="O9309" s="10">
        <f>IFERROR(__xludf.DUMMYFUNCTION("VALUE(REGEXEXTRACT(A9309, ""\d+""))"),13850.0)</f>
        <v>13850</v>
      </c>
    </row>
    <row r="9310">
      <c r="A9310" s="9" t="s">
        <v>30894</v>
      </c>
      <c r="B9310" s="9" t="s">
        <v>30895</v>
      </c>
      <c r="G9310" s="9" t="s">
        <v>30896</v>
      </c>
      <c r="O9310" s="10">
        <f>IFERROR(__xludf.DUMMYFUNCTION("VALUE(REGEXEXTRACT(A9310, ""\d+""))"),13851.0)</f>
        <v>13851</v>
      </c>
    </row>
    <row r="9311">
      <c r="A9311" s="9" t="s">
        <v>30897</v>
      </c>
      <c r="B9311" s="9" t="s">
        <v>30898</v>
      </c>
      <c r="G9311" s="9" t="s">
        <v>30899</v>
      </c>
      <c r="O9311" s="10">
        <f>IFERROR(__xludf.DUMMYFUNCTION("VALUE(REGEXEXTRACT(A9311, ""\d+""))"),13852.0)</f>
        <v>13852</v>
      </c>
    </row>
    <row r="9312">
      <c r="A9312" s="9" t="s">
        <v>30900</v>
      </c>
      <c r="B9312" s="9" t="s">
        <v>30901</v>
      </c>
      <c r="G9312" s="9" t="s">
        <v>30902</v>
      </c>
      <c r="O9312" s="10">
        <f>IFERROR(__xludf.DUMMYFUNCTION("VALUE(REGEXEXTRACT(A9312, ""\d+""))"),13853.0)</f>
        <v>13853</v>
      </c>
    </row>
    <row r="9313">
      <c r="A9313" s="9" t="s">
        <v>30903</v>
      </c>
      <c r="B9313" s="9" t="s">
        <v>30904</v>
      </c>
      <c r="G9313" s="9" t="s">
        <v>30905</v>
      </c>
      <c r="O9313" s="10">
        <f>IFERROR(__xludf.DUMMYFUNCTION("VALUE(REGEXEXTRACT(A9313, ""\d+""))"),13854.0)</f>
        <v>13854</v>
      </c>
    </row>
    <row r="9314">
      <c r="A9314" s="9" t="s">
        <v>30906</v>
      </c>
      <c r="B9314" s="9" t="s">
        <v>30907</v>
      </c>
      <c r="G9314" s="9" t="s">
        <v>30908</v>
      </c>
      <c r="O9314" s="10">
        <f>IFERROR(__xludf.DUMMYFUNCTION("VALUE(REGEXEXTRACT(A9314, ""\d+""))"),13855.0)</f>
        <v>13855</v>
      </c>
    </row>
    <row r="9315">
      <c r="A9315" s="9" t="s">
        <v>30909</v>
      </c>
      <c r="B9315" s="9" t="s">
        <v>30910</v>
      </c>
      <c r="G9315" s="9" t="s">
        <v>30911</v>
      </c>
      <c r="O9315" s="10">
        <f>IFERROR(__xludf.DUMMYFUNCTION("VALUE(REGEXEXTRACT(A9315, ""\d+""))"),13856.0)</f>
        <v>13856</v>
      </c>
    </row>
    <row r="9316">
      <c r="A9316" s="9" t="s">
        <v>30912</v>
      </c>
      <c r="B9316" s="9" t="s">
        <v>30913</v>
      </c>
      <c r="G9316" s="9" t="s">
        <v>30914</v>
      </c>
      <c r="O9316" s="10">
        <f>IFERROR(__xludf.DUMMYFUNCTION("VALUE(REGEXEXTRACT(A9316, ""\d+""))"),13857.0)</f>
        <v>13857</v>
      </c>
    </row>
    <row r="9317">
      <c r="A9317" s="9" t="s">
        <v>30915</v>
      </c>
      <c r="B9317" s="9" t="s">
        <v>30916</v>
      </c>
      <c r="G9317" s="9" t="s">
        <v>30917</v>
      </c>
      <c r="O9317" s="10">
        <f>IFERROR(__xludf.DUMMYFUNCTION("VALUE(REGEXEXTRACT(A9317, ""\d+""))"),13858.0)</f>
        <v>13858</v>
      </c>
    </row>
    <row r="9318">
      <c r="A9318" s="9" t="s">
        <v>30918</v>
      </c>
      <c r="B9318" s="9" t="s">
        <v>30919</v>
      </c>
      <c r="G9318" s="9" t="s">
        <v>30920</v>
      </c>
      <c r="O9318" s="10">
        <f>IFERROR(__xludf.DUMMYFUNCTION("VALUE(REGEXEXTRACT(A9318, ""\d+""))"),13859.0)</f>
        <v>13859</v>
      </c>
    </row>
    <row r="9319">
      <c r="A9319" s="9" t="s">
        <v>30921</v>
      </c>
      <c r="B9319" s="9" t="s">
        <v>30922</v>
      </c>
      <c r="G9319" s="9" t="s">
        <v>30923</v>
      </c>
      <c r="O9319" s="10">
        <f>IFERROR(__xludf.DUMMYFUNCTION("VALUE(REGEXEXTRACT(A9319, ""\d+""))"),13860.0)</f>
        <v>13860</v>
      </c>
    </row>
    <row r="9320">
      <c r="A9320" s="9" t="s">
        <v>30924</v>
      </c>
      <c r="B9320" s="9" t="s">
        <v>30925</v>
      </c>
      <c r="G9320" s="9" t="s">
        <v>30926</v>
      </c>
      <c r="O9320" s="10">
        <f>IFERROR(__xludf.DUMMYFUNCTION("VALUE(REGEXEXTRACT(A9320, ""\d+""))"),13861.0)</f>
        <v>13861</v>
      </c>
    </row>
    <row r="9321">
      <c r="A9321" s="9" t="s">
        <v>30927</v>
      </c>
      <c r="B9321" s="9" t="s">
        <v>30928</v>
      </c>
      <c r="G9321" s="9" t="s">
        <v>30929</v>
      </c>
      <c r="O9321" s="10">
        <f>IFERROR(__xludf.DUMMYFUNCTION("VALUE(REGEXEXTRACT(A9321, ""\d+""))"),13862.0)</f>
        <v>13862</v>
      </c>
    </row>
    <row r="9322">
      <c r="A9322" s="9" t="s">
        <v>30930</v>
      </c>
      <c r="B9322" s="9" t="s">
        <v>30931</v>
      </c>
      <c r="G9322" s="9" t="s">
        <v>30932</v>
      </c>
      <c r="O9322" s="10">
        <f>IFERROR(__xludf.DUMMYFUNCTION("VALUE(REGEXEXTRACT(A9322, ""\d+""))"),13863.0)</f>
        <v>13863</v>
      </c>
    </row>
    <row r="9323">
      <c r="A9323" s="9" t="s">
        <v>30933</v>
      </c>
      <c r="B9323" s="9" t="s">
        <v>30934</v>
      </c>
      <c r="G9323" s="9" t="s">
        <v>30935</v>
      </c>
      <c r="O9323" s="10">
        <f>IFERROR(__xludf.DUMMYFUNCTION("VALUE(REGEXEXTRACT(A9323, ""\d+""))"),13864.0)</f>
        <v>13864</v>
      </c>
    </row>
    <row r="9324">
      <c r="A9324" s="9" t="s">
        <v>30936</v>
      </c>
      <c r="B9324" s="9" t="s">
        <v>30937</v>
      </c>
      <c r="G9324" s="9" t="s">
        <v>30938</v>
      </c>
      <c r="O9324" s="10">
        <f>IFERROR(__xludf.DUMMYFUNCTION("VALUE(REGEXEXTRACT(A9324, ""\d+""))"),13865.0)</f>
        <v>13865</v>
      </c>
    </row>
    <row r="9325">
      <c r="A9325" s="9" t="s">
        <v>30939</v>
      </c>
      <c r="B9325" s="9" t="s">
        <v>30940</v>
      </c>
      <c r="G9325" s="9" t="s">
        <v>30941</v>
      </c>
      <c r="O9325" s="10">
        <f>IFERROR(__xludf.DUMMYFUNCTION("VALUE(REGEXEXTRACT(A9325, ""\d+""))"),13866.0)</f>
        <v>13866</v>
      </c>
    </row>
    <row r="9326">
      <c r="A9326" s="9" t="s">
        <v>30942</v>
      </c>
      <c r="B9326" s="9" t="s">
        <v>30943</v>
      </c>
      <c r="G9326" s="9" t="s">
        <v>30944</v>
      </c>
      <c r="O9326" s="10">
        <f>IFERROR(__xludf.DUMMYFUNCTION("VALUE(REGEXEXTRACT(A9326, ""\d+""))"),13867.0)</f>
        <v>13867</v>
      </c>
    </row>
    <row r="9327">
      <c r="A9327" s="9" t="s">
        <v>30945</v>
      </c>
      <c r="B9327" s="9" t="s">
        <v>30946</v>
      </c>
      <c r="G9327" s="9" t="s">
        <v>30947</v>
      </c>
      <c r="O9327" s="10">
        <f>IFERROR(__xludf.DUMMYFUNCTION("VALUE(REGEXEXTRACT(A9327, ""\d+""))"),13868.0)</f>
        <v>13868</v>
      </c>
    </row>
    <row r="9328">
      <c r="A9328" s="9" t="s">
        <v>30948</v>
      </c>
      <c r="B9328" s="9" t="s">
        <v>30949</v>
      </c>
      <c r="G9328" s="9" t="s">
        <v>30950</v>
      </c>
      <c r="O9328" s="10">
        <f>IFERROR(__xludf.DUMMYFUNCTION("VALUE(REGEXEXTRACT(A9328, ""\d+""))"),13869.0)</f>
        <v>13869</v>
      </c>
    </row>
    <row r="9329">
      <c r="A9329" s="9" t="s">
        <v>30951</v>
      </c>
      <c r="B9329" s="9" t="s">
        <v>30952</v>
      </c>
      <c r="G9329" s="9" t="s">
        <v>30953</v>
      </c>
      <c r="O9329" s="10">
        <f>IFERROR(__xludf.DUMMYFUNCTION("VALUE(REGEXEXTRACT(A9329, ""\d+""))"),13870.0)</f>
        <v>13870</v>
      </c>
    </row>
    <row r="9330">
      <c r="A9330" s="9" t="s">
        <v>30954</v>
      </c>
      <c r="B9330" s="9" t="s">
        <v>30955</v>
      </c>
      <c r="G9330" s="9" t="s">
        <v>30956</v>
      </c>
      <c r="O9330" s="10">
        <f>IFERROR(__xludf.DUMMYFUNCTION("VALUE(REGEXEXTRACT(A9330, ""\d+""))"),13871.0)</f>
        <v>13871</v>
      </c>
    </row>
    <row r="9331">
      <c r="A9331" s="9" t="s">
        <v>30957</v>
      </c>
      <c r="B9331" s="9" t="s">
        <v>30958</v>
      </c>
      <c r="G9331" s="9" t="s">
        <v>30959</v>
      </c>
      <c r="O9331" s="10">
        <f>IFERROR(__xludf.DUMMYFUNCTION("VALUE(REGEXEXTRACT(A9331, ""\d+""))"),13872.0)</f>
        <v>13872</v>
      </c>
    </row>
    <row r="9332">
      <c r="A9332" s="9" t="s">
        <v>30960</v>
      </c>
      <c r="B9332" s="9" t="s">
        <v>30961</v>
      </c>
      <c r="G9332" s="9" t="s">
        <v>30962</v>
      </c>
      <c r="O9332" s="10">
        <f>IFERROR(__xludf.DUMMYFUNCTION("VALUE(REGEXEXTRACT(A9332, ""\d+""))"),13873.0)</f>
        <v>13873</v>
      </c>
    </row>
    <row r="9333">
      <c r="A9333" s="9" t="s">
        <v>30963</v>
      </c>
      <c r="B9333" s="9" t="s">
        <v>30964</v>
      </c>
      <c r="G9333" s="9" t="s">
        <v>30965</v>
      </c>
      <c r="O9333" s="10">
        <f>IFERROR(__xludf.DUMMYFUNCTION("VALUE(REGEXEXTRACT(A9333, ""\d+""))"),13874.0)</f>
        <v>13874</v>
      </c>
    </row>
    <row r="9334">
      <c r="A9334" s="9" t="s">
        <v>30966</v>
      </c>
      <c r="B9334" s="9" t="s">
        <v>30967</v>
      </c>
      <c r="G9334" s="9" t="s">
        <v>30968</v>
      </c>
      <c r="O9334" s="10">
        <f>IFERROR(__xludf.DUMMYFUNCTION("VALUE(REGEXEXTRACT(A9334, ""\d+""))"),13876.0)</f>
        <v>13876</v>
      </c>
    </row>
    <row r="9335">
      <c r="A9335" s="9" t="s">
        <v>30969</v>
      </c>
      <c r="B9335" s="9" t="s">
        <v>30970</v>
      </c>
      <c r="G9335" s="9" t="s">
        <v>30971</v>
      </c>
      <c r="O9335" s="10">
        <f>IFERROR(__xludf.DUMMYFUNCTION("VALUE(REGEXEXTRACT(A9335, ""\d+""))"),13877.0)</f>
        <v>13877</v>
      </c>
    </row>
    <row r="9336">
      <c r="A9336" s="9" t="s">
        <v>30972</v>
      </c>
      <c r="B9336" s="9" t="s">
        <v>30973</v>
      </c>
      <c r="G9336" s="9" t="s">
        <v>30974</v>
      </c>
      <c r="O9336" s="10">
        <f>IFERROR(__xludf.DUMMYFUNCTION("VALUE(REGEXEXTRACT(A9336, ""\d+""))"),13880.0)</f>
        <v>13880</v>
      </c>
    </row>
    <row r="9337">
      <c r="A9337" s="9" t="s">
        <v>30975</v>
      </c>
      <c r="B9337" s="9" t="s">
        <v>30976</v>
      </c>
      <c r="G9337" s="9" t="s">
        <v>30977</v>
      </c>
      <c r="O9337" s="10">
        <f>IFERROR(__xludf.DUMMYFUNCTION("VALUE(REGEXEXTRACT(A9337, ""\d+""))"),13881.0)</f>
        <v>13881</v>
      </c>
    </row>
    <row r="9338">
      <c r="A9338" s="9" t="s">
        <v>30978</v>
      </c>
      <c r="B9338" s="9" t="s">
        <v>30979</v>
      </c>
      <c r="G9338" s="9" t="s">
        <v>30980</v>
      </c>
      <c r="O9338" s="10">
        <f>IFERROR(__xludf.DUMMYFUNCTION("VALUE(REGEXEXTRACT(A9338, ""\d+""))"),13882.0)</f>
        <v>13882</v>
      </c>
    </row>
    <row r="9339">
      <c r="A9339" s="9" t="s">
        <v>30981</v>
      </c>
      <c r="B9339" s="9" t="s">
        <v>30982</v>
      </c>
      <c r="G9339" s="9" t="s">
        <v>30983</v>
      </c>
      <c r="O9339" s="10">
        <f>IFERROR(__xludf.DUMMYFUNCTION("VALUE(REGEXEXTRACT(A9339, ""\d+""))"),13883.0)</f>
        <v>13883</v>
      </c>
    </row>
    <row r="9340">
      <c r="A9340" s="9" t="s">
        <v>30984</v>
      </c>
      <c r="B9340" s="9" t="s">
        <v>30979</v>
      </c>
      <c r="G9340" s="9" t="s">
        <v>30980</v>
      </c>
      <c r="O9340" s="10">
        <f>IFERROR(__xludf.DUMMYFUNCTION("VALUE(REGEXEXTRACT(A9340, ""\d+""))"),13884.0)</f>
        <v>13884</v>
      </c>
    </row>
    <row r="9341">
      <c r="A9341" s="9" t="s">
        <v>30985</v>
      </c>
      <c r="B9341" s="9" t="s">
        <v>30986</v>
      </c>
      <c r="G9341" s="9" t="s">
        <v>30987</v>
      </c>
      <c r="O9341" s="10">
        <f>IFERROR(__xludf.DUMMYFUNCTION("VALUE(REGEXEXTRACT(A9341, ""\d+""))"),13885.0)</f>
        <v>13885</v>
      </c>
    </row>
    <row r="9342">
      <c r="A9342" s="9" t="s">
        <v>30988</v>
      </c>
      <c r="B9342" s="9" t="s">
        <v>30989</v>
      </c>
      <c r="G9342" s="9" t="s">
        <v>30990</v>
      </c>
      <c r="O9342" s="10">
        <f>IFERROR(__xludf.DUMMYFUNCTION("VALUE(REGEXEXTRACT(A9342, ""\d+""))"),13886.0)</f>
        <v>13886</v>
      </c>
    </row>
    <row r="9343">
      <c r="A9343" s="9" t="s">
        <v>30991</v>
      </c>
      <c r="B9343" s="9" t="s">
        <v>30992</v>
      </c>
      <c r="G9343" s="9" t="s">
        <v>30993</v>
      </c>
      <c r="O9343" s="10">
        <f>IFERROR(__xludf.DUMMYFUNCTION("VALUE(REGEXEXTRACT(A9343, ""\d+""))"),13887.0)</f>
        <v>13887</v>
      </c>
    </row>
    <row r="9344">
      <c r="A9344" s="9" t="s">
        <v>30994</v>
      </c>
      <c r="B9344" s="9" t="s">
        <v>30995</v>
      </c>
      <c r="G9344" s="9" t="s">
        <v>30996</v>
      </c>
      <c r="O9344" s="10">
        <f>IFERROR(__xludf.DUMMYFUNCTION("VALUE(REGEXEXTRACT(A9344, ""\d+""))"),13888.0)</f>
        <v>13888</v>
      </c>
    </row>
    <row r="9345">
      <c r="A9345" s="9" t="s">
        <v>30997</v>
      </c>
      <c r="B9345" s="9" t="s">
        <v>30998</v>
      </c>
      <c r="G9345" s="9" t="s">
        <v>30999</v>
      </c>
      <c r="O9345" s="10">
        <f>IFERROR(__xludf.DUMMYFUNCTION("VALUE(REGEXEXTRACT(A9345, ""\d+""))"),13889.0)</f>
        <v>13889</v>
      </c>
    </row>
    <row r="9346">
      <c r="A9346" s="9" t="s">
        <v>31000</v>
      </c>
      <c r="B9346" s="9" t="s">
        <v>31001</v>
      </c>
      <c r="G9346" s="9" t="s">
        <v>31002</v>
      </c>
      <c r="O9346" s="10">
        <f>IFERROR(__xludf.DUMMYFUNCTION("VALUE(REGEXEXTRACT(A9346, ""\d+""))"),13890.0)</f>
        <v>13890</v>
      </c>
    </row>
    <row r="9347">
      <c r="A9347" s="9" t="s">
        <v>31003</v>
      </c>
      <c r="B9347" s="9" t="s">
        <v>31004</v>
      </c>
      <c r="G9347" s="9" t="s">
        <v>31005</v>
      </c>
      <c r="O9347" s="10">
        <f>IFERROR(__xludf.DUMMYFUNCTION("VALUE(REGEXEXTRACT(A9347, ""\d+""))"),13891.0)</f>
        <v>13891</v>
      </c>
    </row>
    <row r="9348">
      <c r="A9348" s="9" t="s">
        <v>31006</v>
      </c>
      <c r="B9348" s="9" t="s">
        <v>31007</v>
      </c>
      <c r="G9348" s="9" t="s">
        <v>31008</v>
      </c>
      <c r="O9348" s="10">
        <f>IFERROR(__xludf.DUMMYFUNCTION("VALUE(REGEXEXTRACT(A9348, ""\d+""))"),13892.0)</f>
        <v>13892</v>
      </c>
    </row>
    <row r="9349">
      <c r="A9349" s="9" t="s">
        <v>31009</v>
      </c>
      <c r="B9349" s="9" t="s">
        <v>31010</v>
      </c>
      <c r="G9349" s="9" t="s">
        <v>31011</v>
      </c>
      <c r="O9349" s="10">
        <f>IFERROR(__xludf.DUMMYFUNCTION("VALUE(REGEXEXTRACT(A9349, ""\d+""))"),13893.0)</f>
        <v>13893</v>
      </c>
    </row>
    <row r="9350">
      <c r="A9350" s="9" t="s">
        <v>31012</v>
      </c>
      <c r="B9350" s="9" t="s">
        <v>31013</v>
      </c>
      <c r="G9350" s="9" t="s">
        <v>31014</v>
      </c>
      <c r="O9350" s="10">
        <f>IFERROR(__xludf.DUMMYFUNCTION("VALUE(REGEXEXTRACT(A9350, ""\d+""))"),13894.0)</f>
        <v>13894</v>
      </c>
    </row>
    <row r="9351">
      <c r="A9351" s="9" t="s">
        <v>31015</v>
      </c>
      <c r="B9351" s="9" t="s">
        <v>31016</v>
      </c>
      <c r="G9351" s="9" t="s">
        <v>31017</v>
      </c>
      <c r="O9351" s="10">
        <f>IFERROR(__xludf.DUMMYFUNCTION("VALUE(REGEXEXTRACT(A9351, ""\d+""))"),13895.0)</f>
        <v>13895</v>
      </c>
    </row>
    <row r="9352">
      <c r="A9352" s="9" t="s">
        <v>31018</v>
      </c>
      <c r="B9352" s="9" t="s">
        <v>31019</v>
      </c>
      <c r="G9352" s="9" t="s">
        <v>31020</v>
      </c>
      <c r="O9352" s="10">
        <f>IFERROR(__xludf.DUMMYFUNCTION("VALUE(REGEXEXTRACT(A9352, ""\d+""))"),13896.0)</f>
        <v>13896</v>
      </c>
    </row>
    <row r="9353">
      <c r="A9353" s="9" t="s">
        <v>31021</v>
      </c>
      <c r="B9353" s="9" t="s">
        <v>31022</v>
      </c>
      <c r="G9353" s="9" t="s">
        <v>31023</v>
      </c>
      <c r="O9353" s="10">
        <f>IFERROR(__xludf.DUMMYFUNCTION("VALUE(REGEXEXTRACT(A9353, ""\d+""))"),13897.0)</f>
        <v>13897</v>
      </c>
    </row>
    <row r="9354">
      <c r="A9354" s="9" t="s">
        <v>31024</v>
      </c>
      <c r="B9354" s="9" t="s">
        <v>31025</v>
      </c>
      <c r="G9354" s="9" t="s">
        <v>31026</v>
      </c>
      <c r="O9354" s="10">
        <f>IFERROR(__xludf.DUMMYFUNCTION("VALUE(REGEXEXTRACT(A9354, ""\d+""))"),13898.0)</f>
        <v>13898</v>
      </c>
    </row>
    <row r="9355">
      <c r="A9355" s="9" t="s">
        <v>31027</v>
      </c>
      <c r="B9355" s="9" t="s">
        <v>31028</v>
      </c>
      <c r="G9355" s="9" t="s">
        <v>31029</v>
      </c>
      <c r="O9355" s="10">
        <f>IFERROR(__xludf.DUMMYFUNCTION("VALUE(REGEXEXTRACT(A9355, ""\d+""))"),13899.0)</f>
        <v>13899</v>
      </c>
    </row>
    <row r="9356">
      <c r="A9356" s="9" t="s">
        <v>31030</v>
      </c>
      <c r="B9356" s="9" t="s">
        <v>31031</v>
      </c>
      <c r="G9356" s="9" t="s">
        <v>31032</v>
      </c>
      <c r="O9356" s="10">
        <f>IFERROR(__xludf.DUMMYFUNCTION("VALUE(REGEXEXTRACT(A9356, ""\d+""))"),13900.0)</f>
        <v>13900</v>
      </c>
    </row>
    <row r="9357">
      <c r="A9357" s="9" t="s">
        <v>31033</v>
      </c>
      <c r="B9357" s="9" t="s">
        <v>31034</v>
      </c>
      <c r="G9357" s="9" t="s">
        <v>31035</v>
      </c>
      <c r="O9357" s="10">
        <f>IFERROR(__xludf.DUMMYFUNCTION("VALUE(REGEXEXTRACT(A9357, ""\d+""))"),13901.0)</f>
        <v>13901</v>
      </c>
    </row>
    <row r="9358">
      <c r="A9358" s="9" t="s">
        <v>31036</v>
      </c>
      <c r="B9358" s="9" t="s">
        <v>31037</v>
      </c>
      <c r="G9358" s="9" t="s">
        <v>31038</v>
      </c>
      <c r="O9358" s="10">
        <f>IFERROR(__xludf.DUMMYFUNCTION("VALUE(REGEXEXTRACT(A9358, ""\d+""))"),13902.0)</f>
        <v>13902</v>
      </c>
    </row>
    <row r="9359">
      <c r="A9359" s="9" t="s">
        <v>31039</v>
      </c>
      <c r="B9359" s="9" t="s">
        <v>31040</v>
      </c>
      <c r="G9359" s="9" t="s">
        <v>31041</v>
      </c>
      <c r="O9359" s="10">
        <f>IFERROR(__xludf.DUMMYFUNCTION("VALUE(REGEXEXTRACT(A9359, ""\d+""))"),13903.0)</f>
        <v>13903</v>
      </c>
    </row>
    <row r="9360">
      <c r="A9360" s="9" t="s">
        <v>31042</v>
      </c>
      <c r="B9360" s="9" t="s">
        <v>31043</v>
      </c>
      <c r="G9360" s="9" t="s">
        <v>31044</v>
      </c>
      <c r="O9360" s="10">
        <f>IFERROR(__xludf.DUMMYFUNCTION("VALUE(REGEXEXTRACT(A9360, ""\d+""))"),13904.0)</f>
        <v>13904</v>
      </c>
    </row>
    <row r="9361">
      <c r="A9361" s="9" t="s">
        <v>31045</v>
      </c>
      <c r="B9361" s="9" t="s">
        <v>31046</v>
      </c>
      <c r="G9361" s="9" t="s">
        <v>31047</v>
      </c>
      <c r="O9361" s="10">
        <f>IFERROR(__xludf.DUMMYFUNCTION("VALUE(REGEXEXTRACT(A9361, ""\d+""))"),13905.0)</f>
        <v>13905</v>
      </c>
    </row>
    <row r="9362">
      <c r="A9362" s="9" t="s">
        <v>31048</v>
      </c>
      <c r="B9362" s="9" t="s">
        <v>31049</v>
      </c>
      <c r="G9362" s="9" t="s">
        <v>31050</v>
      </c>
      <c r="O9362" s="10">
        <f>IFERROR(__xludf.DUMMYFUNCTION("VALUE(REGEXEXTRACT(A9362, ""\d+""))"),13906.0)</f>
        <v>13906</v>
      </c>
    </row>
    <row r="9363">
      <c r="A9363" s="9" t="s">
        <v>31051</v>
      </c>
      <c r="B9363" s="9" t="s">
        <v>31052</v>
      </c>
      <c r="G9363" s="9" t="s">
        <v>31053</v>
      </c>
      <c r="O9363" s="10">
        <f>IFERROR(__xludf.DUMMYFUNCTION("VALUE(REGEXEXTRACT(A9363, ""\d+""))"),13907.0)</f>
        <v>13907</v>
      </c>
    </row>
    <row r="9364">
      <c r="A9364" s="9" t="s">
        <v>31054</v>
      </c>
      <c r="B9364" s="9" t="s">
        <v>31055</v>
      </c>
      <c r="G9364" s="9" t="s">
        <v>31056</v>
      </c>
      <c r="O9364" s="10">
        <f>IFERROR(__xludf.DUMMYFUNCTION("VALUE(REGEXEXTRACT(A9364, ""\d+""))"),13908.0)</f>
        <v>13908</v>
      </c>
    </row>
    <row r="9365">
      <c r="A9365" s="9" t="s">
        <v>31057</v>
      </c>
      <c r="B9365" s="9" t="s">
        <v>31058</v>
      </c>
      <c r="G9365" s="9" t="s">
        <v>31059</v>
      </c>
      <c r="O9365" s="10">
        <f>IFERROR(__xludf.DUMMYFUNCTION("VALUE(REGEXEXTRACT(A9365, ""\d+""))"),13909.0)</f>
        <v>13909</v>
      </c>
    </row>
    <row r="9366">
      <c r="A9366" s="9" t="s">
        <v>31060</v>
      </c>
      <c r="B9366" s="9" t="s">
        <v>31061</v>
      </c>
      <c r="G9366" s="9" t="s">
        <v>31062</v>
      </c>
      <c r="O9366" s="10">
        <f>IFERROR(__xludf.DUMMYFUNCTION("VALUE(REGEXEXTRACT(A9366, ""\d+""))"),13910.0)</f>
        <v>13910</v>
      </c>
    </row>
    <row r="9367">
      <c r="A9367" s="9" t="s">
        <v>31063</v>
      </c>
      <c r="B9367" s="9" t="s">
        <v>31064</v>
      </c>
      <c r="G9367" s="9" t="s">
        <v>31065</v>
      </c>
      <c r="O9367" s="10">
        <f>IFERROR(__xludf.DUMMYFUNCTION("VALUE(REGEXEXTRACT(A9367, ""\d+""))"),13911.0)</f>
        <v>13911</v>
      </c>
    </row>
    <row r="9368">
      <c r="A9368" s="9" t="s">
        <v>31066</v>
      </c>
      <c r="B9368" s="9" t="s">
        <v>31067</v>
      </c>
      <c r="G9368" s="9" t="s">
        <v>31068</v>
      </c>
      <c r="O9368" s="10">
        <f>IFERROR(__xludf.DUMMYFUNCTION("VALUE(REGEXEXTRACT(A9368, ""\d+""))"),13912.0)</f>
        <v>13912</v>
      </c>
    </row>
    <row r="9369">
      <c r="A9369" s="9" t="s">
        <v>31069</v>
      </c>
      <c r="B9369" s="9" t="s">
        <v>31070</v>
      </c>
      <c r="G9369" s="9" t="s">
        <v>31071</v>
      </c>
      <c r="O9369" s="10">
        <f>IFERROR(__xludf.DUMMYFUNCTION("VALUE(REGEXEXTRACT(A9369, ""\d+""))"),13913.0)</f>
        <v>13913</v>
      </c>
    </row>
    <row r="9370">
      <c r="A9370" s="9" t="s">
        <v>31072</v>
      </c>
      <c r="B9370" s="9" t="s">
        <v>31073</v>
      </c>
      <c r="G9370" s="9" t="s">
        <v>31074</v>
      </c>
      <c r="O9370" s="10">
        <f>IFERROR(__xludf.DUMMYFUNCTION("VALUE(REGEXEXTRACT(A9370, ""\d+""))"),13914.0)</f>
        <v>13914</v>
      </c>
    </row>
    <row r="9371">
      <c r="A9371" s="9" t="s">
        <v>31075</v>
      </c>
      <c r="B9371" s="9" t="s">
        <v>31076</v>
      </c>
      <c r="G9371" s="9" t="s">
        <v>31077</v>
      </c>
      <c r="O9371" s="10">
        <f>IFERROR(__xludf.DUMMYFUNCTION("VALUE(REGEXEXTRACT(A9371, ""\d+""))"),13915.0)</f>
        <v>13915</v>
      </c>
    </row>
    <row r="9372">
      <c r="A9372" s="9" t="s">
        <v>31078</v>
      </c>
      <c r="B9372" s="9" t="s">
        <v>31079</v>
      </c>
      <c r="G9372" s="9" t="s">
        <v>31080</v>
      </c>
      <c r="O9372" s="10">
        <f>IFERROR(__xludf.DUMMYFUNCTION("VALUE(REGEXEXTRACT(A9372, ""\d+""))"),13916.0)</f>
        <v>13916</v>
      </c>
    </row>
    <row r="9373">
      <c r="A9373" s="9" t="s">
        <v>31081</v>
      </c>
      <c r="B9373" s="9" t="s">
        <v>31082</v>
      </c>
      <c r="G9373" s="9" t="s">
        <v>31083</v>
      </c>
      <c r="O9373" s="10">
        <f>IFERROR(__xludf.DUMMYFUNCTION("VALUE(REGEXEXTRACT(A9373, ""\d+""))"),13917.0)</f>
        <v>13917</v>
      </c>
    </row>
    <row r="9374">
      <c r="A9374" s="9" t="s">
        <v>31084</v>
      </c>
      <c r="B9374" s="9" t="s">
        <v>31085</v>
      </c>
      <c r="G9374" s="9" t="s">
        <v>31086</v>
      </c>
      <c r="O9374" s="10">
        <f>IFERROR(__xludf.DUMMYFUNCTION("VALUE(REGEXEXTRACT(A9374, ""\d+""))"),13918.0)</f>
        <v>13918</v>
      </c>
    </row>
    <row r="9375">
      <c r="A9375" s="9" t="s">
        <v>31087</v>
      </c>
      <c r="B9375" s="9" t="s">
        <v>31088</v>
      </c>
      <c r="G9375" s="9" t="s">
        <v>31089</v>
      </c>
      <c r="O9375" s="10">
        <f>IFERROR(__xludf.DUMMYFUNCTION("VALUE(REGEXEXTRACT(A9375, ""\d+""))"),13919.0)</f>
        <v>13919</v>
      </c>
    </row>
    <row r="9376">
      <c r="A9376" s="9" t="s">
        <v>31090</v>
      </c>
      <c r="B9376" s="9" t="s">
        <v>31091</v>
      </c>
      <c r="G9376" s="9" t="s">
        <v>31092</v>
      </c>
      <c r="O9376" s="10">
        <f>IFERROR(__xludf.DUMMYFUNCTION("VALUE(REGEXEXTRACT(A9376, ""\d+""))"),13920.0)</f>
        <v>13920</v>
      </c>
    </row>
    <row r="9377">
      <c r="A9377" s="9" t="s">
        <v>31093</v>
      </c>
      <c r="B9377" s="9" t="s">
        <v>31094</v>
      </c>
      <c r="G9377" s="9" t="s">
        <v>31095</v>
      </c>
      <c r="O9377" s="10">
        <f>IFERROR(__xludf.DUMMYFUNCTION("VALUE(REGEXEXTRACT(A9377, ""\d+""))"),13921.0)</f>
        <v>13921</v>
      </c>
    </row>
    <row r="9378">
      <c r="A9378" s="9" t="s">
        <v>31096</v>
      </c>
      <c r="B9378" s="9" t="s">
        <v>31097</v>
      </c>
      <c r="G9378" s="9" t="s">
        <v>31098</v>
      </c>
      <c r="O9378" s="10">
        <f>IFERROR(__xludf.DUMMYFUNCTION("VALUE(REGEXEXTRACT(A9378, ""\d+""))"),13922.0)</f>
        <v>13922</v>
      </c>
    </row>
    <row r="9379">
      <c r="A9379" s="9" t="s">
        <v>31099</v>
      </c>
      <c r="B9379" s="9" t="s">
        <v>31100</v>
      </c>
      <c r="G9379" s="9" t="s">
        <v>31101</v>
      </c>
      <c r="O9379" s="10">
        <f>IFERROR(__xludf.DUMMYFUNCTION("VALUE(REGEXEXTRACT(A9379, ""\d+""))"),13923.0)</f>
        <v>13923</v>
      </c>
    </row>
    <row r="9380">
      <c r="A9380" s="9" t="s">
        <v>31102</v>
      </c>
      <c r="B9380" s="9" t="s">
        <v>31103</v>
      </c>
      <c r="G9380" s="9" t="s">
        <v>31104</v>
      </c>
      <c r="O9380" s="10">
        <f>IFERROR(__xludf.DUMMYFUNCTION("VALUE(REGEXEXTRACT(A9380, ""\d+""))"),13924.0)</f>
        <v>13924</v>
      </c>
    </row>
    <row r="9381">
      <c r="A9381" s="9" t="s">
        <v>31105</v>
      </c>
      <c r="B9381" s="9" t="s">
        <v>31106</v>
      </c>
      <c r="G9381" s="9" t="s">
        <v>31107</v>
      </c>
      <c r="O9381" s="10">
        <f>IFERROR(__xludf.DUMMYFUNCTION("VALUE(REGEXEXTRACT(A9381, ""\d+""))"),13925.0)</f>
        <v>13925</v>
      </c>
    </row>
    <row r="9382">
      <c r="A9382" s="9" t="s">
        <v>31108</v>
      </c>
      <c r="B9382" s="9" t="s">
        <v>31109</v>
      </c>
      <c r="G9382" s="9" t="s">
        <v>31110</v>
      </c>
      <c r="O9382" s="10">
        <f>IFERROR(__xludf.DUMMYFUNCTION("VALUE(REGEXEXTRACT(A9382, ""\d+""))"),13926.0)</f>
        <v>13926</v>
      </c>
    </row>
    <row r="9383">
      <c r="A9383" s="9" t="s">
        <v>31111</v>
      </c>
      <c r="B9383" s="9" t="s">
        <v>31109</v>
      </c>
      <c r="G9383" s="9" t="s">
        <v>31110</v>
      </c>
      <c r="O9383" s="10">
        <f>IFERROR(__xludf.DUMMYFUNCTION("VALUE(REGEXEXTRACT(A9383, ""\d+""))"),13927.0)</f>
        <v>13927</v>
      </c>
    </row>
    <row r="9384">
      <c r="A9384" s="9" t="s">
        <v>31112</v>
      </c>
      <c r="B9384" s="9" t="s">
        <v>31109</v>
      </c>
      <c r="G9384" s="9" t="s">
        <v>31110</v>
      </c>
      <c r="O9384" s="10">
        <f>IFERROR(__xludf.DUMMYFUNCTION("VALUE(REGEXEXTRACT(A9384, ""\d+""))"),13928.0)</f>
        <v>13928</v>
      </c>
    </row>
    <row r="9385">
      <c r="A9385" s="9" t="s">
        <v>31113</v>
      </c>
      <c r="B9385" s="9" t="s">
        <v>31114</v>
      </c>
      <c r="G9385" s="9" t="s">
        <v>31115</v>
      </c>
      <c r="O9385" s="10">
        <f>IFERROR(__xludf.DUMMYFUNCTION("VALUE(REGEXEXTRACT(A9385, ""\d+""))"),13929.0)</f>
        <v>13929</v>
      </c>
    </row>
    <row r="9386">
      <c r="A9386" s="9" t="s">
        <v>31116</v>
      </c>
      <c r="B9386" s="9" t="s">
        <v>31117</v>
      </c>
      <c r="G9386" s="9" t="s">
        <v>31118</v>
      </c>
      <c r="O9386" s="10">
        <f>IFERROR(__xludf.DUMMYFUNCTION("VALUE(REGEXEXTRACT(A9386, ""\d+""))"),13930.0)</f>
        <v>13930</v>
      </c>
    </row>
    <row r="9387">
      <c r="A9387" s="9" t="s">
        <v>31119</v>
      </c>
      <c r="B9387" s="9" t="s">
        <v>31120</v>
      </c>
      <c r="G9387" s="9" t="s">
        <v>31121</v>
      </c>
      <c r="O9387" s="10">
        <f>IFERROR(__xludf.DUMMYFUNCTION("VALUE(REGEXEXTRACT(A9387, ""\d+""))"),13931.0)</f>
        <v>13931</v>
      </c>
    </row>
    <row r="9388">
      <c r="A9388" s="9" t="s">
        <v>31122</v>
      </c>
      <c r="B9388" s="9" t="s">
        <v>31123</v>
      </c>
      <c r="G9388" s="9" t="s">
        <v>31124</v>
      </c>
      <c r="O9388" s="10">
        <f>IFERROR(__xludf.DUMMYFUNCTION("VALUE(REGEXEXTRACT(A9388, ""\d+""))"),13932.0)</f>
        <v>13932</v>
      </c>
    </row>
    <row r="9389">
      <c r="A9389" s="9" t="s">
        <v>31125</v>
      </c>
      <c r="B9389" s="9" t="s">
        <v>31123</v>
      </c>
      <c r="G9389" s="9" t="s">
        <v>31126</v>
      </c>
      <c r="O9389" s="10">
        <f>IFERROR(__xludf.DUMMYFUNCTION("VALUE(REGEXEXTRACT(A9389, ""\d+""))"),13933.0)</f>
        <v>13933</v>
      </c>
    </row>
    <row r="9390">
      <c r="A9390" s="9" t="s">
        <v>31127</v>
      </c>
      <c r="B9390" s="9" t="s">
        <v>31123</v>
      </c>
      <c r="G9390" s="9" t="s">
        <v>31126</v>
      </c>
      <c r="O9390" s="10">
        <f>IFERROR(__xludf.DUMMYFUNCTION("VALUE(REGEXEXTRACT(A9390, ""\d+""))"),13934.0)</f>
        <v>13934</v>
      </c>
    </row>
    <row r="9391">
      <c r="A9391" s="9" t="s">
        <v>31128</v>
      </c>
      <c r="B9391" s="9" t="s">
        <v>31129</v>
      </c>
      <c r="G9391" s="9" t="s">
        <v>31130</v>
      </c>
      <c r="O9391" s="10">
        <f>IFERROR(__xludf.DUMMYFUNCTION("VALUE(REGEXEXTRACT(A9391, ""\d+""))"),13935.0)</f>
        <v>13935</v>
      </c>
    </row>
    <row r="9392">
      <c r="A9392" s="9" t="s">
        <v>31131</v>
      </c>
      <c r="B9392" s="9" t="s">
        <v>31132</v>
      </c>
      <c r="G9392" s="9" t="s">
        <v>31133</v>
      </c>
      <c r="O9392" s="10">
        <f>IFERROR(__xludf.DUMMYFUNCTION("VALUE(REGEXEXTRACT(A9392, ""\d+""))"),13936.0)</f>
        <v>13936</v>
      </c>
    </row>
    <row r="9393">
      <c r="A9393" s="9" t="s">
        <v>31134</v>
      </c>
      <c r="B9393" s="9" t="s">
        <v>31135</v>
      </c>
      <c r="G9393" s="9" t="s">
        <v>31135</v>
      </c>
      <c r="O9393" s="10">
        <f>IFERROR(__xludf.DUMMYFUNCTION("VALUE(REGEXEXTRACT(A9393, ""\d+""))"),13937.0)</f>
        <v>13937</v>
      </c>
    </row>
    <row r="9394">
      <c r="A9394" s="9" t="s">
        <v>31136</v>
      </c>
      <c r="B9394" s="9" t="s">
        <v>31137</v>
      </c>
      <c r="G9394" s="9" t="s">
        <v>31138</v>
      </c>
      <c r="O9394" s="10">
        <f>IFERROR(__xludf.DUMMYFUNCTION("VALUE(REGEXEXTRACT(A9394, ""\d+""))"),13938.0)</f>
        <v>13938</v>
      </c>
    </row>
    <row r="9395">
      <c r="A9395" s="9" t="s">
        <v>31139</v>
      </c>
      <c r="B9395" s="9" t="s">
        <v>31140</v>
      </c>
      <c r="G9395" s="9" t="s">
        <v>31140</v>
      </c>
      <c r="O9395" s="10">
        <f>IFERROR(__xludf.DUMMYFUNCTION("VALUE(REGEXEXTRACT(A9395, ""\d+""))"),13940.0)</f>
        <v>13940</v>
      </c>
    </row>
    <row r="9396">
      <c r="A9396" s="9" t="s">
        <v>31141</v>
      </c>
      <c r="B9396" s="9" t="s">
        <v>31142</v>
      </c>
      <c r="G9396" s="9" t="s">
        <v>31142</v>
      </c>
      <c r="O9396" s="10">
        <f>IFERROR(__xludf.DUMMYFUNCTION("VALUE(REGEXEXTRACT(A9396, ""\d+""))"),13941.0)</f>
        <v>13941</v>
      </c>
    </row>
    <row r="9397">
      <c r="A9397" s="9" t="s">
        <v>31143</v>
      </c>
      <c r="B9397" s="9" t="s">
        <v>31144</v>
      </c>
      <c r="G9397" s="9" t="s">
        <v>31145</v>
      </c>
      <c r="O9397" s="10">
        <f>IFERROR(__xludf.DUMMYFUNCTION("VALUE(REGEXEXTRACT(A9397, ""\d+""))"),13942.0)</f>
        <v>13942</v>
      </c>
    </row>
    <row r="9398">
      <c r="A9398" s="9" t="s">
        <v>31146</v>
      </c>
      <c r="B9398" s="9" t="s">
        <v>31147</v>
      </c>
      <c r="G9398" s="9" t="s">
        <v>31148</v>
      </c>
      <c r="O9398" s="10">
        <f>IFERROR(__xludf.DUMMYFUNCTION("VALUE(REGEXEXTRACT(A9398, ""\d+""))"),13946.0)</f>
        <v>13946</v>
      </c>
    </row>
    <row r="9399">
      <c r="A9399" s="9" t="s">
        <v>31149</v>
      </c>
      <c r="B9399" s="9" t="s">
        <v>31150</v>
      </c>
      <c r="G9399" s="9" t="s">
        <v>31151</v>
      </c>
      <c r="O9399" s="10">
        <f>IFERROR(__xludf.DUMMYFUNCTION("VALUE(REGEXEXTRACT(A9399, ""\d+""))"),13947.0)</f>
        <v>13947</v>
      </c>
    </row>
    <row r="9400">
      <c r="A9400" s="9" t="s">
        <v>31152</v>
      </c>
      <c r="B9400" s="9" t="s">
        <v>31153</v>
      </c>
      <c r="G9400" s="9" t="s">
        <v>31154</v>
      </c>
      <c r="O9400" s="10">
        <f>IFERROR(__xludf.DUMMYFUNCTION("VALUE(REGEXEXTRACT(A9400, ""\d+""))"),13948.0)</f>
        <v>13948</v>
      </c>
    </row>
    <row r="9401">
      <c r="A9401" s="9" t="s">
        <v>31155</v>
      </c>
      <c r="B9401" s="9" t="s">
        <v>31156</v>
      </c>
      <c r="G9401" s="9" t="s">
        <v>31157</v>
      </c>
      <c r="O9401" s="10">
        <f>IFERROR(__xludf.DUMMYFUNCTION("VALUE(REGEXEXTRACT(A9401, ""\d+""))"),13952.0)</f>
        <v>13952</v>
      </c>
    </row>
    <row r="9402">
      <c r="A9402" s="9" t="s">
        <v>31158</v>
      </c>
      <c r="B9402" s="9" t="s">
        <v>31159</v>
      </c>
      <c r="G9402" s="9" t="s">
        <v>31160</v>
      </c>
      <c r="O9402" s="10">
        <f>IFERROR(__xludf.DUMMYFUNCTION("VALUE(REGEXEXTRACT(A9402, ""\d+""))"),13953.0)</f>
        <v>13953</v>
      </c>
    </row>
    <row r="9403">
      <c r="A9403" s="9" t="s">
        <v>31161</v>
      </c>
      <c r="B9403" s="9" t="s">
        <v>31162</v>
      </c>
      <c r="G9403" s="9" t="s">
        <v>31163</v>
      </c>
      <c r="O9403" s="10">
        <f>IFERROR(__xludf.DUMMYFUNCTION("VALUE(REGEXEXTRACT(A9403, ""\d+""))"),13954.0)</f>
        <v>13954</v>
      </c>
    </row>
    <row r="9404">
      <c r="A9404" s="9" t="s">
        <v>31164</v>
      </c>
      <c r="B9404" s="9" t="s">
        <v>31165</v>
      </c>
      <c r="G9404" s="9" t="s">
        <v>31166</v>
      </c>
      <c r="O9404" s="10">
        <f>IFERROR(__xludf.DUMMYFUNCTION("VALUE(REGEXEXTRACT(A9404, ""\d+""))"),13956.0)</f>
        <v>13956</v>
      </c>
    </row>
    <row r="9405">
      <c r="A9405" s="9" t="s">
        <v>31167</v>
      </c>
      <c r="B9405" s="9" t="s">
        <v>31168</v>
      </c>
      <c r="G9405" s="9" t="s">
        <v>31168</v>
      </c>
      <c r="O9405" s="10">
        <f>IFERROR(__xludf.DUMMYFUNCTION("VALUE(REGEXEXTRACT(A9405, ""\d+""))"),13960.0)</f>
        <v>13960</v>
      </c>
    </row>
    <row r="9406">
      <c r="A9406" s="9" t="s">
        <v>31169</v>
      </c>
      <c r="B9406" s="9" t="s">
        <v>31170</v>
      </c>
      <c r="G9406" s="9" t="s">
        <v>31171</v>
      </c>
      <c r="O9406" s="10">
        <f>IFERROR(__xludf.DUMMYFUNCTION("VALUE(REGEXEXTRACT(A9406, ""\d+""))"),13963.0)</f>
        <v>13963</v>
      </c>
    </row>
    <row r="9407">
      <c r="A9407" s="9" t="s">
        <v>31172</v>
      </c>
      <c r="B9407" s="9" t="s">
        <v>31173</v>
      </c>
      <c r="G9407" s="9" t="s">
        <v>31174</v>
      </c>
      <c r="O9407" s="10">
        <f>IFERROR(__xludf.DUMMYFUNCTION("VALUE(REGEXEXTRACT(A9407, ""\d+""))"),13964.0)</f>
        <v>13964</v>
      </c>
    </row>
    <row r="9408">
      <c r="A9408" s="9" t="s">
        <v>31175</v>
      </c>
      <c r="B9408" s="9" t="s">
        <v>31176</v>
      </c>
      <c r="G9408" s="9" t="s">
        <v>31177</v>
      </c>
      <c r="O9408" s="10">
        <f>IFERROR(__xludf.DUMMYFUNCTION("VALUE(REGEXEXTRACT(A9408, ""\d+""))"),13965.0)</f>
        <v>13965</v>
      </c>
    </row>
    <row r="9409">
      <c r="A9409" s="9" t="s">
        <v>31178</v>
      </c>
      <c r="B9409" s="9" t="s">
        <v>31179</v>
      </c>
      <c r="G9409" s="9" t="s">
        <v>31180</v>
      </c>
      <c r="O9409" s="10">
        <f>IFERROR(__xludf.DUMMYFUNCTION("VALUE(REGEXEXTRACT(A9409, ""\d+""))"),13966.0)</f>
        <v>13966</v>
      </c>
    </row>
    <row r="9410">
      <c r="A9410" s="9" t="s">
        <v>31181</v>
      </c>
      <c r="B9410" s="9" t="s">
        <v>31182</v>
      </c>
      <c r="G9410" s="9" t="s">
        <v>31183</v>
      </c>
      <c r="O9410" s="10">
        <f>IFERROR(__xludf.DUMMYFUNCTION("VALUE(REGEXEXTRACT(A9410, ""\d+""))"),13967.0)</f>
        <v>13967</v>
      </c>
    </row>
    <row r="9411">
      <c r="A9411" s="9" t="s">
        <v>31184</v>
      </c>
      <c r="B9411" s="9" t="s">
        <v>31185</v>
      </c>
      <c r="G9411" s="9" t="s">
        <v>31186</v>
      </c>
      <c r="O9411" s="10">
        <f>IFERROR(__xludf.DUMMYFUNCTION("VALUE(REGEXEXTRACT(A9411, ""\d+""))"),13968.0)</f>
        <v>13968</v>
      </c>
    </row>
    <row r="9412">
      <c r="A9412" s="9" t="s">
        <v>31187</v>
      </c>
      <c r="B9412" s="9" t="s">
        <v>31188</v>
      </c>
      <c r="G9412" s="9" t="s">
        <v>31189</v>
      </c>
      <c r="O9412" s="10">
        <f>IFERROR(__xludf.DUMMYFUNCTION("VALUE(REGEXEXTRACT(A9412, ""\d+""))"),13969.0)</f>
        <v>13969</v>
      </c>
    </row>
    <row r="9413">
      <c r="A9413" s="9" t="s">
        <v>31190</v>
      </c>
      <c r="B9413" s="9" t="s">
        <v>31191</v>
      </c>
      <c r="G9413" s="9" t="s">
        <v>31192</v>
      </c>
      <c r="O9413" s="10">
        <f>IFERROR(__xludf.DUMMYFUNCTION("VALUE(REGEXEXTRACT(A9413, ""\d+""))"),13970.0)</f>
        <v>13970</v>
      </c>
    </row>
    <row r="9414">
      <c r="A9414" s="9" t="s">
        <v>31193</v>
      </c>
      <c r="B9414" s="9" t="s">
        <v>31194</v>
      </c>
      <c r="G9414" s="9" t="s">
        <v>31195</v>
      </c>
      <c r="O9414" s="10">
        <f>IFERROR(__xludf.DUMMYFUNCTION("VALUE(REGEXEXTRACT(A9414, ""\d+""))"),13971.0)</f>
        <v>13971</v>
      </c>
    </row>
    <row r="9415">
      <c r="A9415" s="9" t="s">
        <v>31196</v>
      </c>
      <c r="B9415" s="9" t="s">
        <v>31197</v>
      </c>
      <c r="G9415" s="9" t="s">
        <v>31198</v>
      </c>
      <c r="O9415" s="10">
        <f>IFERROR(__xludf.DUMMYFUNCTION("VALUE(REGEXEXTRACT(A9415, ""\d+""))"),13973.0)</f>
        <v>13973</v>
      </c>
    </row>
    <row r="9416">
      <c r="A9416" s="9" t="s">
        <v>31199</v>
      </c>
      <c r="B9416" s="9" t="s">
        <v>31200</v>
      </c>
      <c r="G9416" s="9" t="s">
        <v>31201</v>
      </c>
      <c r="O9416" s="10">
        <f>IFERROR(__xludf.DUMMYFUNCTION("VALUE(REGEXEXTRACT(A9416, ""\d+""))"),13974.0)</f>
        <v>13974</v>
      </c>
    </row>
    <row r="9417">
      <c r="A9417" s="9" t="s">
        <v>31202</v>
      </c>
      <c r="B9417" s="9" t="s">
        <v>31203</v>
      </c>
      <c r="G9417" s="9" t="s">
        <v>31204</v>
      </c>
      <c r="O9417" s="10">
        <f>IFERROR(__xludf.DUMMYFUNCTION("VALUE(REGEXEXTRACT(A9417, ""\d+""))"),13975.0)</f>
        <v>13975</v>
      </c>
    </row>
    <row r="9418">
      <c r="A9418" s="9" t="s">
        <v>31205</v>
      </c>
      <c r="B9418" s="9" t="s">
        <v>15219</v>
      </c>
      <c r="G9418" s="9" t="s">
        <v>31206</v>
      </c>
      <c r="O9418" s="10">
        <f>IFERROR(__xludf.DUMMYFUNCTION("VALUE(REGEXEXTRACT(A9418, ""\d+""))"),13976.0)</f>
        <v>13976</v>
      </c>
    </row>
    <row r="9419">
      <c r="A9419" s="9" t="s">
        <v>31207</v>
      </c>
      <c r="B9419" s="9" t="s">
        <v>31208</v>
      </c>
      <c r="G9419" s="9" t="s">
        <v>31209</v>
      </c>
      <c r="O9419" s="10">
        <f>IFERROR(__xludf.DUMMYFUNCTION("VALUE(REGEXEXTRACT(A9419, ""\d+""))"),13977.0)</f>
        <v>13977</v>
      </c>
    </row>
    <row r="9420">
      <c r="A9420" s="9" t="s">
        <v>31210</v>
      </c>
      <c r="B9420" s="9" t="s">
        <v>31211</v>
      </c>
      <c r="G9420" s="9" t="s">
        <v>31212</v>
      </c>
      <c r="O9420" s="10">
        <f>IFERROR(__xludf.DUMMYFUNCTION("VALUE(REGEXEXTRACT(A9420, ""\d+""))"),13978.0)</f>
        <v>13978</v>
      </c>
    </row>
    <row r="9421">
      <c r="A9421" s="9" t="s">
        <v>31213</v>
      </c>
      <c r="B9421" s="9" t="s">
        <v>31214</v>
      </c>
      <c r="G9421" s="9" t="s">
        <v>31215</v>
      </c>
      <c r="O9421" s="10">
        <f>IFERROR(__xludf.DUMMYFUNCTION("VALUE(REGEXEXTRACT(A9421, ""\d+""))"),13979.0)</f>
        <v>13979</v>
      </c>
    </row>
    <row r="9422">
      <c r="A9422" s="9" t="s">
        <v>31216</v>
      </c>
      <c r="B9422" s="9" t="s">
        <v>31217</v>
      </c>
      <c r="G9422" s="9" t="s">
        <v>31218</v>
      </c>
      <c r="O9422" s="10">
        <f>IFERROR(__xludf.DUMMYFUNCTION("VALUE(REGEXEXTRACT(A9422, ""\d+""))"),13980.0)</f>
        <v>13980</v>
      </c>
    </row>
    <row r="9423">
      <c r="A9423" s="9" t="s">
        <v>31219</v>
      </c>
      <c r="B9423" s="9" t="s">
        <v>31220</v>
      </c>
      <c r="G9423" s="9" t="s">
        <v>31221</v>
      </c>
      <c r="O9423" s="10">
        <f>IFERROR(__xludf.DUMMYFUNCTION("VALUE(REGEXEXTRACT(A9423, ""\d+""))"),13981.0)</f>
        <v>13981</v>
      </c>
    </row>
    <row r="9424">
      <c r="A9424" s="9" t="s">
        <v>31222</v>
      </c>
      <c r="B9424" s="9" t="s">
        <v>31223</v>
      </c>
      <c r="G9424" s="9" t="s">
        <v>31224</v>
      </c>
      <c r="O9424" s="10">
        <f>IFERROR(__xludf.DUMMYFUNCTION("VALUE(REGEXEXTRACT(A9424, ""\d+""))"),13982.0)</f>
        <v>13982</v>
      </c>
    </row>
    <row r="9425">
      <c r="A9425" s="9" t="s">
        <v>31225</v>
      </c>
      <c r="B9425" s="9" t="s">
        <v>31226</v>
      </c>
      <c r="G9425" s="9" t="s">
        <v>31227</v>
      </c>
      <c r="O9425" s="10">
        <f>IFERROR(__xludf.DUMMYFUNCTION("VALUE(REGEXEXTRACT(A9425, ""\d+""))"),13983.0)</f>
        <v>13983</v>
      </c>
    </row>
    <row r="9426">
      <c r="A9426" s="9" t="s">
        <v>31228</v>
      </c>
      <c r="B9426" s="9" t="s">
        <v>31229</v>
      </c>
      <c r="G9426" s="9" t="s">
        <v>31230</v>
      </c>
      <c r="O9426" s="10">
        <f>IFERROR(__xludf.DUMMYFUNCTION("VALUE(REGEXEXTRACT(A9426, ""\d+""))"),13984.0)</f>
        <v>13984</v>
      </c>
    </row>
    <row r="9427">
      <c r="A9427" s="9" t="s">
        <v>31231</v>
      </c>
      <c r="B9427" s="9" t="s">
        <v>31232</v>
      </c>
      <c r="G9427" s="9" t="s">
        <v>31233</v>
      </c>
      <c r="O9427" s="10">
        <f>IFERROR(__xludf.DUMMYFUNCTION("VALUE(REGEXEXTRACT(A9427, ""\d+""))"),13985.0)</f>
        <v>13985</v>
      </c>
    </row>
    <row r="9428">
      <c r="A9428" s="9" t="s">
        <v>31234</v>
      </c>
      <c r="B9428" s="9" t="s">
        <v>31235</v>
      </c>
      <c r="G9428" s="9" t="s">
        <v>31236</v>
      </c>
      <c r="O9428" s="10">
        <f>IFERROR(__xludf.DUMMYFUNCTION("VALUE(REGEXEXTRACT(A9428, ""\d+""))"),13986.0)</f>
        <v>13986</v>
      </c>
    </row>
    <row r="9429">
      <c r="A9429" s="9" t="s">
        <v>31237</v>
      </c>
      <c r="B9429" s="9" t="s">
        <v>31238</v>
      </c>
      <c r="G9429" s="9" t="s">
        <v>31239</v>
      </c>
      <c r="O9429" s="10">
        <f>IFERROR(__xludf.DUMMYFUNCTION("VALUE(REGEXEXTRACT(A9429, ""\d+""))"),13987.0)</f>
        <v>13987</v>
      </c>
    </row>
    <row r="9430">
      <c r="A9430" s="9" t="s">
        <v>31240</v>
      </c>
      <c r="B9430" s="9" t="s">
        <v>31241</v>
      </c>
      <c r="G9430" s="9" t="s">
        <v>31242</v>
      </c>
      <c r="O9430" s="10">
        <f>IFERROR(__xludf.DUMMYFUNCTION("VALUE(REGEXEXTRACT(A9430, ""\d+""))"),13988.0)</f>
        <v>13988</v>
      </c>
    </row>
    <row r="9431">
      <c r="A9431" s="9" t="s">
        <v>31243</v>
      </c>
      <c r="B9431" s="9" t="s">
        <v>31244</v>
      </c>
      <c r="G9431" s="9" t="s">
        <v>31245</v>
      </c>
      <c r="O9431" s="10">
        <f>IFERROR(__xludf.DUMMYFUNCTION("VALUE(REGEXEXTRACT(A9431, ""\d+""))"),13989.0)</f>
        <v>13989</v>
      </c>
    </row>
    <row r="9432">
      <c r="A9432" s="9" t="s">
        <v>31246</v>
      </c>
      <c r="B9432" s="9" t="s">
        <v>31247</v>
      </c>
      <c r="G9432" s="9" t="s">
        <v>31248</v>
      </c>
      <c r="O9432" s="10">
        <f>IFERROR(__xludf.DUMMYFUNCTION("VALUE(REGEXEXTRACT(A9432, ""\d+""))"),13990.0)</f>
        <v>13990</v>
      </c>
    </row>
    <row r="9433">
      <c r="A9433" s="9" t="s">
        <v>31249</v>
      </c>
      <c r="B9433" s="9" t="s">
        <v>31250</v>
      </c>
      <c r="G9433" s="9" t="s">
        <v>31251</v>
      </c>
      <c r="O9433" s="10">
        <f>IFERROR(__xludf.DUMMYFUNCTION("VALUE(REGEXEXTRACT(A9433, ""\d+""))"),13991.0)</f>
        <v>13991</v>
      </c>
    </row>
    <row r="9434">
      <c r="A9434" s="9" t="s">
        <v>31252</v>
      </c>
      <c r="B9434" s="9" t="s">
        <v>31253</v>
      </c>
      <c r="G9434" s="9" t="s">
        <v>31254</v>
      </c>
      <c r="O9434" s="10">
        <f>IFERROR(__xludf.DUMMYFUNCTION("VALUE(REGEXEXTRACT(A9434, ""\d+""))"),13992.0)</f>
        <v>13992</v>
      </c>
    </row>
    <row r="9435">
      <c r="A9435" s="9" t="s">
        <v>31255</v>
      </c>
      <c r="B9435" s="9" t="s">
        <v>31256</v>
      </c>
      <c r="G9435" s="9" t="s">
        <v>31257</v>
      </c>
      <c r="O9435" s="10">
        <f>IFERROR(__xludf.DUMMYFUNCTION("VALUE(REGEXEXTRACT(A9435, ""\d+""))"),13993.0)</f>
        <v>13993</v>
      </c>
    </row>
    <row r="9436">
      <c r="A9436" s="9" t="s">
        <v>31258</v>
      </c>
      <c r="B9436" s="9" t="s">
        <v>31259</v>
      </c>
      <c r="G9436" s="9" t="s">
        <v>31260</v>
      </c>
      <c r="O9436" s="10">
        <f>IFERROR(__xludf.DUMMYFUNCTION("VALUE(REGEXEXTRACT(A9436, ""\d+""))"),13995.0)</f>
        <v>13995</v>
      </c>
    </row>
    <row r="9437">
      <c r="A9437" s="9" t="s">
        <v>31261</v>
      </c>
      <c r="B9437" s="9" t="s">
        <v>31262</v>
      </c>
      <c r="G9437" s="9" t="s">
        <v>31263</v>
      </c>
      <c r="O9437" s="10">
        <f>IFERROR(__xludf.DUMMYFUNCTION("VALUE(REGEXEXTRACT(A9437, ""\d+""))"),13996.0)</f>
        <v>13996</v>
      </c>
    </row>
    <row r="9438">
      <c r="A9438" s="9" t="s">
        <v>31264</v>
      </c>
      <c r="B9438" s="9" t="s">
        <v>31265</v>
      </c>
      <c r="G9438" s="9" t="s">
        <v>31266</v>
      </c>
      <c r="O9438" s="10">
        <f>IFERROR(__xludf.DUMMYFUNCTION("VALUE(REGEXEXTRACT(A9438, ""\d+""))"),13997.0)</f>
        <v>13997</v>
      </c>
    </row>
    <row r="9439">
      <c r="A9439" s="9" t="s">
        <v>31267</v>
      </c>
      <c r="B9439" s="9" t="s">
        <v>31268</v>
      </c>
      <c r="G9439" s="9" t="s">
        <v>31269</v>
      </c>
      <c r="O9439" s="10">
        <f>IFERROR(__xludf.DUMMYFUNCTION("VALUE(REGEXEXTRACT(A9439, ""\d+""))"),13998.0)</f>
        <v>13998</v>
      </c>
    </row>
    <row r="9440">
      <c r="A9440" s="9" t="s">
        <v>31270</v>
      </c>
      <c r="B9440" s="9" t="s">
        <v>31271</v>
      </c>
      <c r="G9440" s="9" t="s">
        <v>31272</v>
      </c>
      <c r="O9440" s="10">
        <f>IFERROR(__xludf.DUMMYFUNCTION("VALUE(REGEXEXTRACT(A9440, ""\d+""))"),13999.0)</f>
        <v>13999</v>
      </c>
    </row>
    <row r="9441">
      <c r="A9441" s="9" t="s">
        <v>31273</v>
      </c>
      <c r="B9441" s="9" t="s">
        <v>31274</v>
      </c>
      <c r="G9441" s="9" t="s">
        <v>31275</v>
      </c>
      <c r="O9441" s="10">
        <f>IFERROR(__xludf.DUMMYFUNCTION("VALUE(REGEXEXTRACT(A9441, ""\d+""))"),14000.0)</f>
        <v>14000</v>
      </c>
    </row>
    <row r="9442">
      <c r="A9442" s="9" t="s">
        <v>31276</v>
      </c>
      <c r="B9442" s="9" t="s">
        <v>31277</v>
      </c>
      <c r="G9442" s="9" t="s">
        <v>31278</v>
      </c>
      <c r="O9442" s="10">
        <f>IFERROR(__xludf.DUMMYFUNCTION("VALUE(REGEXEXTRACT(A9442, ""\d+""))"),14001.0)</f>
        <v>14001</v>
      </c>
    </row>
    <row r="9443">
      <c r="A9443" s="9" t="s">
        <v>31279</v>
      </c>
      <c r="B9443" s="9" t="s">
        <v>31280</v>
      </c>
      <c r="G9443" s="9" t="s">
        <v>31281</v>
      </c>
      <c r="O9443" s="10">
        <f>IFERROR(__xludf.DUMMYFUNCTION("VALUE(REGEXEXTRACT(A9443, ""\d+""))"),14002.0)</f>
        <v>14002</v>
      </c>
    </row>
    <row r="9444">
      <c r="A9444" s="9" t="s">
        <v>31282</v>
      </c>
      <c r="B9444" s="9" t="s">
        <v>31283</v>
      </c>
      <c r="G9444" s="9" t="s">
        <v>31284</v>
      </c>
      <c r="O9444" s="10">
        <f>IFERROR(__xludf.DUMMYFUNCTION("VALUE(REGEXEXTRACT(A9444, ""\d+""))"),14003.0)</f>
        <v>14003</v>
      </c>
    </row>
    <row r="9445">
      <c r="A9445" s="9" t="s">
        <v>31285</v>
      </c>
      <c r="B9445" s="9" t="s">
        <v>31286</v>
      </c>
      <c r="G9445" s="9" t="s">
        <v>31287</v>
      </c>
      <c r="O9445" s="10">
        <f>IFERROR(__xludf.DUMMYFUNCTION("VALUE(REGEXEXTRACT(A9445, ""\d+""))"),14004.0)</f>
        <v>14004</v>
      </c>
    </row>
    <row r="9446">
      <c r="A9446" s="9" t="s">
        <v>31288</v>
      </c>
      <c r="B9446" s="9" t="s">
        <v>31289</v>
      </c>
      <c r="G9446" s="9" t="s">
        <v>31290</v>
      </c>
      <c r="O9446" s="10">
        <f>IFERROR(__xludf.DUMMYFUNCTION("VALUE(REGEXEXTRACT(A9446, ""\d+""))"),14005.0)</f>
        <v>14005</v>
      </c>
    </row>
    <row r="9447">
      <c r="A9447" s="9" t="s">
        <v>31291</v>
      </c>
      <c r="B9447" s="9" t="s">
        <v>31292</v>
      </c>
      <c r="G9447" s="9" t="s">
        <v>31293</v>
      </c>
      <c r="O9447" s="10">
        <f>IFERROR(__xludf.DUMMYFUNCTION("VALUE(REGEXEXTRACT(A9447, ""\d+""))"),14006.0)</f>
        <v>14006</v>
      </c>
    </row>
    <row r="9448">
      <c r="A9448" s="9" t="s">
        <v>31294</v>
      </c>
      <c r="B9448" s="9" t="s">
        <v>31295</v>
      </c>
      <c r="G9448" s="9" t="s">
        <v>31296</v>
      </c>
      <c r="O9448" s="10">
        <f>IFERROR(__xludf.DUMMYFUNCTION("VALUE(REGEXEXTRACT(A9448, ""\d+""))"),14007.0)</f>
        <v>14007</v>
      </c>
    </row>
    <row r="9449">
      <c r="A9449" s="9" t="s">
        <v>31297</v>
      </c>
      <c r="B9449" s="9" t="s">
        <v>31298</v>
      </c>
      <c r="G9449" s="9" t="s">
        <v>31299</v>
      </c>
      <c r="O9449" s="10">
        <f>IFERROR(__xludf.DUMMYFUNCTION("VALUE(REGEXEXTRACT(A9449, ""\d+""))"),14008.0)</f>
        <v>14008</v>
      </c>
    </row>
    <row r="9450">
      <c r="A9450" s="9" t="s">
        <v>31300</v>
      </c>
      <c r="B9450" s="9" t="s">
        <v>31301</v>
      </c>
      <c r="G9450" s="9" t="s">
        <v>31302</v>
      </c>
      <c r="O9450" s="10">
        <f>IFERROR(__xludf.DUMMYFUNCTION("VALUE(REGEXEXTRACT(A9450, ""\d+""))"),14009.0)</f>
        <v>14009</v>
      </c>
    </row>
    <row r="9451">
      <c r="A9451" s="9" t="s">
        <v>31303</v>
      </c>
      <c r="B9451" s="9" t="s">
        <v>31304</v>
      </c>
      <c r="G9451" s="9" t="s">
        <v>31305</v>
      </c>
      <c r="O9451" s="10">
        <f>IFERROR(__xludf.DUMMYFUNCTION("VALUE(REGEXEXTRACT(A9451, ""\d+""))"),14010.0)</f>
        <v>14010</v>
      </c>
    </row>
    <row r="9452">
      <c r="A9452" s="9" t="s">
        <v>31306</v>
      </c>
      <c r="B9452" s="9" t="s">
        <v>31307</v>
      </c>
      <c r="G9452" s="9" t="s">
        <v>31308</v>
      </c>
      <c r="O9452" s="10">
        <f>IFERROR(__xludf.DUMMYFUNCTION("VALUE(REGEXEXTRACT(A9452, ""\d+""))"),14011.0)</f>
        <v>14011</v>
      </c>
    </row>
    <row r="9453">
      <c r="A9453" s="9" t="s">
        <v>31309</v>
      </c>
      <c r="B9453" s="9" t="s">
        <v>31310</v>
      </c>
      <c r="G9453" s="9" t="s">
        <v>31311</v>
      </c>
      <c r="O9453" s="10">
        <f>IFERROR(__xludf.DUMMYFUNCTION("VALUE(REGEXEXTRACT(A9453, ""\d+""))"),14012.0)</f>
        <v>14012</v>
      </c>
    </row>
    <row r="9454">
      <c r="A9454" s="9" t="s">
        <v>31312</v>
      </c>
      <c r="B9454" s="9" t="s">
        <v>31313</v>
      </c>
      <c r="G9454" s="9" t="s">
        <v>31314</v>
      </c>
      <c r="O9454" s="10">
        <f>IFERROR(__xludf.DUMMYFUNCTION("VALUE(REGEXEXTRACT(A9454, ""\d+""))"),14014.0)</f>
        <v>14014</v>
      </c>
    </row>
    <row r="9455">
      <c r="A9455" s="9" t="s">
        <v>31315</v>
      </c>
      <c r="B9455" s="9" t="s">
        <v>31316</v>
      </c>
      <c r="G9455" s="9" t="s">
        <v>31317</v>
      </c>
      <c r="O9455" s="10">
        <f>IFERROR(__xludf.DUMMYFUNCTION("VALUE(REGEXEXTRACT(A9455, ""\d+""))"),14016.0)</f>
        <v>14016</v>
      </c>
    </row>
    <row r="9456">
      <c r="A9456" s="9" t="s">
        <v>31318</v>
      </c>
      <c r="B9456" s="9" t="s">
        <v>31319</v>
      </c>
      <c r="G9456" s="9" t="s">
        <v>31320</v>
      </c>
      <c r="O9456" s="10">
        <f>IFERROR(__xludf.DUMMYFUNCTION("VALUE(REGEXEXTRACT(A9456, ""\d+""))"),14017.0)</f>
        <v>14017</v>
      </c>
    </row>
    <row r="9457">
      <c r="A9457" s="9" t="s">
        <v>31321</v>
      </c>
      <c r="B9457" s="9" t="s">
        <v>31322</v>
      </c>
      <c r="G9457" s="9" t="s">
        <v>31323</v>
      </c>
      <c r="O9457" s="10">
        <f>IFERROR(__xludf.DUMMYFUNCTION("VALUE(REGEXEXTRACT(A9457, ""\d+""))"),14018.0)</f>
        <v>14018</v>
      </c>
    </row>
    <row r="9458">
      <c r="A9458" s="9" t="s">
        <v>31324</v>
      </c>
      <c r="B9458" s="9" t="s">
        <v>31325</v>
      </c>
      <c r="G9458" s="9" t="s">
        <v>31326</v>
      </c>
      <c r="O9458" s="10">
        <f>IFERROR(__xludf.DUMMYFUNCTION("VALUE(REGEXEXTRACT(A9458, ""\d+""))"),14019.0)</f>
        <v>14019</v>
      </c>
    </row>
    <row r="9459">
      <c r="A9459" s="9" t="s">
        <v>31327</v>
      </c>
      <c r="B9459" s="9" t="s">
        <v>31325</v>
      </c>
      <c r="G9459" s="9" t="s">
        <v>31326</v>
      </c>
      <c r="O9459" s="10">
        <f>IFERROR(__xludf.DUMMYFUNCTION("VALUE(REGEXEXTRACT(A9459, ""\d+""))"),14020.0)</f>
        <v>14020</v>
      </c>
    </row>
    <row r="9460">
      <c r="A9460" s="9" t="s">
        <v>31328</v>
      </c>
      <c r="B9460" s="9" t="s">
        <v>31325</v>
      </c>
      <c r="G9460" s="9" t="s">
        <v>31326</v>
      </c>
      <c r="O9460" s="10">
        <f>IFERROR(__xludf.DUMMYFUNCTION("VALUE(REGEXEXTRACT(A9460, ""\d+""))"),14021.0)</f>
        <v>14021</v>
      </c>
    </row>
    <row r="9461">
      <c r="A9461" s="9" t="s">
        <v>31329</v>
      </c>
      <c r="B9461" s="9" t="s">
        <v>31330</v>
      </c>
      <c r="G9461" s="9" t="s">
        <v>31331</v>
      </c>
      <c r="O9461" s="10">
        <f>IFERROR(__xludf.DUMMYFUNCTION("VALUE(REGEXEXTRACT(A9461, ""\d+""))"),14022.0)</f>
        <v>14022</v>
      </c>
    </row>
    <row r="9462">
      <c r="A9462" s="9" t="s">
        <v>31332</v>
      </c>
      <c r="B9462" s="9" t="s">
        <v>31333</v>
      </c>
      <c r="G9462" s="9" t="s">
        <v>31334</v>
      </c>
      <c r="O9462" s="10">
        <f>IFERROR(__xludf.DUMMYFUNCTION("VALUE(REGEXEXTRACT(A9462, ""\d+""))"),14023.0)</f>
        <v>14023</v>
      </c>
    </row>
    <row r="9463">
      <c r="A9463" s="9" t="s">
        <v>31335</v>
      </c>
      <c r="B9463" s="9" t="s">
        <v>31336</v>
      </c>
      <c r="G9463" s="9" t="s">
        <v>31337</v>
      </c>
      <c r="O9463" s="10">
        <f>IFERROR(__xludf.DUMMYFUNCTION("VALUE(REGEXEXTRACT(A9463, ""\d+""))"),14024.0)</f>
        <v>14024</v>
      </c>
    </row>
    <row r="9464">
      <c r="A9464" s="9" t="s">
        <v>31338</v>
      </c>
      <c r="B9464" s="9" t="s">
        <v>31339</v>
      </c>
      <c r="G9464" s="9" t="s">
        <v>31340</v>
      </c>
      <c r="O9464" s="10">
        <f>IFERROR(__xludf.DUMMYFUNCTION("VALUE(REGEXEXTRACT(A9464, ""\d+""))"),14025.0)</f>
        <v>14025</v>
      </c>
    </row>
    <row r="9465">
      <c r="A9465" s="9" t="s">
        <v>31341</v>
      </c>
      <c r="B9465" s="9" t="s">
        <v>31342</v>
      </c>
      <c r="G9465" s="9" t="s">
        <v>31343</v>
      </c>
      <c r="O9465" s="10">
        <f>IFERROR(__xludf.DUMMYFUNCTION("VALUE(REGEXEXTRACT(A9465, ""\d+""))"),14027.0)</f>
        <v>14027</v>
      </c>
    </row>
    <row r="9466">
      <c r="A9466" s="9" t="s">
        <v>31344</v>
      </c>
      <c r="B9466" s="9" t="s">
        <v>31345</v>
      </c>
      <c r="G9466" s="9" t="s">
        <v>31346</v>
      </c>
      <c r="O9466" s="10">
        <f>IFERROR(__xludf.DUMMYFUNCTION("VALUE(REGEXEXTRACT(A9466, ""\d+""))"),14028.0)</f>
        <v>14028</v>
      </c>
    </row>
    <row r="9467">
      <c r="A9467" s="9" t="s">
        <v>31347</v>
      </c>
      <c r="B9467" s="9" t="s">
        <v>31348</v>
      </c>
      <c r="G9467" s="9" t="s">
        <v>31349</v>
      </c>
      <c r="O9467" s="10">
        <f>IFERROR(__xludf.DUMMYFUNCTION("VALUE(REGEXEXTRACT(A9467, ""\d+""))"),14029.0)</f>
        <v>14029</v>
      </c>
    </row>
    <row r="9468">
      <c r="A9468" s="9" t="s">
        <v>31350</v>
      </c>
      <c r="B9468" s="9" t="s">
        <v>31351</v>
      </c>
      <c r="G9468" s="9" t="s">
        <v>31352</v>
      </c>
      <c r="O9468" s="10">
        <f>IFERROR(__xludf.DUMMYFUNCTION("VALUE(REGEXEXTRACT(A9468, ""\d+""))"),14030.0)</f>
        <v>14030</v>
      </c>
    </row>
    <row r="9469">
      <c r="A9469" s="9" t="s">
        <v>31353</v>
      </c>
      <c r="B9469" s="9" t="s">
        <v>31354</v>
      </c>
      <c r="G9469" s="9" t="s">
        <v>31355</v>
      </c>
      <c r="O9469" s="10">
        <f>IFERROR(__xludf.DUMMYFUNCTION("VALUE(REGEXEXTRACT(A9469, ""\d+""))"),14032.0)</f>
        <v>14032</v>
      </c>
    </row>
    <row r="9470">
      <c r="A9470" s="9" t="s">
        <v>31356</v>
      </c>
      <c r="B9470" s="9" t="s">
        <v>31357</v>
      </c>
      <c r="G9470" s="9" t="s">
        <v>31357</v>
      </c>
      <c r="O9470" s="10">
        <f>IFERROR(__xludf.DUMMYFUNCTION("VALUE(REGEXEXTRACT(A9470, ""\d+""))"),14034.0)</f>
        <v>14034</v>
      </c>
    </row>
    <row r="9471">
      <c r="A9471" s="9" t="s">
        <v>31358</v>
      </c>
      <c r="B9471" s="9" t="s">
        <v>31359</v>
      </c>
      <c r="G9471" s="9" t="s">
        <v>31359</v>
      </c>
      <c r="O9471" s="10">
        <f>IFERROR(__xludf.DUMMYFUNCTION("VALUE(REGEXEXTRACT(A9471, ""\d+""))"),14035.0)</f>
        <v>14035</v>
      </c>
    </row>
    <row r="9472">
      <c r="A9472" s="9" t="s">
        <v>31360</v>
      </c>
      <c r="B9472" s="9" t="s">
        <v>31361</v>
      </c>
      <c r="G9472" s="9" t="s">
        <v>31361</v>
      </c>
      <c r="O9472" s="10">
        <f>IFERROR(__xludf.DUMMYFUNCTION("VALUE(REGEXEXTRACT(A9472, ""\d+""))"),14038.0)</f>
        <v>14038</v>
      </c>
    </row>
    <row r="9473">
      <c r="A9473" s="9" t="s">
        <v>31362</v>
      </c>
      <c r="B9473" s="9" t="s">
        <v>31363</v>
      </c>
      <c r="G9473" s="9" t="s">
        <v>31364</v>
      </c>
      <c r="O9473" s="10">
        <f>IFERROR(__xludf.DUMMYFUNCTION("VALUE(REGEXEXTRACT(A9473, ""\d+""))"),14039.0)</f>
        <v>14039</v>
      </c>
    </row>
    <row r="9474">
      <c r="A9474" s="9" t="s">
        <v>31365</v>
      </c>
      <c r="B9474" s="9" t="s">
        <v>31366</v>
      </c>
      <c r="G9474" s="9" t="s">
        <v>31367</v>
      </c>
      <c r="O9474" s="10">
        <f>IFERROR(__xludf.DUMMYFUNCTION("VALUE(REGEXEXTRACT(A9474, ""\d+""))"),14040.0)</f>
        <v>14040</v>
      </c>
    </row>
    <row r="9475">
      <c r="A9475" s="9" t="s">
        <v>31368</v>
      </c>
      <c r="B9475" s="9" t="s">
        <v>31369</v>
      </c>
      <c r="G9475" s="9" t="s">
        <v>31370</v>
      </c>
      <c r="O9475" s="10">
        <f>IFERROR(__xludf.DUMMYFUNCTION("VALUE(REGEXEXTRACT(A9475, ""\d+""))"),14041.0)</f>
        <v>14041</v>
      </c>
    </row>
    <row r="9476">
      <c r="A9476" s="9" t="s">
        <v>31371</v>
      </c>
      <c r="B9476" s="9" t="s">
        <v>31372</v>
      </c>
      <c r="G9476" s="9" t="s">
        <v>31373</v>
      </c>
      <c r="O9476" s="10">
        <f>IFERROR(__xludf.DUMMYFUNCTION("VALUE(REGEXEXTRACT(A9476, ""\d+""))"),14042.0)</f>
        <v>14042</v>
      </c>
    </row>
    <row r="9477">
      <c r="A9477" s="9" t="s">
        <v>31374</v>
      </c>
      <c r="B9477" s="9" t="s">
        <v>31375</v>
      </c>
      <c r="G9477" s="9" t="s">
        <v>31376</v>
      </c>
      <c r="O9477" s="10">
        <f>IFERROR(__xludf.DUMMYFUNCTION("VALUE(REGEXEXTRACT(A9477, ""\d+""))"),14043.0)</f>
        <v>14043</v>
      </c>
    </row>
    <row r="9478">
      <c r="A9478" s="9" t="s">
        <v>31377</v>
      </c>
      <c r="B9478" s="9" t="s">
        <v>31378</v>
      </c>
      <c r="G9478" s="9" t="s">
        <v>31379</v>
      </c>
      <c r="O9478" s="10">
        <f>IFERROR(__xludf.DUMMYFUNCTION("VALUE(REGEXEXTRACT(A9478, ""\d+""))"),14044.0)</f>
        <v>14044</v>
      </c>
    </row>
    <row r="9479">
      <c r="A9479" s="9" t="s">
        <v>31380</v>
      </c>
      <c r="B9479" s="9" t="s">
        <v>11914</v>
      </c>
      <c r="G9479" s="9" t="s">
        <v>11915</v>
      </c>
      <c r="O9479" s="10">
        <f>IFERROR(__xludf.DUMMYFUNCTION("VALUE(REGEXEXTRACT(A9479, ""\d+""))"),14045.0)</f>
        <v>14045</v>
      </c>
    </row>
    <row r="9480">
      <c r="A9480" s="9" t="s">
        <v>31381</v>
      </c>
      <c r="B9480" s="9" t="s">
        <v>31382</v>
      </c>
      <c r="G9480" s="9" t="s">
        <v>31383</v>
      </c>
      <c r="O9480" s="10">
        <f>IFERROR(__xludf.DUMMYFUNCTION("VALUE(REGEXEXTRACT(A9480, ""\d+""))"),14046.0)</f>
        <v>14046</v>
      </c>
    </row>
    <row r="9481">
      <c r="A9481" s="9" t="s">
        <v>31384</v>
      </c>
      <c r="B9481" s="9" t="s">
        <v>31385</v>
      </c>
      <c r="G9481" s="9" t="s">
        <v>31386</v>
      </c>
      <c r="O9481" s="10">
        <f>IFERROR(__xludf.DUMMYFUNCTION("VALUE(REGEXEXTRACT(A9481, ""\d+""))"),14047.0)</f>
        <v>14047</v>
      </c>
    </row>
    <row r="9482">
      <c r="A9482" s="9" t="s">
        <v>31387</v>
      </c>
      <c r="B9482" s="9" t="s">
        <v>31388</v>
      </c>
      <c r="G9482" s="9" t="s">
        <v>31389</v>
      </c>
      <c r="O9482" s="10">
        <f>IFERROR(__xludf.DUMMYFUNCTION("VALUE(REGEXEXTRACT(A9482, ""\d+""))"),14048.0)</f>
        <v>14048</v>
      </c>
    </row>
    <row r="9483">
      <c r="A9483" s="9" t="s">
        <v>31390</v>
      </c>
      <c r="B9483" s="9" t="s">
        <v>31391</v>
      </c>
      <c r="G9483" s="9" t="s">
        <v>31392</v>
      </c>
      <c r="O9483" s="10">
        <f>IFERROR(__xludf.DUMMYFUNCTION("VALUE(REGEXEXTRACT(A9483, ""\d+""))"),14049.0)</f>
        <v>14049</v>
      </c>
    </row>
    <row r="9484">
      <c r="A9484" s="9" t="s">
        <v>31393</v>
      </c>
      <c r="B9484" s="9" t="s">
        <v>31394</v>
      </c>
      <c r="G9484" s="9" t="s">
        <v>31395</v>
      </c>
      <c r="O9484" s="10">
        <f>IFERROR(__xludf.DUMMYFUNCTION("VALUE(REGEXEXTRACT(A9484, ""\d+""))"),14050.0)</f>
        <v>14050</v>
      </c>
    </row>
    <row r="9485">
      <c r="A9485" s="9" t="s">
        <v>31396</v>
      </c>
      <c r="B9485" s="9" t="s">
        <v>31397</v>
      </c>
      <c r="G9485" s="9" t="s">
        <v>31398</v>
      </c>
      <c r="O9485" s="10">
        <f>IFERROR(__xludf.DUMMYFUNCTION("VALUE(REGEXEXTRACT(A9485, ""\d+""))"),14051.0)</f>
        <v>14051</v>
      </c>
    </row>
    <row r="9486">
      <c r="A9486" s="9" t="s">
        <v>31399</v>
      </c>
      <c r="B9486" s="9" t="s">
        <v>31400</v>
      </c>
      <c r="G9486" s="9" t="s">
        <v>31401</v>
      </c>
      <c r="O9486" s="10">
        <f>IFERROR(__xludf.DUMMYFUNCTION("VALUE(REGEXEXTRACT(A9486, ""\d+""))"),14052.0)</f>
        <v>14052</v>
      </c>
    </row>
    <row r="9487">
      <c r="A9487" s="9" t="s">
        <v>31402</v>
      </c>
      <c r="B9487" s="9" t="s">
        <v>31403</v>
      </c>
      <c r="G9487" s="9" t="s">
        <v>31404</v>
      </c>
      <c r="O9487" s="10">
        <f>IFERROR(__xludf.DUMMYFUNCTION("VALUE(REGEXEXTRACT(A9487, ""\d+""))"),14053.0)</f>
        <v>14053</v>
      </c>
    </row>
    <row r="9488">
      <c r="A9488" s="9" t="s">
        <v>31405</v>
      </c>
      <c r="B9488" s="9" t="s">
        <v>31406</v>
      </c>
      <c r="G9488" s="9" t="s">
        <v>31407</v>
      </c>
      <c r="O9488" s="10">
        <f>IFERROR(__xludf.DUMMYFUNCTION("VALUE(REGEXEXTRACT(A9488, ""\d+""))"),14055.0)</f>
        <v>14055</v>
      </c>
    </row>
    <row r="9489">
      <c r="A9489" s="9" t="s">
        <v>31408</v>
      </c>
      <c r="B9489" s="9" t="s">
        <v>31409</v>
      </c>
      <c r="G9489" s="9" t="s">
        <v>31410</v>
      </c>
      <c r="O9489" s="10">
        <f>IFERROR(__xludf.DUMMYFUNCTION("VALUE(REGEXEXTRACT(A9489, ""\d+""))"),14056.0)</f>
        <v>14056</v>
      </c>
    </row>
    <row r="9490">
      <c r="A9490" s="9" t="s">
        <v>31411</v>
      </c>
      <c r="B9490" s="9" t="s">
        <v>31412</v>
      </c>
      <c r="G9490" s="9" t="s">
        <v>31413</v>
      </c>
      <c r="O9490" s="10">
        <f>IFERROR(__xludf.DUMMYFUNCTION("VALUE(REGEXEXTRACT(A9490, ""\d+""))"),14057.0)</f>
        <v>14057</v>
      </c>
    </row>
    <row r="9491">
      <c r="A9491" s="9" t="s">
        <v>31414</v>
      </c>
      <c r="B9491" s="9" t="s">
        <v>31415</v>
      </c>
      <c r="G9491" s="9" t="s">
        <v>31416</v>
      </c>
      <c r="O9491" s="10">
        <f>IFERROR(__xludf.DUMMYFUNCTION("VALUE(REGEXEXTRACT(A9491, ""\d+""))"),14058.0)</f>
        <v>14058</v>
      </c>
    </row>
    <row r="9492">
      <c r="A9492" s="9" t="s">
        <v>31417</v>
      </c>
      <c r="B9492" s="9" t="s">
        <v>31418</v>
      </c>
      <c r="G9492" s="9" t="s">
        <v>31419</v>
      </c>
      <c r="O9492" s="10">
        <f>IFERROR(__xludf.DUMMYFUNCTION("VALUE(REGEXEXTRACT(A9492, ""\d+""))"),14059.0)</f>
        <v>14059</v>
      </c>
    </row>
    <row r="9493">
      <c r="A9493" s="9" t="s">
        <v>31420</v>
      </c>
      <c r="B9493" s="9" t="s">
        <v>31421</v>
      </c>
      <c r="G9493" s="9" t="s">
        <v>31422</v>
      </c>
      <c r="O9493" s="10">
        <f>IFERROR(__xludf.DUMMYFUNCTION("VALUE(REGEXEXTRACT(A9493, ""\d+""))"),14060.0)</f>
        <v>14060</v>
      </c>
    </row>
    <row r="9494">
      <c r="A9494" s="9" t="s">
        <v>31423</v>
      </c>
      <c r="B9494" s="9" t="s">
        <v>31424</v>
      </c>
      <c r="G9494" s="9" t="s">
        <v>31425</v>
      </c>
      <c r="O9494" s="10">
        <f>IFERROR(__xludf.DUMMYFUNCTION("VALUE(REGEXEXTRACT(A9494, ""\d+""))"),14061.0)</f>
        <v>14061</v>
      </c>
    </row>
    <row r="9495">
      <c r="A9495" s="9" t="s">
        <v>31426</v>
      </c>
      <c r="B9495" s="9" t="s">
        <v>31427</v>
      </c>
      <c r="G9495" s="9" t="s">
        <v>31428</v>
      </c>
      <c r="O9495" s="10">
        <f>IFERROR(__xludf.DUMMYFUNCTION("VALUE(REGEXEXTRACT(A9495, ""\d+""))"),14062.0)</f>
        <v>14062</v>
      </c>
    </row>
    <row r="9496">
      <c r="A9496" s="9" t="s">
        <v>31429</v>
      </c>
      <c r="B9496" s="9" t="s">
        <v>31430</v>
      </c>
      <c r="G9496" s="9" t="s">
        <v>31431</v>
      </c>
      <c r="O9496" s="10">
        <f>IFERROR(__xludf.DUMMYFUNCTION("VALUE(REGEXEXTRACT(A9496, ""\d+""))"),14063.0)</f>
        <v>14063</v>
      </c>
    </row>
    <row r="9497">
      <c r="A9497" s="9" t="s">
        <v>31432</v>
      </c>
      <c r="B9497" s="9" t="s">
        <v>31433</v>
      </c>
      <c r="G9497" s="9" t="s">
        <v>31434</v>
      </c>
      <c r="O9497" s="10">
        <f>IFERROR(__xludf.DUMMYFUNCTION("VALUE(REGEXEXTRACT(A9497, ""\d+""))"),14064.0)</f>
        <v>14064</v>
      </c>
    </row>
    <row r="9498">
      <c r="A9498" s="9" t="s">
        <v>31435</v>
      </c>
      <c r="B9498" s="9" t="s">
        <v>31436</v>
      </c>
      <c r="G9498" s="9" t="s">
        <v>31437</v>
      </c>
      <c r="O9498" s="10">
        <f>IFERROR(__xludf.DUMMYFUNCTION("VALUE(REGEXEXTRACT(A9498, ""\d+""))"),14065.0)</f>
        <v>14065</v>
      </c>
    </row>
    <row r="9499">
      <c r="A9499" s="9" t="s">
        <v>31438</v>
      </c>
      <c r="B9499" s="9" t="s">
        <v>31439</v>
      </c>
      <c r="G9499" s="9" t="s">
        <v>31440</v>
      </c>
      <c r="O9499" s="10">
        <f>IFERROR(__xludf.DUMMYFUNCTION("VALUE(REGEXEXTRACT(A9499, ""\d+""))"),14066.0)</f>
        <v>14066</v>
      </c>
    </row>
    <row r="9500">
      <c r="A9500" s="9" t="s">
        <v>31441</v>
      </c>
      <c r="B9500" s="9" t="s">
        <v>31442</v>
      </c>
      <c r="G9500" s="9" t="s">
        <v>31443</v>
      </c>
      <c r="O9500" s="10">
        <f>IFERROR(__xludf.DUMMYFUNCTION("VALUE(REGEXEXTRACT(A9500, ""\d+""))"),14067.0)</f>
        <v>14067</v>
      </c>
    </row>
    <row r="9501">
      <c r="A9501" s="9" t="s">
        <v>31444</v>
      </c>
      <c r="B9501" s="9" t="s">
        <v>31445</v>
      </c>
      <c r="G9501" s="9" t="s">
        <v>31446</v>
      </c>
      <c r="O9501" s="10">
        <f>IFERROR(__xludf.DUMMYFUNCTION("VALUE(REGEXEXTRACT(A9501, ""\d+""))"),14068.0)</f>
        <v>14068</v>
      </c>
    </row>
    <row r="9502">
      <c r="A9502" s="9" t="s">
        <v>31447</v>
      </c>
      <c r="B9502" s="9" t="s">
        <v>31448</v>
      </c>
      <c r="G9502" s="9" t="s">
        <v>31449</v>
      </c>
      <c r="O9502" s="10">
        <f>IFERROR(__xludf.DUMMYFUNCTION("VALUE(REGEXEXTRACT(A9502, ""\d+""))"),14069.0)</f>
        <v>14069</v>
      </c>
    </row>
    <row r="9503">
      <c r="A9503" s="9" t="s">
        <v>31450</v>
      </c>
      <c r="B9503" s="9" t="s">
        <v>31451</v>
      </c>
      <c r="G9503" s="9" t="s">
        <v>31452</v>
      </c>
      <c r="O9503" s="10">
        <f>IFERROR(__xludf.DUMMYFUNCTION("VALUE(REGEXEXTRACT(A9503, ""\d+""))"),14070.0)</f>
        <v>14070</v>
      </c>
    </row>
    <row r="9504">
      <c r="A9504" s="9" t="s">
        <v>31453</v>
      </c>
      <c r="B9504" s="9" t="s">
        <v>31454</v>
      </c>
      <c r="G9504" s="9" t="s">
        <v>31455</v>
      </c>
      <c r="O9504" s="10">
        <f>IFERROR(__xludf.DUMMYFUNCTION("VALUE(REGEXEXTRACT(A9504, ""\d+""))"),14071.0)</f>
        <v>14071</v>
      </c>
    </row>
    <row r="9505">
      <c r="A9505" s="9" t="s">
        <v>31456</v>
      </c>
      <c r="B9505" s="9" t="s">
        <v>31457</v>
      </c>
      <c r="G9505" s="9" t="s">
        <v>31458</v>
      </c>
      <c r="O9505" s="10">
        <f>IFERROR(__xludf.DUMMYFUNCTION("VALUE(REGEXEXTRACT(A9505, ""\d+""))"),14072.0)</f>
        <v>14072</v>
      </c>
    </row>
    <row r="9506">
      <c r="A9506" s="9" t="s">
        <v>31459</v>
      </c>
      <c r="B9506" s="9" t="s">
        <v>31460</v>
      </c>
      <c r="G9506" s="9" t="s">
        <v>31461</v>
      </c>
      <c r="O9506" s="10">
        <f>IFERROR(__xludf.DUMMYFUNCTION("VALUE(REGEXEXTRACT(A9506, ""\d+""))"),14073.0)</f>
        <v>14073</v>
      </c>
    </row>
    <row r="9507">
      <c r="A9507" s="9" t="s">
        <v>31462</v>
      </c>
      <c r="B9507" s="9" t="s">
        <v>31463</v>
      </c>
      <c r="G9507" s="9" t="s">
        <v>31464</v>
      </c>
      <c r="O9507" s="10">
        <f>IFERROR(__xludf.DUMMYFUNCTION("VALUE(REGEXEXTRACT(A9507, ""\d+""))"),14074.0)</f>
        <v>14074</v>
      </c>
    </row>
    <row r="9508">
      <c r="A9508" s="9" t="s">
        <v>31465</v>
      </c>
      <c r="B9508" s="9" t="s">
        <v>31466</v>
      </c>
      <c r="G9508" s="9" t="s">
        <v>31467</v>
      </c>
      <c r="O9508" s="10">
        <f>IFERROR(__xludf.DUMMYFUNCTION("VALUE(REGEXEXTRACT(A9508, ""\d+""))"),14075.0)</f>
        <v>14075</v>
      </c>
    </row>
    <row r="9509">
      <c r="A9509" s="9" t="s">
        <v>31468</v>
      </c>
      <c r="B9509" s="9" t="s">
        <v>31469</v>
      </c>
      <c r="G9509" s="9" t="s">
        <v>31470</v>
      </c>
      <c r="O9509" s="10">
        <f>IFERROR(__xludf.DUMMYFUNCTION("VALUE(REGEXEXTRACT(A9509, ""\d+""))"),14076.0)</f>
        <v>14076</v>
      </c>
    </row>
    <row r="9510">
      <c r="A9510" s="9" t="s">
        <v>31471</v>
      </c>
      <c r="B9510" s="9" t="s">
        <v>31472</v>
      </c>
      <c r="G9510" s="9" t="s">
        <v>31473</v>
      </c>
      <c r="O9510" s="10">
        <f>IFERROR(__xludf.DUMMYFUNCTION("VALUE(REGEXEXTRACT(A9510, ""\d+""))"),14077.0)</f>
        <v>14077</v>
      </c>
    </row>
    <row r="9511">
      <c r="A9511" s="9" t="s">
        <v>31474</v>
      </c>
      <c r="B9511" s="9" t="s">
        <v>31475</v>
      </c>
      <c r="G9511" s="9" t="s">
        <v>31476</v>
      </c>
      <c r="O9511" s="10">
        <f>IFERROR(__xludf.DUMMYFUNCTION("VALUE(REGEXEXTRACT(A9511, ""\d+""))"),14078.0)</f>
        <v>14078</v>
      </c>
    </row>
    <row r="9512">
      <c r="A9512" s="9" t="s">
        <v>31477</v>
      </c>
      <c r="B9512" s="9" t="s">
        <v>31478</v>
      </c>
      <c r="G9512" s="9" t="s">
        <v>31479</v>
      </c>
      <c r="O9512" s="10">
        <f>IFERROR(__xludf.DUMMYFUNCTION("VALUE(REGEXEXTRACT(A9512, ""\d+""))"),14079.0)</f>
        <v>14079</v>
      </c>
    </row>
    <row r="9513">
      <c r="A9513" s="9" t="s">
        <v>31480</v>
      </c>
      <c r="B9513" s="9" t="s">
        <v>31481</v>
      </c>
      <c r="G9513" s="9" t="s">
        <v>31482</v>
      </c>
      <c r="O9513" s="10">
        <f>IFERROR(__xludf.DUMMYFUNCTION("VALUE(REGEXEXTRACT(A9513, ""\d+""))"),14080.0)</f>
        <v>14080</v>
      </c>
    </row>
    <row r="9514">
      <c r="A9514" s="9" t="s">
        <v>31483</v>
      </c>
      <c r="B9514" s="9" t="s">
        <v>31484</v>
      </c>
      <c r="G9514" s="9" t="s">
        <v>31485</v>
      </c>
      <c r="O9514" s="10">
        <f>IFERROR(__xludf.DUMMYFUNCTION("VALUE(REGEXEXTRACT(A9514, ""\d+""))"),14081.0)</f>
        <v>14081</v>
      </c>
    </row>
    <row r="9515">
      <c r="A9515" s="9" t="s">
        <v>31486</v>
      </c>
      <c r="B9515" s="9" t="s">
        <v>31487</v>
      </c>
      <c r="G9515" s="9" t="s">
        <v>31488</v>
      </c>
      <c r="O9515" s="10">
        <f>IFERROR(__xludf.DUMMYFUNCTION("VALUE(REGEXEXTRACT(A9515, ""\d+""))"),14082.0)</f>
        <v>14082</v>
      </c>
    </row>
    <row r="9516">
      <c r="A9516" s="9" t="s">
        <v>31489</v>
      </c>
      <c r="B9516" s="9" t="s">
        <v>31490</v>
      </c>
      <c r="G9516" s="9" t="s">
        <v>31491</v>
      </c>
      <c r="O9516" s="10">
        <f>IFERROR(__xludf.DUMMYFUNCTION("VALUE(REGEXEXTRACT(A9516, ""\d+""))"),14083.0)</f>
        <v>14083</v>
      </c>
    </row>
    <row r="9517">
      <c r="A9517" s="9" t="s">
        <v>31492</v>
      </c>
      <c r="B9517" s="9" t="s">
        <v>31493</v>
      </c>
      <c r="G9517" s="9" t="s">
        <v>31494</v>
      </c>
      <c r="O9517" s="10">
        <f>IFERROR(__xludf.DUMMYFUNCTION("VALUE(REGEXEXTRACT(A9517, ""\d+""))"),14084.0)</f>
        <v>14084</v>
      </c>
    </row>
    <row r="9518">
      <c r="A9518" s="9" t="s">
        <v>31495</v>
      </c>
      <c r="B9518" s="9" t="s">
        <v>31496</v>
      </c>
      <c r="G9518" s="9" t="s">
        <v>31497</v>
      </c>
      <c r="O9518" s="10">
        <f>IFERROR(__xludf.DUMMYFUNCTION("VALUE(REGEXEXTRACT(A9518, ""\d+""))"),14085.0)</f>
        <v>14085</v>
      </c>
    </row>
    <row r="9519">
      <c r="A9519" s="9" t="s">
        <v>31498</v>
      </c>
      <c r="B9519" s="9" t="s">
        <v>31499</v>
      </c>
      <c r="G9519" s="9" t="s">
        <v>31500</v>
      </c>
      <c r="O9519" s="10">
        <f>IFERROR(__xludf.DUMMYFUNCTION("VALUE(REGEXEXTRACT(A9519, ""\d+""))"),14086.0)</f>
        <v>14086</v>
      </c>
    </row>
    <row r="9520">
      <c r="A9520" s="9" t="s">
        <v>31501</v>
      </c>
      <c r="B9520" s="9" t="s">
        <v>31502</v>
      </c>
      <c r="G9520" s="9" t="s">
        <v>31503</v>
      </c>
      <c r="O9520" s="10">
        <f>IFERROR(__xludf.DUMMYFUNCTION("VALUE(REGEXEXTRACT(A9520, ""\d+""))"),14087.0)</f>
        <v>14087</v>
      </c>
    </row>
    <row r="9521">
      <c r="A9521" s="9" t="s">
        <v>31504</v>
      </c>
      <c r="B9521" s="9" t="s">
        <v>31505</v>
      </c>
      <c r="G9521" s="9" t="s">
        <v>31506</v>
      </c>
      <c r="O9521" s="10">
        <f>IFERROR(__xludf.DUMMYFUNCTION("VALUE(REGEXEXTRACT(A9521, ""\d+""))"),14088.0)</f>
        <v>14088</v>
      </c>
    </row>
    <row r="9522">
      <c r="A9522" s="9" t="s">
        <v>31507</v>
      </c>
      <c r="B9522" s="9" t="s">
        <v>31508</v>
      </c>
      <c r="G9522" s="9" t="s">
        <v>31509</v>
      </c>
      <c r="O9522" s="10">
        <f>IFERROR(__xludf.DUMMYFUNCTION("VALUE(REGEXEXTRACT(A9522, ""\d+""))"),14089.0)</f>
        <v>14089</v>
      </c>
    </row>
    <row r="9523">
      <c r="A9523" s="9" t="s">
        <v>31510</v>
      </c>
      <c r="B9523" s="9" t="s">
        <v>31511</v>
      </c>
      <c r="G9523" s="9" t="s">
        <v>31512</v>
      </c>
      <c r="O9523" s="10">
        <f>IFERROR(__xludf.DUMMYFUNCTION("VALUE(REGEXEXTRACT(A9523, ""\d+""))"),14090.0)</f>
        <v>14090</v>
      </c>
    </row>
    <row r="9524">
      <c r="A9524" s="9" t="s">
        <v>31513</v>
      </c>
      <c r="B9524" s="9" t="s">
        <v>31514</v>
      </c>
      <c r="G9524" s="9" t="s">
        <v>31515</v>
      </c>
      <c r="O9524" s="10">
        <f>IFERROR(__xludf.DUMMYFUNCTION("VALUE(REGEXEXTRACT(A9524, ""\d+""))"),14091.0)</f>
        <v>14091</v>
      </c>
    </row>
    <row r="9525">
      <c r="A9525" s="9" t="s">
        <v>31516</v>
      </c>
      <c r="B9525" s="9" t="s">
        <v>31517</v>
      </c>
      <c r="G9525" s="9" t="s">
        <v>31518</v>
      </c>
      <c r="O9525" s="10">
        <f>IFERROR(__xludf.DUMMYFUNCTION("VALUE(REGEXEXTRACT(A9525, ""\d+""))"),14092.0)</f>
        <v>14092</v>
      </c>
    </row>
    <row r="9526">
      <c r="A9526" s="9" t="s">
        <v>31519</v>
      </c>
      <c r="B9526" s="9" t="s">
        <v>31520</v>
      </c>
      <c r="G9526" s="9" t="s">
        <v>31521</v>
      </c>
      <c r="O9526" s="10">
        <f>IFERROR(__xludf.DUMMYFUNCTION("VALUE(REGEXEXTRACT(A9526, ""\d+""))"),14093.0)</f>
        <v>14093</v>
      </c>
    </row>
    <row r="9527">
      <c r="A9527" s="9" t="s">
        <v>31522</v>
      </c>
      <c r="B9527" s="9" t="s">
        <v>31523</v>
      </c>
      <c r="G9527" s="9" t="s">
        <v>31524</v>
      </c>
      <c r="O9527" s="10">
        <f>IFERROR(__xludf.DUMMYFUNCTION("VALUE(REGEXEXTRACT(A9527, ""\d+""))"),14094.0)</f>
        <v>14094</v>
      </c>
    </row>
    <row r="9528">
      <c r="A9528" s="9" t="s">
        <v>31525</v>
      </c>
      <c r="B9528" s="9" t="s">
        <v>31526</v>
      </c>
      <c r="G9528" s="9" t="s">
        <v>31527</v>
      </c>
      <c r="O9528" s="10">
        <f>IFERROR(__xludf.DUMMYFUNCTION("VALUE(REGEXEXTRACT(A9528, ""\d+""))"),14095.0)</f>
        <v>14095</v>
      </c>
    </row>
    <row r="9529">
      <c r="A9529" s="9" t="s">
        <v>31528</v>
      </c>
      <c r="B9529" s="9" t="s">
        <v>31529</v>
      </c>
      <c r="G9529" s="9" t="s">
        <v>31530</v>
      </c>
      <c r="O9529" s="10">
        <f>IFERROR(__xludf.DUMMYFUNCTION("VALUE(REGEXEXTRACT(A9529, ""\d+""))"),14096.0)</f>
        <v>14096</v>
      </c>
    </row>
    <row r="9530">
      <c r="A9530" s="9" t="s">
        <v>31531</v>
      </c>
      <c r="B9530" s="9" t="s">
        <v>31532</v>
      </c>
      <c r="G9530" s="9" t="s">
        <v>31533</v>
      </c>
      <c r="O9530" s="10">
        <f>IFERROR(__xludf.DUMMYFUNCTION("VALUE(REGEXEXTRACT(A9530, ""\d+""))"),14097.0)</f>
        <v>14097</v>
      </c>
    </row>
    <row r="9531">
      <c r="A9531" s="9" t="s">
        <v>31534</v>
      </c>
      <c r="B9531" s="9" t="s">
        <v>31535</v>
      </c>
      <c r="G9531" s="9" t="s">
        <v>31536</v>
      </c>
      <c r="O9531" s="10">
        <f>IFERROR(__xludf.DUMMYFUNCTION("VALUE(REGEXEXTRACT(A9531, ""\d+""))"),14098.0)</f>
        <v>14098</v>
      </c>
    </row>
    <row r="9532">
      <c r="A9532" s="9" t="s">
        <v>31537</v>
      </c>
      <c r="B9532" s="9" t="s">
        <v>31538</v>
      </c>
      <c r="G9532" s="9" t="s">
        <v>31539</v>
      </c>
      <c r="O9532" s="10">
        <f>IFERROR(__xludf.DUMMYFUNCTION("VALUE(REGEXEXTRACT(A9532, ""\d+""))"),14099.0)</f>
        <v>14099</v>
      </c>
    </row>
    <row r="9533">
      <c r="A9533" s="9" t="s">
        <v>31540</v>
      </c>
      <c r="B9533" s="9" t="s">
        <v>31541</v>
      </c>
      <c r="G9533" s="9" t="s">
        <v>31542</v>
      </c>
      <c r="O9533" s="10">
        <f>IFERROR(__xludf.DUMMYFUNCTION("VALUE(REGEXEXTRACT(A9533, ""\d+""))"),14100.0)</f>
        <v>14100</v>
      </c>
    </row>
    <row r="9534">
      <c r="A9534" s="9" t="s">
        <v>31543</v>
      </c>
      <c r="B9534" s="9" t="s">
        <v>31544</v>
      </c>
      <c r="G9534" s="9" t="s">
        <v>31545</v>
      </c>
      <c r="O9534" s="10">
        <f>IFERROR(__xludf.DUMMYFUNCTION("VALUE(REGEXEXTRACT(A9534, ""\d+""))"),14101.0)</f>
        <v>14101</v>
      </c>
    </row>
    <row r="9535">
      <c r="A9535" s="9" t="s">
        <v>31546</v>
      </c>
      <c r="B9535" s="9" t="s">
        <v>31547</v>
      </c>
      <c r="G9535" s="9" t="s">
        <v>31548</v>
      </c>
      <c r="O9535" s="10">
        <f>IFERROR(__xludf.DUMMYFUNCTION("VALUE(REGEXEXTRACT(A9535, ""\d+""))"),14102.0)</f>
        <v>14102</v>
      </c>
    </row>
    <row r="9536">
      <c r="A9536" s="9" t="s">
        <v>31549</v>
      </c>
      <c r="B9536" s="9" t="s">
        <v>31550</v>
      </c>
      <c r="G9536" s="9" t="s">
        <v>31551</v>
      </c>
      <c r="O9536" s="10">
        <f>IFERROR(__xludf.DUMMYFUNCTION("VALUE(REGEXEXTRACT(A9536, ""\d+""))"),14103.0)</f>
        <v>14103</v>
      </c>
    </row>
    <row r="9537">
      <c r="A9537" s="9" t="s">
        <v>31552</v>
      </c>
      <c r="B9537" s="9" t="s">
        <v>31553</v>
      </c>
      <c r="G9537" s="9" t="s">
        <v>31554</v>
      </c>
      <c r="O9537" s="10">
        <f>IFERROR(__xludf.DUMMYFUNCTION("VALUE(REGEXEXTRACT(A9537, ""\d+""))"),14104.0)</f>
        <v>14104</v>
      </c>
    </row>
    <row r="9538">
      <c r="A9538" s="9" t="s">
        <v>31555</v>
      </c>
      <c r="B9538" s="9" t="s">
        <v>31556</v>
      </c>
      <c r="G9538" s="9" t="s">
        <v>31557</v>
      </c>
      <c r="O9538" s="10">
        <f>IFERROR(__xludf.DUMMYFUNCTION("VALUE(REGEXEXTRACT(A9538, ""\d+""))"),14105.0)</f>
        <v>14105</v>
      </c>
    </row>
    <row r="9539">
      <c r="A9539" s="9" t="s">
        <v>31558</v>
      </c>
      <c r="B9539" s="9" t="s">
        <v>31559</v>
      </c>
      <c r="G9539" s="9" t="s">
        <v>31560</v>
      </c>
      <c r="O9539" s="10">
        <f>IFERROR(__xludf.DUMMYFUNCTION("VALUE(REGEXEXTRACT(A9539, ""\d+""))"),14106.0)</f>
        <v>14106</v>
      </c>
    </row>
    <row r="9540">
      <c r="A9540" s="9" t="s">
        <v>31561</v>
      </c>
      <c r="B9540" s="9" t="s">
        <v>31562</v>
      </c>
      <c r="G9540" s="9" t="s">
        <v>31563</v>
      </c>
      <c r="O9540" s="10">
        <f>IFERROR(__xludf.DUMMYFUNCTION("VALUE(REGEXEXTRACT(A9540, ""\d+""))"),14107.0)</f>
        <v>14107</v>
      </c>
    </row>
    <row r="9541">
      <c r="A9541" s="9" t="s">
        <v>31564</v>
      </c>
      <c r="B9541" s="9" t="s">
        <v>31565</v>
      </c>
      <c r="G9541" s="9" t="s">
        <v>31566</v>
      </c>
      <c r="O9541" s="10">
        <f>IFERROR(__xludf.DUMMYFUNCTION("VALUE(REGEXEXTRACT(A9541, ""\d+""))"),14108.0)</f>
        <v>14108</v>
      </c>
    </row>
    <row r="9542">
      <c r="A9542" s="9" t="s">
        <v>31567</v>
      </c>
      <c r="B9542" s="9" t="s">
        <v>31568</v>
      </c>
      <c r="G9542" s="9" t="s">
        <v>31569</v>
      </c>
      <c r="O9542" s="10">
        <f>IFERROR(__xludf.DUMMYFUNCTION("VALUE(REGEXEXTRACT(A9542, ""\d+""))"),14109.0)</f>
        <v>14109</v>
      </c>
    </row>
    <row r="9543">
      <c r="A9543" s="9" t="s">
        <v>31570</v>
      </c>
      <c r="B9543" s="9" t="s">
        <v>31571</v>
      </c>
      <c r="G9543" s="9" t="s">
        <v>31572</v>
      </c>
      <c r="O9543" s="10">
        <f>IFERROR(__xludf.DUMMYFUNCTION("VALUE(REGEXEXTRACT(A9543, ""\d+""))"),14110.0)</f>
        <v>14110</v>
      </c>
    </row>
    <row r="9544">
      <c r="A9544" s="9" t="s">
        <v>31573</v>
      </c>
      <c r="B9544" s="9" t="s">
        <v>31574</v>
      </c>
      <c r="G9544" s="9" t="s">
        <v>31574</v>
      </c>
      <c r="O9544" s="10">
        <f>IFERROR(__xludf.DUMMYFUNCTION("VALUE(REGEXEXTRACT(A9544, ""\d+""))"),14111.0)</f>
        <v>14111</v>
      </c>
    </row>
    <row r="9545">
      <c r="A9545" s="9" t="s">
        <v>31575</v>
      </c>
      <c r="B9545" s="9" t="s">
        <v>31576</v>
      </c>
      <c r="G9545" s="9" t="s">
        <v>31577</v>
      </c>
      <c r="O9545" s="10">
        <f>IFERROR(__xludf.DUMMYFUNCTION("VALUE(REGEXEXTRACT(A9545, ""\d+""))"),14112.0)</f>
        <v>14112</v>
      </c>
    </row>
    <row r="9546">
      <c r="A9546" s="9" t="s">
        <v>31578</v>
      </c>
      <c r="B9546" s="9" t="s">
        <v>31579</v>
      </c>
      <c r="G9546" s="9" t="s">
        <v>31580</v>
      </c>
      <c r="O9546" s="10">
        <f>IFERROR(__xludf.DUMMYFUNCTION("VALUE(REGEXEXTRACT(A9546, ""\d+""))"),14113.0)</f>
        <v>14113</v>
      </c>
    </row>
    <row r="9547">
      <c r="A9547" s="9" t="s">
        <v>31581</v>
      </c>
      <c r="B9547" s="9" t="s">
        <v>31582</v>
      </c>
      <c r="G9547" s="9" t="s">
        <v>31583</v>
      </c>
      <c r="O9547" s="10">
        <f>IFERROR(__xludf.DUMMYFUNCTION("VALUE(REGEXEXTRACT(A9547, ""\d+""))"),14114.0)</f>
        <v>14114</v>
      </c>
    </row>
    <row r="9548">
      <c r="A9548" s="9" t="s">
        <v>31584</v>
      </c>
      <c r="B9548" s="9" t="s">
        <v>31585</v>
      </c>
      <c r="G9548" s="9" t="s">
        <v>31586</v>
      </c>
      <c r="O9548" s="10">
        <f>IFERROR(__xludf.DUMMYFUNCTION("VALUE(REGEXEXTRACT(A9548, ""\d+""))"),14115.0)</f>
        <v>14115</v>
      </c>
    </row>
    <row r="9549">
      <c r="A9549" s="9" t="s">
        <v>31587</v>
      </c>
      <c r="B9549" s="9" t="s">
        <v>31588</v>
      </c>
      <c r="G9549" s="9" t="s">
        <v>31589</v>
      </c>
      <c r="O9549" s="10">
        <f>IFERROR(__xludf.DUMMYFUNCTION("VALUE(REGEXEXTRACT(A9549, ""\d+""))"),14116.0)</f>
        <v>14116</v>
      </c>
    </row>
    <row r="9550">
      <c r="A9550" s="9" t="s">
        <v>31590</v>
      </c>
      <c r="B9550" s="9" t="s">
        <v>31591</v>
      </c>
      <c r="G9550" s="9" t="s">
        <v>31592</v>
      </c>
      <c r="O9550" s="10">
        <f>IFERROR(__xludf.DUMMYFUNCTION("VALUE(REGEXEXTRACT(A9550, ""\d+""))"),14117.0)</f>
        <v>14117</v>
      </c>
    </row>
    <row r="9551">
      <c r="A9551" s="9" t="s">
        <v>31593</v>
      </c>
      <c r="B9551" s="9" t="s">
        <v>31594</v>
      </c>
      <c r="G9551" s="9" t="s">
        <v>31595</v>
      </c>
      <c r="O9551" s="10">
        <f>IFERROR(__xludf.DUMMYFUNCTION("VALUE(REGEXEXTRACT(A9551, ""\d+""))"),14119.0)</f>
        <v>14119</v>
      </c>
    </row>
    <row r="9552">
      <c r="A9552" s="9" t="s">
        <v>31596</v>
      </c>
      <c r="B9552" s="9" t="s">
        <v>31597</v>
      </c>
      <c r="G9552" s="9" t="s">
        <v>31597</v>
      </c>
      <c r="O9552" s="10">
        <f>IFERROR(__xludf.DUMMYFUNCTION("VALUE(REGEXEXTRACT(A9552, ""\d+""))"),14121.0)</f>
        <v>14121</v>
      </c>
    </row>
    <row r="9553">
      <c r="A9553" s="9" t="s">
        <v>31598</v>
      </c>
      <c r="B9553" s="9" t="s">
        <v>31599</v>
      </c>
      <c r="G9553" s="9" t="s">
        <v>31600</v>
      </c>
      <c r="O9553" s="10">
        <f>IFERROR(__xludf.DUMMYFUNCTION("VALUE(REGEXEXTRACT(A9553, ""\d+""))"),14122.0)</f>
        <v>14122</v>
      </c>
    </row>
    <row r="9554">
      <c r="A9554" s="9" t="s">
        <v>31601</v>
      </c>
      <c r="B9554" s="9" t="s">
        <v>31599</v>
      </c>
      <c r="G9554" s="9" t="s">
        <v>31600</v>
      </c>
      <c r="O9554" s="10">
        <f>IFERROR(__xludf.DUMMYFUNCTION("VALUE(REGEXEXTRACT(A9554, ""\d+""))"),14123.0)</f>
        <v>14123</v>
      </c>
    </row>
    <row r="9555">
      <c r="A9555" s="9" t="s">
        <v>31602</v>
      </c>
      <c r="B9555" s="9" t="s">
        <v>31603</v>
      </c>
      <c r="G9555" s="9" t="s">
        <v>31604</v>
      </c>
      <c r="O9555" s="10">
        <f>IFERROR(__xludf.DUMMYFUNCTION("VALUE(REGEXEXTRACT(A9555, ""\d+""))"),14125.0)</f>
        <v>14125</v>
      </c>
    </row>
    <row r="9556">
      <c r="A9556" s="9" t="s">
        <v>31605</v>
      </c>
      <c r="B9556" s="9" t="s">
        <v>31606</v>
      </c>
      <c r="G9556" s="9" t="s">
        <v>31607</v>
      </c>
      <c r="O9556" s="10">
        <f>IFERROR(__xludf.DUMMYFUNCTION("VALUE(REGEXEXTRACT(A9556, ""\d+""))"),14127.0)</f>
        <v>14127</v>
      </c>
    </row>
    <row r="9557">
      <c r="A9557" s="9" t="s">
        <v>31608</v>
      </c>
      <c r="B9557" s="9" t="s">
        <v>31609</v>
      </c>
      <c r="G9557" s="9" t="s">
        <v>31609</v>
      </c>
      <c r="O9557" s="10">
        <f>IFERROR(__xludf.DUMMYFUNCTION("VALUE(REGEXEXTRACT(A9557, ""\d+""))"),14128.0)</f>
        <v>14128</v>
      </c>
    </row>
    <row r="9558">
      <c r="A9558" s="9" t="s">
        <v>31610</v>
      </c>
      <c r="B9558" s="9" t="s">
        <v>31611</v>
      </c>
      <c r="G9558" s="9" t="s">
        <v>31611</v>
      </c>
      <c r="O9558" s="10">
        <f>IFERROR(__xludf.DUMMYFUNCTION("VALUE(REGEXEXTRACT(A9558, ""\d+""))"),14129.0)</f>
        <v>14129</v>
      </c>
    </row>
    <row r="9559">
      <c r="A9559" s="9" t="s">
        <v>31612</v>
      </c>
      <c r="B9559" s="9" t="s">
        <v>31613</v>
      </c>
      <c r="G9559" s="9" t="s">
        <v>31614</v>
      </c>
      <c r="O9559" s="10">
        <f>IFERROR(__xludf.DUMMYFUNCTION("VALUE(REGEXEXTRACT(A9559, ""\d+""))"),14130.0)</f>
        <v>14130</v>
      </c>
    </row>
    <row r="9560">
      <c r="A9560" s="9" t="s">
        <v>31615</v>
      </c>
      <c r="B9560" s="9" t="s">
        <v>31616</v>
      </c>
      <c r="G9560" s="9" t="s">
        <v>31617</v>
      </c>
      <c r="O9560" s="10">
        <f>IFERROR(__xludf.DUMMYFUNCTION("VALUE(REGEXEXTRACT(A9560, ""\d+""))"),14131.0)</f>
        <v>14131</v>
      </c>
    </row>
    <row r="9561">
      <c r="A9561" s="9" t="s">
        <v>31618</v>
      </c>
      <c r="B9561" s="9" t="s">
        <v>31619</v>
      </c>
      <c r="G9561" s="9" t="s">
        <v>31620</v>
      </c>
      <c r="O9561" s="10">
        <f>IFERROR(__xludf.DUMMYFUNCTION("VALUE(REGEXEXTRACT(A9561, ""\d+""))"),14132.0)</f>
        <v>14132</v>
      </c>
    </row>
    <row r="9562">
      <c r="A9562" s="9" t="s">
        <v>31621</v>
      </c>
      <c r="B9562" s="9" t="s">
        <v>31622</v>
      </c>
      <c r="G9562" s="9" t="s">
        <v>31623</v>
      </c>
      <c r="O9562" s="10">
        <f>IFERROR(__xludf.DUMMYFUNCTION("VALUE(REGEXEXTRACT(A9562, ""\d+""))"),14133.0)</f>
        <v>14133</v>
      </c>
    </row>
    <row r="9563">
      <c r="A9563" s="9" t="s">
        <v>31624</v>
      </c>
      <c r="B9563" s="9" t="s">
        <v>31625</v>
      </c>
      <c r="G9563" s="9" t="s">
        <v>31626</v>
      </c>
      <c r="O9563" s="10">
        <f>IFERROR(__xludf.DUMMYFUNCTION("VALUE(REGEXEXTRACT(A9563, ""\d+""))"),14134.0)</f>
        <v>14134</v>
      </c>
    </row>
    <row r="9564">
      <c r="A9564" s="9" t="s">
        <v>31627</v>
      </c>
      <c r="B9564" s="9" t="s">
        <v>31628</v>
      </c>
      <c r="G9564" s="9" t="s">
        <v>31629</v>
      </c>
      <c r="O9564" s="10">
        <f>IFERROR(__xludf.DUMMYFUNCTION("VALUE(REGEXEXTRACT(A9564, ""\d+""))"),14135.0)</f>
        <v>14135</v>
      </c>
    </row>
    <row r="9565">
      <c r="A9565" s="9" t="s">
        <v>31630</v>
      </c>
      <c r="B9565" s="9" t="s">
        <v>31631</v>
      </c>
      <c r="G9565" s="9" t="s">
        <v>31632</v>
      </c>
      <c r="O9565" s="10">
        <f>IFERROR(__xludf.DUMMYFUNCTION("VALUE(REGEXEXTRACT(A9565, ""\d+""))"),14136.0)</f>
        <v>14136</v>
      </c>
    </row>
    <row r="9566">
      <c r="A9566" s="9" t="s">
        <v>31633</v>
      </c>
      <c r="B9566" s="9" t="s">
        <v>31634</v>
      </c>
      <c r="G9566" s="9" t="s">
        <v>31635</v>
      </c>
      <c r="O9566" s="10">
        <f>IFERROR(__xludf.DUMMYFUNCTION("VALUE(REGEXEXTRACT(A9566, ""\d+""))"),14137.0)</f>
        <v>14137</v>
      </c>
    </row>
    <row r="9567">
      <c r="A9567" s="9" t="s">
        <v>31636</v>
      </c>
      <c r="B9567" s="9" t="s">
        <v>31637</v>
      </c>
      <c r="G9567" s="9" t="s">
        <v>31638</v>
      </c>
      <c r="O9567" s="10">
        <f>IFERROR(__xludf.DUMMYFUNCTION("VALUE(REGEXEXTRACT(A9567, ""\d+""))"),14138.0)</f>
        <v>14138</v>
      </c>
    </row>
    <row r="9568">
      <c r="A9568" s="9" t="s">
        <v>31639</v>
      </c>
      <c r="B9568" s="9" t="s">
        <v>31640</v>
      </c>
      <c r="G9568" s="9" t="s">
        <v>31641</v>
      </c>
      <c r="O9568" s="10">
        <f>IFERROR(__xludf.DUMMYFUNCTION("VALUE(REGEXEXTRACT(A9568, ""\d+""))"),14139.0)</f>
        <v>14139</v>
      </c>
    </row>
    <row r="9569">
      <c r="A9569" s="9" t="s">
        <v>31642</v>
      </c>
      <c r="B9569" s="9" t="s">
        <v>31643</v>
      </c>
      <c r="G9569" s="9" t="s">
        <v>31644</v>
      </c>
      <c r="O9569" s="10">
        <f>IFERROR(__xludf.DUMMYFUNCTION("VALUE(REGEXEXTRACT(A9569, ""\d+""))"),14140.0)</f>
        <v>14140</v>
      </c>
    </row>
    <row r="9570">
      <c r="A9570" s="9" t="s">
        <v>31645</v>
      </c>
      <c r="B9570" s="9" t="s">
        <v>31646</v>
      </c>
      <c r="G9570" s="9" t="s">
        <v>31647</v>
      </c>
      <c r="O9570" s="10">
        <f>IFERROR(__xludf.DUMMYFUNCTION("VALUE(REGEXEXTRACT(A9570, ""\d+""))"),14141.0)</f>
        <v>14141</v>
      </c>
    </row>
    <row r="9571">
      <c r="A9571" s="9" t="s">
        <v>31648</v>
      </c>
      <c r="B9571" s="9" t="s">
        <v>31649</v>
      </c>
      <c r="G9571" s="9" t="s">
        <v>31650</v>
      </c>
      <c r="O9571" s="10">
        <f>IFERROR(__xludf.DUMMYFUNCTION("VALUE(REGEXEXTRACT(A9571, ""\d+""))"),14142.0)</f>
        <v>14142</v>
      </c>
    </row>
    <row r="9572">
      <c r="A9572" s="9" t="s">
        <v>31651</v>
      </c>
      <c r="B9572" s="9" t="s">
        <v>31652</v>
      </c>
      <c r="G9572" s="9" t="s">
        <v>31653</v>
      </c>
      <c r="O9572" s="10">
        <f>IFERROR(__xludf.DUMMYFUNCTION("VALUE(REGEXEXTRACT(A9572, ""\d+""))"),14143.0)</f>
        <v>14143</v>
      </c>
    </row>
    <row r="9573">
      <c r="A9573" s="9" t="s">
        <v>31654</v>
      </c>
      <c r="B9573" s="9" t="s">
        <v>31655</v>
      </c>
      <c r="G9573" s="9" t="s">
        <v>31656</v>
      </c>
      <c r="O9573" s="10">
        <f>IFERROR(__xludf.DUMMYFUNCTION("VALUE(REGEXEXTRACT(A9573, ""\d+""))"),14144.0)</f>
        <v>14144</v>
      </c>
    </row>
    <row r="9574">
      <c r="A9574" s="9" t="s">
        <v>31657</v>
      </c>
      <c r="B9574" s="9" t="s">
        <v>31658</v>
      </c>
      <c r="G9574" s="9" t="s">
        <v>31659</v>
      </c>
      <c r="O9574" s="10">
        <f>IFERROR(__xludf.DUMMYFUNCTION("VALUE(REGEXEXTRACT(A9574, ""\d+""))"),14145.0)</f>
        <v>14145</v>
      </c>
    </row>
    <row r="9575">
      <c r="A9575" s="9" t="s">
        <v>31660</v>
      </c>
      <c r="B9575" s="9" t="s">
        <v>31661</v>
      </c>
      <c r="G9575" s="9" t="s">
        <v>31662</v>
      </c>
      <c r="O9575" s="10">
        <f>IFERROR(__xludf.DUMMYFUNCTION("VALUE(REGEXEXTRACT(A9575, ""\d+""))"),14148.0)</f>
        <v>14148</v>
      </c>
    </row>
    <row r="9576">
      <c r="A9576" s="9" t="s">
        <v>31663</v>
      </c>
      <c r="B9576" s="9" t="s">
        <v>31664</v>
      </c>
      <c r="G9576" s="9" t="s">
        <v>31665</v>
      </c>
      <c r="O9576" s="10">
        <f>IFERROR(__xludf.DUMMYFUNCTION("VALUE(REGEXEXTRACT(A9576, ""\d+""))"),14149.0)</f>
        <v>14149</v>
      </c>
    </row>
    <row r="9577">
      <c r="A9577" s="9" t="s">
        <v>31666</v>
      </c>
      <c r="B9577" s="9" t="s">
        <v>31667</v>
      </c>
      <c r="G9577" s="9" t="s">
        <v>31668</v>
      </c>
      <c r="O9577" s="10">
        <f>IFERROR(__xludf.DUMMYFUNCTION("VALUE(REGEXEXTRACT(A9577, ""\d+""))"),14150.0)</f>
        <v>14150</v>
      </c>
    </row>
    <row r="9578">
      <c r="A9578" s="9" t="s">
        <v>31669</v>
      </c>
      <c r="B9578" s="9" t="s">
        <v>31670</v>
      </c>
      <c r="G9578" s="9" t="s">
        <v>31671</v>
      </c>
      <c r="O9578" s="10">
        <f>IFERROR(__xludf.DUMMYFUNCTION("VALUE(REGEXEXTRACT(A9578, ""\d+""))"),14151.0)</f>
        <v>14151</v>
      </c>
    </row>
    <row r="9579">
      <c r="A9579" s="9" t="s">
        <v>31672</v>
      </c>
      <c r="B9579" s="9" t="s">
        <v>31673</v>
      </c>
      <c r="G9579" s="9" t="s">
        <v>31674</v>
      </c>
      <c r="O9579" s="10">
        <f>IFERROR(__xludf.DUMMYFUNCTION("VALUE(REGEXEXTRACT(A9579, ""\d+""))"),14152.0)</f>
        <v>14152</v>
      </c>
    </row>
    <row r="9580">
      <c r="A9580" s="9" t="s">
        <v>31675</v>
      </c>
      <c r="B9580" s="9" t="s">
        <v>31673</v>
      </c>
      <c r="G9580" s="9" t="s">
        <v>31674</v>
      </c>
      <c r="O9580" s="10">
        <f>IFERROR(__xludf.DUMMYFUNCTION("VALUE(REGEXEXTRACT(A9580, ""\d+""))"),14154.0)</f>
        <v>14154</v>
      </c>
    </row>
    <row r="9581">
      <c r="A9581" s="9" t="s">
        <v>31676</v>
      </c>
      <c r="B9581" s="9" t="s">
        <v>31673</v>
      </c>
      <c r="G9581" s="9" t="s">
        <v>31674</v>
      </c>
      <c r="O9581" s="10">
        <f>IFERROR(__xludf.DUMMYFUNCTION("VALUE(REGEXEXTRACT(A9581, ""\d+""))"),14156.0)</f>
        <v>14156</v>
      </c>
    </row>
    <row r="9582">
      <c r="A9582" s="9" t="s">
        <v>31677</v>
      </c>
      <c r="B9582" s="9" t="s">
        <v>31673</v>
      </c>
      <c r="G9582" s="9" t="s">
        <v>31674</v>
      </c>
      <c r="O9582" s="10">
        <f>IFERROR(__xludf.DUMMYFUNCTION("VALUE(REGEXEXTRACT(A9582, ""\d+""))"),14157.0)</f>
        <v>14157</v>
      </c>
    </row>
    <row r="9583">
      <c r="A9583" s="9" t="s">
        <v>31678</v>
      </c>
      <c r="B9583" s="9" t="s">
        <v>31679</v>
      </c>
      <c r="G9583" s="9" t="s">
        <v>31680</v>
      </c>
      <c r="O9583" s="10">
        <f>IFERROR(__xludf.DUMMYFUNCTION("VALUE(REGEXEXTRACT(A9583, ""\d+""))"),14159.0)</f>
        <v>14159</v>
      </c>
    </row>
    <row r="9584">
      <c r="A9584" s="9" t="s">
        <v>31681</v>
      </c>
      <c r="B9584" s="9" t="s">
        <v>31682</v>
      </c>
      <c r="G9584" s="9" t="s">
        <v>31683</v>
      </c>
      <c r="O9584" s="10">
        <f>IFERROR(__xludf.DUMMYFUNCTION("VALUE(REGEXEXTRACT(A9584, ""\d+""))"),14160.0)</f>
        <v>14160</v>
      </c>
    </row>
    <row r="9585">
      <c r="A9585" s="9" t="s">
        <v>31684</v>
      </c>
      <c r="B9585" s="9" t="s">
        <v>31685</v>
      </c>
      <c r="G9585" s="9" t="s">
        <v>31686</v>
      </c>
      <c r="O9585" s="10">
        <f>IFERROR(__xludf.DUMMYFUNCTION("VALUE(REGEXEXTRACT(A9585, ""\d+""))"),14161.0)</f>
        <v>14161</v>
      </c>
    </row>
    <row r="9586">
      <c r="A9586" s="9" t="s">
        <v>31687</v>
      </c>
      <c r="B9586" s="9" t="s">
        <v>31688</v>
      </c>
      <c r="G9586" s="9" t="s">
        <v>31689</v>
      </c>
      <c r="O9586" s="10">
        <f>IFERROR(__xludf.DUMMYFUNCTION("VALUE(REGEXEXTRACT(A9586, ""\d+""))"),14163.0)</f>
        <v>14163</v>
      </c>
    </row>
    <row r="9587">
      <c r="A9587" s="9" t="s">
        <v>31690</v>
      </c>
      <c r="B9587" s="9" t="s">
        <v>31691</v>
      </c>
      <c r="G9587" s="9" t="s">
        <v>31692</v>
      </c>
      <c r="O9587" s="10">
        <f>IFERROR(__xludf.DUMMYFUNCTION("VALUE(REGEXEXTRACT(A9587, ""\d+""))"),14166.0)</f>
        <v>14166</v>
      </c>
    </row>
    <row r="9588">
      <c r="A9588" s="9" t="s">
        <v>31693</v>
      </c>
      <c r="B9588" s="9" t="s">
        <v>31694</v>
      </c>
      <c r="G9588" s="9" t="s">
        <v>31695</v>
      </c>
      <c r="O9588" s="10">
        <f>IFERROR(__xludf.DUMMYFUNCTION("VALUE(REGEXEXTRACT(A9588, ""\d+""))"),14167.0)</f>
        <v>14167</v>
      </c>
    </row>
    <row r="9589">
      <c r="A9589" s="9" t="s">
        <v>31696</v>
      </c>
      <c r="B9589" s="9" t="s">
        <v>31697</v>
      </c>
      <c r="G9589" s="9" t="s">
        <v>31695</v>
      </c>
      <c r="O9589" s="10">
        <f>IFERROR(__xludf.DUMMYFUNCTION("VALUE(REGEXEXTRACT(A9589, ""\d+""))"),14169.0)</f>
        <v>14169</v>
      </c>
    </row>
    <row r="9590">
      <c r="A9590" s="9" t="s">
        <v>31698</v>
      </c>
      <c r="B9590" s="9" t="s">
        <v>31697</v>
      </c>
      <c r="G9590" s="9" t="s">
        <v>31695</v>
      </c>
      <c r="O9590" s="10">
        <f>IFERROR(__xludf.DUMMYFUNCTION("VALUE(REGEXEXTRACT(A9590, ""\d+""))"),14170.0)</f>
        <v>14170</v>
      </c>
    </row>
    <row r="9591">
      <c r="A9591" s="9" t="s">
        <v>31699</v>
      </c>
      <c r="B9591" s="9" t="s">
        <v>31700</v>
      </c>
      <c r="G9591" s="9" t="s">
        <v>31701</v>
      </c>
      <c r="O9591" s="10">
        <f>IFERROR(__xludf.DUMMYFUNCTION("VALUE(REGEXEXTRACT(A9591, ""\d+""))"),14171.0)</f>
        <v>14171</v>
      </c>
    </row>
    <row r="9592">
      <c r="A9592" s="9" t="s">
        <v>31702</v>
      </c>
      <c r="B9592" s="9" t="s">
        <v>31703</v>
      </c>
      <c r="G9592" s="9" t="s">
        <v>31704</v>
      </c>
      <c r="O9592" s="10">
        <f>IFERROR(__xludf.DUMMYFUNCTION("VALUE(REGEXEXTRACT(A9592, ""\d+""))"),14172.0)</f>
        <v>14172</v>
      </c>
    </row>
    <row r="9593">
      <c r="A9593" s="9" t="s">
        <v>31705</v>
      </c>
      <c r="B9593" s="9" t="s">
        <v>31706</v>
      </c>
      <c r="G9593" s="9" t="s">
        <v>31707</v>
      </c>
      <c r="O9593" s="10">
        <f>IFERROR(__xludf.DUMMYFUNCTION("VALUE(REGEXEXTRACT(A9593, ""\d+""))"),14173.0)</f>
        <v>14173</v>
      </c>
    </row>
    <row r="9594">
      <c r="A9594" s="9" t="s">
        <v>31708</v>
      </c>
      <c r="B9594" s="9" t="s">
        <v>31709</v>
      </c>
      <c r="G9594" s="9" t="s">
        <v>31710</v>
      </c>
      <c r="O9594" s="10">
        <f>IFERROR(__xludf.DUMMYFUNCTION("VALUE(REGEXEXTRACT(A9594, ""\d+""))"),14174.0)</f>
        <v>14174</v>
      </c>
    </row>
    <row r="9595">
      <c r="A9595" s="9" t="s">
        <v>31711</v>
      </c>
      <c r="B9595" s="9" t="s">
        <v>31712</v>
      </c>
      <c r="G9595" s="9" t="s">
        <v>31713</v>
      </c>
      <c r="O9595" s="10">
        <f>IFERROR(__xludf.DUMMYFUNCTION("VALUE(REGEXEXTRACT(A9595, ""\d+""))"),14175.0)</f>
        <v>14175</v>
      </c>
    </row>
    <row r="9596">
      <c r="A9596" s="9" t="s">
        <v>31714</v>
      </c>
      <c r="B9596" s="9" t="s">
        <v>31715</v>
      </c>
      <c r="G9596" s="9" t="s">
        <v>31716</v>
      </c>
      <c r="O9596" s="10">
        <f>IFERROR(__xludf.DUMMYFUNCTION("VALUE(REGEXEXTRACT(A9596, ""\d+""))"),14176.0)</f>
        <v>14176</v>
      </c>
    </row>
    <row r="9597">
      <c r="A9597" s="9" t="s">
        <v>31717</v>
      </c>
      <c r="B9597" s="9" t="s">
        <v>31718</v>
      </c>
      <c r="G9597" s="9" t="s">
        <v>31719</v>
      </c>
      <c r="O9597" s="10">
        <f>IFERROR(__xludf.DUMMYFUNCTION("VALUE(REGEXEXTRACT(A9597, ""\d+""))"),14177.0)</f>
        <v>14177</v>
      </c>
    </row>
    <row r="9598">
      <c r="A9598" s="9" t="s">
        <v>31720</v>
      </c>
      <c r="B9598" s="9" t="s">
        <v>31721</v>
      </c>
      <c r="G9598" s="9" t="s">
        <v>31722</v>
      </c>
      <c r="O9598" s="10">
        <f>IFERROR(__xludf.DUMMYFUNCTION("VALUE(REGEXEXTRACT(A9598, ""\d+""))"),14178.0)</f>
        <v>14178</v>
      </c>
    </row>
    <row r="9599">
      <c r="A9599" s="9" t="s">
        <v>31723</v>
      </c>
      <c r="B9599" s="9" t="s">
        <v>31724</v>
      </c>
      <c r="G9599" s="9" t="s">
        <v>31725</v>
      </c>
      <c r="O9599" s="10">
        <f>IFERROR(__xludf.DUMMYFUNCTION("VALUE(REGEXEXTRACT(A9599, ""\d+""))"),14179.0)</f>
        <v>14179</v>
      </c>
    </row>
    <row r="9600">
      <c r="A9600" s="9" t="s">
        <v>31726</v>
      </c>
      <c r="B9600" s="9" t="s">
        <v>31727</v>
      </c>
      <c r="G9600" s="9" t="s">
        <v>31728</v>
      </c>
      <c r="O9600" s="10">
        <f>IFERROR(__xludf.DUMMYFUNCTION("VALUE(REGEXEXTRACT(A9600, ""\d+""))"),14180.0)</f>
        <v>14180</v>
      </c>
    </row>
    <row r="9601">
      <c r="A9601" s="9" t="s">
        <v>31729</v>
      </c>
      <c r="B9601" s="9" t="s">
        <v>31730</v>
      </c>
      <c r="G9601" s="9" t="s">
        <v>31731</v>
      </c>
      <c r="O9601" s="10">
        <f>IFERROR(__xludf.DUMMYFUNCTION("VALUE(REGEXEXTRACT(A9601, ""\d+""))"),14181.0)</f>
        <v>14181</v>
      </c>
    </row>
    <row r="9602">
      <c r="A9602" s="9" t="s">
        <v>31732</v>
      </c>
      <c r="B9602" s="9" t="s">
        <v>31733</v>
      </c>
      <c r="G9602" s="9" t="s">
        <v>31734</v>
      </c>
      <c r="O9602" s="10">
        <f>IFERROR(__xludf.DUMMYFUNCTION("VALUE(REGEXEXTRACT(A9602, ""\d+""))"),14182.0)</f>
        <v>14182</v>
      </c>
    </row>
    <row r="9603">
      <c r="A9603" s="9" t="s">
        <v>31735</v>
      </c>
      <c r="B9603" s="9" t="s">
        <v>31736</v>
      </c>
      <c r="G9603" s="9" t="s">
        <v>31737</v>
      </c>
      <c r="O9603" s="10">
        <f>IFERROR(__xludf.DUMMYFUNCTION("VALUE(REGEXEXTRACT(A9603, ""\d+""))"),14183.0)</f>
        <v>14183</v>
      </c>
    </row>
    <row r="9604">
      <c r="A9604" s="9" t="s">
        <v>31738</v>
      </c>
      <c r="B9604" s="9" t="s">
        <v>31739</v>
      </c>
      <c r="G9604" s="9" t="s">
        <v>31740</v>
      </c>
      <c r="O9604" s="10">
        <f>IFERROR(__xludf.DUMMYFUNCTION("VALUE(REGEXEXTRACT(A9604, ""\d+""))"),14184.0)</f>
        <v>14184</v>
      </c>
    </row>
    <row r="9605">
      <c r="A9605" s="9" t="s">
        <v>31741</v>
      </c>
      <c r="B9605" s="9" t="s">
        <v>31742</v>
      </c>
      <c r="G9605" s="9" t="s">
        <v>31743</v>
      </c>
      <c r="O9605" s="10">
        <f>IFERROR(__xludf.DUMMYFUNCTION("VALUE(REGEXEXTRACT(A9605, ""\d+""))"),14185.0)</f>
        <v>14185</v>
      </c>
    </row>
    <row r="9606">
      <c r="A9606" s="9" t="s">
        <v>31744</v>
      </c>
      <c r="B9606" s="9" t="s">
        <v>31745</v>
      </c>
      <c r="G9606" s="9" t="s">
        <v>31746</v>
      </c>
      <c r="O9606" s="10">
        <f>IFERROR(__xludf.DUMMYFUNCTION("VALUE(REGEXEXTRACT(A9606, ""\d+""))"),14186.0)</f>
        <v>14186</v>
      </c>
    </row>
    <row r="9607">
      <c r="A9607" s="9" t="s">
        <v>31747</v>
      </c>
      <c r="B9607" s="9" t="s">
        <v>31748</v>
      </c>
      <c r="G9607" s="9" t="s">
        <v>31749</v>
      </c>
      <c r="O9607" s="10">
        <f>IFERROR(__xludf.DUMMYFUNCTION("VALUE(REGEXEXTRACT(A9607, ""\d+""))"),14187.0)</f>
        <v>14187</v>
      </c>
    </row>
    <row r="9608">
      <c r="A9608" s="9" t="s">
        <v>31750</v>
      </c>
      <c r="B9608" s="9" t="s">
        <v>31751</v>
      </c>
      <c r="G9608" s="9" t="s">
        <v>31752</v>
      </c>
      <c r="O9608" s="10">
        <f>IFERROR(__xludf.DUMMYFUNCTION("VALUE(REGEXEXTRACT(A9608, ""\d+""))"),14189.0)</f>
        <v>14189</v>
      </c>
    </row>
    <row r="9609">
      <c r="A9609" s="9" t="s">
        <v>31753</v>
      </c>
      <c r="B9609" s="9" t="s">
        <v>31754</v>
      </c>
      <c r="G9609" s="9" t="s">
        <v>31755</v>
      </c>
      <c r="O9609" s="10">
        <f>IFERROR(__xludf.DUMMYFUNCTION("VALUE(REGEXEXTRACT(A9609, ""\d+""))"),14190.0)</f>
        <v>14190</v>
      </c>
    </row>
    <row r="9610">
      <c r="A9610" s="9" t="s">
        <v>31756</v>
      </c>
      <c r="B9610" s="9" t="s">
        <v>31757</v>
      </c>
      <c r="G9610" s="9" t="s">
        <v>31758</v>
      </c>
      <c r="O9610" s="10">
        <f>IFERROR(__xludf.DUMMYFUNCTION("VALUE(REGEXEXTRACT(A9610, ""\d+""))"),14191.0)</f>
        <v>14191</v>
      </c>
    </row>
    <row r="9611">
      <c r="A9611" s="9" t="s">
        <v>31759</v>
      </c>
      <c r="B9611" s="9" t="s">
        <v>31760</v>
      </c>
      <c r="G9611" s="9" t="s">
        <v>31761</v>
      </c>
      <c r="O9611" s="10">
        <f>IFERROR(__xludf.DUMMYFUNCTION("VALUE(REGEXEXTRACT(A9611, ""\d+""))"),14192.0)</f>
        <v>14192</v>
      </c>
    </row>
    <row r="9612">
      <c r="A9612" s="9" t="s">
        <v>31762</v>
      </c>
      <c r="B9612" s="9" t="s">
        <v>31763</v>
      </c>
      <c r="G9612" s="9" t="s">
        <v>31764</v>
      </c>
      <c r="O9612" s="10">
        <f>IFERROR(__xludf.DUMMYFUNCTION("VALUE(REGEXEXTRACT(A9612, ""\d+""))"),14193.0)</f>
        <v>14193</v>
      </c>
    </row>
    <row r="9613">
      <c r="A9613" s="9" t="s">
        <v>31765</v>
      </c>
      <c r="B9613" s="9" t="s">
        <v>31766</v>
      </c>
      <c r="G9613" s="9" t="s">
        <v>31767</v>
      </c>
      <c r="O9613" s="10">
        <f>IFERROR(__xludf.DUMMYFUNCTION("VALUE(REGEXEXTRACT(A9613, ""\d+""))"),14194.0)</f>
        <v>14194</v>
      </c>
    </row>
    <row r="9614">
      <c r="A9614" s="9" t="s">
        <v>31768</v>
      </c>
      <c r="B9614" s="9" t="s">
        <v>31769</v>
      </c>
      <c r="G9614" s="9" t="s">
        <v>31770</v>
      </c>
      <c r="O9614" s="10">
        <f>IFERROR(__xludf.DUMMYFUNCTION("VALUE(REGEXEXTRACT(A9614, ""\d+""))"),14195.0)</f>
        <v>14195</v>
      </c>
    </row>
    <row r="9615">
      <c r="A9615" s="9" t="s">
        <v>31771</v>
      </c>
      <c r="B9615" s="9" t="s">
        <v>31772</v>
      </c>
      <c r="G9615" s="9" t="s">
        <v>31773</v>
      </c>
      <c r="O9615" s="10">
        <f>IFERROR(__xludf.DUMMYFUNCTION("VALUE(REGEXEXTRACT(A9615, ""\d+""))"),14196.0)</f>
        <v>14196</v>
      </c>
    </row>
    <row r="9616">
      <c r="A9616" s="9" t="s">
        <v>31774</v>
      </c>
      <c r="B9616" s="9" t="s">
        <v>31775</v>
      </c>
      <c r="G9616" s="9" t="s">
        <v>31776</v>
      </c>
      <c r="O9616" s="10">
        <f>IFERROR(__xludf.DUMMYFUNCTION("VALUE(REGEXEXTRACT(A9616, ""\d+""))"),14197.0)</f>
        <v>14197</v>
      </c>
    </row>
    <row r="9617">
      <c r="A9617" s="9" t="s">
        <v>31777</v>
      </c>
      <c r="B9617" s="9" t="s">
        <v>31778</v>
      </c>
      <c r="G9617" s="9" t="s">
        <v>31779</v>
      </c>
      <c r="O9617" s="10">
        <f>IFERROR(__xludf.DUMMYFUNCTION("VALUE(REGEXEXTRACT(A9617, ""\d+""))"),14198.0)</f>
        <v>14198</v>
      </c>
    </row>
    <row r="9618">
      <c r="A9618" s="9" t="s">
        <v>31780</v>
      </c>
      <c r="B9618" s="9" t="s">
        <v>31781</v>
      </c>
      <c r="G9618" s="9" t="s">
        <v>31782</v>
      </c>
      <c r="O9618" s="10">
        <f>IFERROR(__xludf.DUMMYFUNCTION("VALUE(REGEXEXTRACT(A9618, ""\d+""))"),14199.0)</f>
        <v>14199</v>
      </c>
    </row>
    <row r="9619">
      <c r="A9619" s="9" t="s">
        <v>31783</v>
      </c>
      <c r="B9619" s="9" t="s">
        <v>31784</v>
      </c>
      <c r="G9619" s="9" t="s">
        <v>31785</v>
      </c>
      <c r="O9619" s="10">
        <f>IFERROR(__xludf.DUMMYFUNCTION("VALUE(REGEXEXTRACT(A9619, ""\d+""))"),14200.0)</f>
        <v>14200</v>
      </c>
    </row>
    <row r="9620">
      <c r="A9620" s="9" t="s">
        <v>31786</v>
      </c>
      <c r="B9620" s="9" t="s">
        <v>31769</v>
      </c>
      <c r="G9620" s="9" t="s">
        <v>31787</v>
      </c>
      <c r="O9620" s="10">
        <f>IFERROR(__xludf.DUMMYFUNCTION("VALUE(REGEXEXTRACT(A9620, ""\d+""))"),14201.0)</f>
        <v>14201</v>
      </c>
    </row>
    <row r="9621">
      <c r="A9621" s="9" t="s">
        <v>31788</v>
      </c>
      <c r="B9621" s="9" t="s">
        <v>31751</v>
      </c>
      <c r="G9621" s="9" t="s">
        <v>31752</v>
      </c>
      <c r="O9621" s="10">
        <f>IFERROR(__xludf.DUMMYFUNCTION("VALUE(REGEXEXTRACT(A9621, ""\d+""))"),14202.0)</f>
        <v>14202</v>
      </c>
    </row>
    <row r="9622">
      <c r="A9622" s="9" t="s">
        <v>31789</v>
      </c>
      <c r="B9622" s="9" t="s">
        <v>31754</v>
      </c>
      <c r="G9622" s="9" t="s">
        <v>31755</v>
      </c>
      <c r="O9622" s="10">
        <f>IFERROR(__xludf.DUMMYFUNCTION("VALUE(REGEXEXTRACT(A9622, ""\d+""))"),14204.0)</f>
        <v>14204</v>
      </c>
    </row>
    <row r="9623">
      <c r="A9623" s="9" t="s">
        <v>31790</v>
      </c>
      <c r="B9623" s="9" t="s">
        <v>31757</v>
      </c>
      <c r="G9623" s="9" t="s">
        <v>31758</v>
      </c>
      <c r="O9623" s="10">
        <f>IFERROR(__xludf.DUMMYFUNCTION("VALUE(REGEXEXTRACT(A9623, ""\d+""))"),14205.0)</f>
        <v>14205</v>
      </c>
    </row>
    <row r="9624">
      <c r="A9624" s="9" t="s">
        <v>31791</v>
      </c>
      <c r="B9624" s="9" t="s">
        <v>31760</v>
      </c>
      <c r="G9624" s="9" t="s">
        <v>31761</v>
      </c>
      <c r="O9624" s="10">
        <f>IFERROR(__xludf.DUMMYFUNCTION("VALUE(REGEXEXTRACT(A9624, ""\d+""))"),14206.0)</f>
        <v>14206</v>
      </c>
    </row>
    <row r="9625">
      <c r="A9625" s="9" t="s">
        <v>31792</v>
      </c>
      <c r="B9625" s="9" t="s">
        <v>31763</v>
      </c>
      <c r="G9625" s="9" t="s">
        <v>31764</v>
      </c>
      <c r="O9625" s="10">
        <f>IFERROR(__xludf.DUMMYFUNCTION("VALUE(REGEXEXTRACT(A9625, ""\d+""))"),14207.0)</f>
        <v>14207</v>
      </c>
    </row>
    <row r="9626">
      <c r="A9626" s="9" t="s">
        <v>31793</v>
      </c>
      <c r="B9626" s="9" t="s">
        <v>31766</v>
      </c>
      <c r="G9626" s="9" t="s">
        <v>31794</v>
      </c>
      <c r="O9626" s="10">
        <f>IFERROR(__xludf.DUMMYFUNCTION("VALUE(REGEXEXTRACT(A9626, ""\d+""))"),14208.0)</f>
        <v>14208</v>
      </c>
    </row>
    <row r="9627">
      <c r="A9627" s="9" t="s">
        <v>31795</v>
      </c>
      <c r="B9627" s="9" t="s">
        <v>31772</v>
      </c>
      <c r="G9627" s="9" t="s">
        <v>31796</v>
      </c>
      <c r="O9627" s="10">
        <f>IFERROR(__xludf.DUMMYFUNCTION("VALUE(REGEXEXTRACT(A9627, ""\d+""))"),14209.0)</f>
        <v>14209</v>
      </c>
    </row>
    <row r="9628">
      <c r="A9628" s="9" t="s">
        <v>31797</v>
      </c>
      <c r="B9628" s="9" t="s">
        <v>31778</v>
      </c>
      <c r="G9628" s="9" t="s">
        <v>31798</v>
      </c>
      <c r="O9628" s="10">
        <f>IFERROR(__xludf.DUMMYFUNCTION("VALUE(REGEXEXTRACT(A9628, ""\d+""))"),14210.0)</f>
        <v>14210</v>
      </c>
    </row>
    <row r="9629">
      <c r="A9629" s="9" t="s">
        <v>31799</v>
      </c>
      <c r="B9629" s="9" t="s">
        <v>30335</v>
      </c>
      <c r="G9629" s="9" t="s">
        <v>31800</v>
      </c>
      <c r="O9629" s="10">
        <f>IFERROR(__xludf.DUMMYFUNCTION("VALUE(REGEXEXTRACT(A9629, ""\d+""))"),14211.0)</f>
        <v>14211</v>
      </c>
    </row>
    <row r="9630">
      <c r="A9630" s="9" t="s">
        <v>31801</v>
      </c>
      <c r="B9630" s="9" t="s">
        <v>31802</v>
      </c>
      <c r="G9630" s="9" t="s">
        <v>31803</v>
      </c>
      <c r="O9630" s="10">
        <f>IFERROR(__xludf.DUMMYFUNCTION("VALUE(REGEXEXTRACT(A9630, ""\d+""))"),14212.0)</f>
        <v>14212</v>
      </c>
    </row>
    <row r="9631">
      <c r="A9631" s="9" t="s">
        <v>31804</v>
      </c>
      <c r="B9631" s="9" t="s">
        <v>31805</v>
      </c>
      <c r="G9631" s="9" t="s">
        <v>31806</v>
      </c>
      <c r="O9631" s="10">
        <f>IFERROR(__xludf.DUMMYFUNCTION("VALUE(REGEXEXTRACT(A9631, ""\d+""))"),14213.0)</f>
        <v>14213</v>
      </c>
    </row>
    <row r="9632">
      <c r="A9632" s="9" t="s">
        <v>31807</v>
      </c>
      <c r="B9632" s="9" t="s">
        <v>31808</v>
      </c>
      <c r="G9632" s="9" t="s">
        <v>31809</v>
      </c>
      <c r="O9632" s="10">
        <f>IFERROR(__xludf.DUMMYFUNCTION("VALUE(REGEXEXTRACT(A9632, ""\d+""))"),14214.0)</f>
        <v>14214</v>
      </c>
    </row>
    <row r="9633">
      <c r="A9633" s="9" t="s">
        <v>31810</v>
      </c>
      <c r="B9633" s="9" t="s">
        <v>29689</v>
      </c>
      <c r="G9633" s="9" t="s">
        <v>29690</v>
      </c>
      <c r="O9633" s="10">
        <f>IFERROR(__xludf.DUMMYFUNCTION("VALUE(REGEXEXTRACT(A9633, ""\d+""))"),14215.0)</f>
        <v>14215</v>
      </c>
    </row>
    <row r="9634">
      <c r="A9634" s="9" t="s">
        <v>31811</v>
      </c>
      <c r="B9634" s="9" t="s">
        <v>31812</v>
      </c>
      <c r="G9634" s="9" t="s">
        <v>31813</v>
      </c>
      <c r="O9634" s="10">
        <f>IFERROR(__xludf.DUMMYFUNCTION("VALUE(REGEXEXTRACT(A9634, ""\d+""))"),14216.0)</f>
        <v>14216</v>
      </c>
    </row>
    <row r="9635">
      <c r="A9635" s="9" t="s">
        <v>31814</v>
      </c>
      <c r="B9635" s="9" t="s">
        <v>31775</v>
      </c>
      <c r="G9635" s="9" t="s">
        <v>31776</v>
      </c>
      <c r="O9635" s="10">
        <f>IFERROR(__xludf.DUMMYFUNCTION("VALUE(REGEXEXTRACT(A9635, ""\d+""))"),14218.0)</f>
        <v>14218</v>
      </c>
    </row>
    <row r="9636">
      <c r="A9636" s="9" t="s">
        <v>31815</v>
      </c>
      <c r="B9636" s="9" t="s">
        <v>31784</v>
      </c>
      <c r="G9636" s="9" t="s">
        <v>31785</v>
      </c>
      <c r="O9636" s="10">
        <f>IFERROR(__xludf.DUMMYFUNCTION("VALUE(REGEXEXTRACT(A9636, ""\d+""))"),14219.0)</f>
        <v>14219</v>
      </c>
    </row>
    <row r="9637">
      <c r="A9637" s="9" t="s">
        <v>31816</v>
      </c>
      <c r="B9637" s="9" t="s">
        <v>31817</v>
      </c>
      <c r="G9637" s="9" t="s">
        <v>31818</v>
      </c>
      <c r="O9637" s="10">
        <f>IFERROR(__xludf.DUMMYFUNCTION("VALUE(REGEXEXTRACT(A9637, ""\d+""))"),14220.0)</f>
        <v>14220</v>
      </c>
    </row>
    <row r="9638">
      <c r="A9638" s="9" t="s">
        <v>31819</v>
      </c>
      <c r="B9638" s="9" t="s">
        <v>31820</v>
      </c>
      <c r="G9638" s="9" t="s">
        <v>31821</v>
      </c>
      <c r="O9638" s="10">
        <f>IFERROR(__xludf.DUMMYFUNCTION("VALUE(REGEXEXTRACT(A9638, ""\d+""))"),14221.0)</f>
        <v>14221</v>
      </c>
    </row>
    <row r="9639">
      <c r="A9639" s="9" t="s">
        <v>31822</v>
      </c>
      <c r="B9639" s="9" t="s">
        <v>31823</v>
      </c>
      <c r="G9639" s="9" t="s">
        <v>31824</v>
      </c>
      <c r="O9639" s="10">
        <f>IFERROR(__xludf.DUMMYFUNCTION("VALUE(REGEXEXTRACT(A9639, ""\d+""))"),14222.0)</f>
        <v>14222</v>
      </c>
    </row>
    <row r="9640">
      <c r="A9640" s="9" t="s">
        <v>31825</v>
      </c>
      <c r="B9640" s="9" t="s">
        <v>31826</v>
      </c>
      <c r="G9640" s="9" t="s">
        <v>31827</v>
      </c>
      <c r="O9640" s="10">
        <f>IFERROR(__xludf.DUMMYFUNCTION("VALUE(REGEXEXTRACT(A9640, ""\d+""))"),14223.0)</f>
        <v>14223</v>
      </c>
    </row>
    <row r="9641">
      <c r="A9641" s="9" t="s">
        <v>31828</v>
      </c>
      <c r="B9641" s="9" t="s">
        <v>31829</v>
      </c>
      <c r="G9641" s="9" t="s">
        <v>31830</v>
      </c>
      <c r="O9641" s="10">
        <f>IFERROR(__xludf.DUMMYFUNCTION("VALUE(REGEXEXTRACT(A9641, ""\d+""))"),14224.0)</f>
        <v>14224</v>
      </c>
    </row>
    <row r="9642">
      <c r="A9642" s="9" t="s">
        <v>31831</v>
      </c>
      <c r="B9642" s="9" t="s">
        <v>31832</v>
      </c>
      <c r="G9642" s="9" t="s">
        <v>31833</v>
      </c>
      <c r="O9642" s="10">
        <f>IFERROR(__xludf.DUMMYFUNCTION("VALUE(REGEXEXTRACT(A9642, ""\d+""))"),14225.0)</f>
        <v>14225</v>
      </c>
    </row>
    <row r="9643">
      <c r="A9643" s="9" t="s">
        <v>31834</v>
      </c>
      <c r="B9643" s="9" t="s">
        <v>31835</v>
      </c>
      <c r="G9643" s="9" t="s">
        <v>31836</v>
      </c>
      <c r="O9643" s="10">
        <f>IFERROR(__xludf.DUMMYFUNCTION("VALUE(REGEXEXTRACT(A9643, ""\d+""))"),14226.0)</f>
        <v>14226</v>
      </c>
    </row>
    <row r="9644">
      <c r="A9644" s="9" t="s">
        <v>31837</v>
      </c>
      <c r="B9644" s="9" t="s">
        <v>31838</v>
      </c>
      <c r="G9644" s="9" t="s">
        <v>31839</v>
      </c>
      <c r="O9644" s="10">
        <f>IFERROR(__xludf.DUMMYFUNCTION("VALUE(REGEXEXTRACT(A9644, ""\d+""))"),14227.0)</f>
        <v>14227</v>
      </c>
    </row>
    <row r="9645">
      <c r="A9645" s="9" t="s">
        <v>31840</v>
      </c>
      <c r="B9645" s="9" t="s">
        <v>31841</v>
      </c>
      <c r="G9645" s="9" t="s">
        <v>31842</v>
      </c>
      <c r="O9645" s="10">
        <f>IFERROR(__xludf.DUMMYFUNCTION("VALUE(REGEXEXTRACT(A9645, ""\d+""))"),14228.0)</f>
        <v>14228</v>
      </c>
    </row>
    <row r="9646">
      <c r="A9646" s="9" t="s">
        <v>31843</v>
      </c>
      <c r="B9646" s="9" t="s">
        <v>31844</v>
      </c>
      <c r="G9646" s="9" t="s">
        <v>31845</v>
      </c>
      <c r="O9646" s="10">
        <f>IFERROR(__xludf.DUMMYFUNCTION("VALUE(REGEXEXTRACT(A9646, ""\d+""))"),14229.0)</f>
        <v>14229</v>
      </c>
    </row>
    <row r="9647">
      <c r="A9647" s="9" t="s">
        <v>31846</v>
      </c>
      <c r="B9647" s="9" t="s">
        <v>31847</v>
      </c>
      <c r="G9647" s="9" t="s">
        <v>31848</v>
      </c>
      <c r="O9647" s="10">
        <f>IFERROR(__xludf.DUMMYFUNCTION("VALUE(REGEXEXTRACT(A9647, ""\d+""))"),14230.0)</f>
        <v>14230</v>
      </c>
    </row>
    <row r="9648">
      <c r="A9648" s="9" t="s">
        <v>31849</v>
      </c>
      <c r="B9648" s="9" t="s">
        <v>31850</v>
      </c>
      <c r="G9648" s="9" t="s">
        <v>31851</v>
      </c>
      <c r="O9648" s="10">
        <f>IFERROR(__xludf.DUMMYFUNCTION("VALUE(REGEXEXTRACT(A9648, ""\d+""))"),14231.0)</f>
        <v>14231</v>
      </c>
    </row>
    <row r="9649">
      <c r="A9649" s="9" t="s">
        <v>31852</v>
      </c>
      <c r="B9649" s="9" t="s">
        <v>31853</v>
      </c>
      <c r="G9649" s="9" t="s">
        <v>31854</v>
      </c>
      <c r="O9649" s="10">
        <f>IFERROR(__xludf.DUMMYFUNCTION("VALUE(REGEXEXTRACT(A9649, ""\d+""))"),14232.0)</f>
        <v>14232</v>
      </c>
    </row>
    <row r="9650">
      <c r="A9650" s="9" t="s">
        <v>31855</v>
      </c>
      <c r="B9650" s="9" t="s">
        <v>31856</v>
      </c>
      <c r="G9650" s="9" t="s">
        <v>31857</v>
      </c>
      <c r="O9650" s="10">
        <f>IFERROR(__xludf.DUMMYFUNCTION("VALUE(REGEXEXTRACT(A9650, ""\d+""))"),14233.0)</f>
        <v>14233</v>
      </c>
    </row>
    <row r="9651">
      <c r="A9651" s="9" t="s">
        <v>31858</v>
      </c>
      <c r="B9651" s="9" t="s">
        <v>31859</v>
      </c>
      <c r="G9651" s="9" t="s">
        <v>31860</v>
      </c>
      <c r="O9651" s="10">
        <f>IFERROR(__xludf.DUMMYFUNCTION("VALUE(REGEXEXTRACT(A9651, ""\d+""))"),14234.0)</f>
        <v>14234</v>
      </c>
    </row>
    <row r="9652">
      <c r="A9652" s="9" t="s">
        <v>31861</v>
      </c>
      <c r="B9652" s="9" t="s">
        <v>31862</v>
      </c>
      <c r="G9652" s="9" t="s">
        <v>31863</v>
      </c>
      <c r="O9652" s="10">
        <f>IFERROR(__xludf.DUMMYFUNCTION("VALUE(REGEXEXTRACT(A9652, ""\d+""))"),14235.0)</f>
        <v>14235</v>
      </c>
    </row>
    <row r="9653">
      <c r="A9653" s="9" t="s">
        <v>31864</v>
      </c>
      <c r="B9653" s="9" t="s">
        <v>31865</v>
      </c>
      <c r="G9653" s="9" t="s">
        <v>31866</v>
      </c>
      <c r="O9653" s="10">
        <f>IFERROR(__xludf.DUMMYFUNCTION("VALUE(REGEXEXTRACT(A9653, ""\d+""))"),14236.0)</f>
        <v>14236</v>
      </c>
    </row>
    <row r="9654">
      <c r="A9654" s="9" t="s">
        <v>31867</v>
      </c>
      <c r="B9654" s="9" t="s">
        <v>31868</v>
      </c>
      <c r="G9654" s="9" t="s">
        <v>31869</v>
      </c>
      <c r="O9654" s="10">
        <f>IFERROR(__xludf.DUMMYFUNCTION("VALUE(REGEXEXTRACT(A9654, ""\d+""))"),14237.0)</f>
        <v>14237</v>
      </c>
    </row>
    <row r="9655">
      <c r="A9655" s="9" t="s">
        <v>31870</v>
      </c>
      <c r="B9655" s="9" t="s">
        <v>31871</v>
      </c>
      <c r="G9655" s="9" t="s">
        <v>31872</v>
      </c>
      <c r="O9655" s="10">
        <f>IFERROR(__xludf.DUMMYFUNCTION("VALUE(REGEXEXTRACT(A9655, ""\d+""))"),14238.0)</f>
        <v>14238</v>
      </c>
    </row>
    <row r="9656">
      <c r="A9656" s="9" t="s">
        <v>31873</v>
      </c>
      <c r="B9656" s="9" t="s">
        <v>31874</v>
      </c>
      <c r="G9656" s="9" t="s">
        <v>31875</v>
      </c>
      <c r="O9656" s="10">
        <f>IFERROR(__xludf.DUMMYFUNCTION("VALUE(REGEXEXTRACT(A9656, ""\d+""))"),14239.0)</f>
        <v>14239</v>
      </c>
    </row>
    <row r="9657">
      <c r="A9657" s="9" t="s">
        <v>31876</v>
      </c>
      <c r="B9657" s="9" t="s">
        <v>31877</v>
      </c>
      <c r="G9657" s="9" t="s">
        <v>31878</v>
      </c>
      <c r="O9657" s="10">
        <f>IFERROR(__xludf.DUMMYFUNCTION("VALUE(REGEXEXTRACT(A9657, ""\d+""))"),14240.0)</f>
        <v>14240</v>
      </c>
    </row>
    <row r="9658">
      <c r="A9658" s="9" t="s">
        <v>31879</v>
      </c>
      <c r="B9658" s="9" t="s">
        <v>31880</v>
      </c>
      <c r="G9658" s="9" t="s">
        <v>31881</v>
      </c>
      <c r="O9658" s="10">
        <f>IFERROR(__xludf.DUMMYFUNCTION("VALUE(REGEXEXTRACT(A9658, ""\d+""))"),14241.0)</f>
        <v>14241</v>
      </c>
    </row>
    <row r="9659">
      <c r="A9659" s="9" t="s">
        <v>31882</v>
      </c>
      <c r="B9659" s="9" t="s">
        <v>31883</v>
      </c>
      <c r="G9659" s="9" t="s">
        <v>31884</v>
      </c>
      <c r="O9659" s="10">
        <f>IFERROR(__xludf.DUMMYFUNCTION("VALUE(REGEXEXTRACT(A9659, ""\d+""))"),14242.0)</f>
        <v>14242</v>
      </c>
    </row>
    <row r="9660">
      <c r="A9660" s="9" t="s">
        <v>31885</v>
      </c>
      <c r="B9660" s="9" t="s">
        <v>31886</v>
      </c>
      <c r="G9660" s="9" t="s">
        <v>31887</v>
      </c>
      <c r="O9660" s="10">
        <f>IFERROR(__xludf.DUMMYFUNCTION("VALUE(REGEXEXTRACT(A9660, ""\d+""))"),14243.0)</f>
        <v>14243</v>
      </c>
    </row>
    <row r="9661">
      <c r="A9661" s="9" t="s">
        <v>31888</v>
      </c>
      <c r="B9661" s="9" t="s">
        <v>31889</v>
      </c>
      <c r="G9661" s="9" t="s">
        <v>31890</v>
      </c>
      <c r="O9661" s="10">
        <f>IFERROR(__xludf.DUMMYFUNCTION("VALUE(REGEXEXTRACT(A9661, ""\d+""))"),14244.0)</f>
        <v>14244</v>
      </c>
    </row>
    <row r="9662">
      <c r="A9662" s="9" t="s">
        <v>31891</v>
      </c>
      <c r="B9662" s="9" t="s">
        <v>31892</v>
      </c>
      <c r="G9662" s="9" t="s">
        <v>31893</v>
      </c>
      <c r="O9662" s="10">
        <f>IFERROR(__xludf.DUMMYFUNCTION("VALUE(REGEXEXTRACT(A9662, ""\d+""))"),14245.0)</f>
        <v>14245</v>
      </c>
    </row>
    <row r="9663">
      <c r="A9663" s="9" t="s">
        <v>31894</v>
      </c>
      <c r="B9663" s="9" t="s">
        <v>31895</v>
      </c>
      <c r="G9663" s="9" t="s">
        <v>31896</v>
      </c>
      <c r="O9663" s="10">
        <f>IFERROR(__xludf.DUMMYFUNCTION("VALUE(REGEXEXTRACT(A9663, ""\d+""))"),14247.0)</f>
        <v>14247</v>
      </c>
    </row>
    <row r="9664">
      <c r="A9664" s="9" t="s">
        <v>31897</v>
      </c>
      <c r="B9664" s="9" t="s">
        <v>31898</v>
      </c>
      <c r="G9664" s="9" t="s">
        <v>31899</v>
      </c>
      <c r="O9664" s="10">
        <f>IFERROR(__xludf.DUMMYFUNCTION("VALUE(REGEXEXTRACT(A9664, ""\d+""))"),14251.0)</f>
        <v>14251</v>
      </c>
    </row>
    <row r="9665">
      <c r="A9665" s="9" t="s">
        <v>31900</v>
      </c>
      <c r="B9665" s="9" t="s">
        <v>31901</v>
      </c>
      <c r="G9665" s="9" t="s">
        <v>31902</v>
      </c>
      <c r="O9665" s="10">
        <f>IFERROR(__xludf.DUMMYFUNCTION("VALUE(REGEXEXTRACT(A9665, ""\d+""))"),14252.0)</f>
        <v>14252</v>
      </c>
    </row>
    <row r="9666">
      <c r="A9666" s="9" t="s">
        <v>31903</v>
      </c>
      <c r="B9666" s="9" t="s">
        <v>31904</v>
      </c>
      <c r="G9666" s="9" t="s">
        <v>31905</v>
      </c>
      <c r="O9666" s="10">
        <f>IFERROR(__xludf.DUMMYFUNCTION("VALUE(REGEXEXTRACT(A9666, ""\d+""))"),14253.0)</f>
        <v>14253</v>
      </c>
    </row>
    <row r="9667">
      <c r="A9667" s="9" t="s">
        <v>31906</v>
      </c>
      <c r="B9667" s="9" t="s">
        <v>31907</v>
      </c>
      <c r="G9667" s="9" t="s">
        <v>31908</v>
      </c>
      <c r="O9667" s="10">
        <f>IFERROR(__xludf.DUMMYFUNCTION("VALUE(REGEXEXTRACT(A9667, ""\d+""))"),14254.0)</f>
        <v>14254</v>
      </c>
    </row>
    <row r="9668">
      <c r="A9668" s="9" t="s">
        <v>31909</v>
      </c>
      <c r="B9668" s="9" t="s">
        <v>31910</v>
      </c>
      <c r="G9668" s="9" t="s">
        <v>31911</v>
      </c>
      <c r="O9668" s="10">
        <f>IFERROR(__xludf.DUMMYFUNCTION("VALUE(REGEXEXTRACT(A9668, ""\d+""))"),14255.0)</f>
        <v>14255</v>
      </c>
    </row>
    <row r="9669">
      <c r="A9669" s="9" t="s">
        <v>31912</v>
      </c>
      <c r="B9669" s="9" t="s">
        <v>31913</v>
      </c>
      <c r="G9669" s="9" t="s">
        <v>31913</v>
      </c>
      <c r="O9669" s="10">
        <f>IFERROR(__xludf.DUMMYFUNCTION("VALUE(REGEXEXTRACT(A9669, ""\d+""))"),14256.0)</f>
        <v>14256</v>
      </c>
    </row>
    <row r="9670">
      <c r="A9670" s="9" t="s">
        <v>31914</v>
      </c>
      <c r="B9670" s="9" t="s">
        <v>31915</v>
      </c>
      <c r="G9670" s="9" t="s">
        <v>31915</v>
      </c>
      <c r="O9670" s="10">
        <f>IFERROR(__xludf.DUMMYFUNCTION("VALUE(REGEXEXTRACT(A9670, ""\d+""))"),14258.0)</f>
        <v>14258</v>
      </c>
    </row>
    <row r="9671">
      <c r="A9671" s="9" t="s">
        <v>31916</v>
      </c>
      <c r="B9671" s="9" t="s">
        <v>31917</v>
      </c>
      <c r="G9671" s="9" t="s">
        <v>31918</v>
      </c>
      <c r="O9671" s="10">
        <f>IFERROR(__xludf.DUMMYFUNCTION("VALUE(REGEXEXTRACT(A9671, ""\d+""))"),14259.0)</f>
        <v>14259</v>
      </c>
    </row>
    <row r="9672">
      <c r="A9672" s="9" t="s">
        <v>31919</v>
      </c>
      <c r="B9672" s="9" t="s">
        <v>31920</v>
      </c>
      <c r="G9672" s="9" t="s">
        <v>31921</v>
      </c>
      <c r="O9672" s="10">
        <f>IFERROR(__xludf.DUMMYFUNCTION("VALUE(REGEXEXTRACT(A9672, ""\d+""))"),14260.0)</f>
        <v>14260</v>
      </c>
    </row>
    <row r="9673">
      <c r="A9673" s="9" t="s">
        <v>31922</v>
      </c>
      <c r="B9673" s="9" t="s">
        <v>31923</v>
      </c>
      <c r="G9673" s="9" t="s">
        <v>31924</v>
      </c>
      <c r="O9673" s="10">
        <f>IFERROR(__xludf.DUMMYFUNCTION("VALUE(REGEXEXTRACT(A9673, ""\d+""))"),14261.0)</f>
        <v>14261</v>
      </c>
    </row>
    <row r="9674">
      <c r="A9674" s="9" t="s">
        <v>31925</v>
      </c>
      <c r="B9674" s="9" t="s">
        <v>31926</v>
      </c>
      <c r="G9674" s="9" t="s">
        <v>31927</v>
      </c>
      <c r="O9674" s="10">
        <f>IFERROR(__xludf.DUMMYFUNCTION("VALUE(REGEXEXTRACT(A9674, ""\d+""))"),14262.0)</f>
        <v>14262</v>
      </c>
    </row>
    <row r="9675">
      <c r="A9675" s="9" t="s">
        <v>31928</v>
      </c>
      <c r="B9675" s="9" t="s">
        <v>31929</v>
      </c>
      <c r="G9675" s="9" t="s">
        <v>31930</v>
      </c>
      <c r="O9675" s="10">
        <f>IFERROR(__xludf.DUMMYFUNCTION("VALUE(REGEXEXTRACT(A9675, ""\d+""))"),14263.0)</f>
        <v>14263</v>
      </c>
    </row>
    <row r="9676">
      <c r="A9676" s="9" t="s">
        <v>31931</v>
      </c>
      <c r="B9676" s="9" t="s">
        <v>31932</v>
      </c>
      <c r="G9676" s="9" t="s">
        <v>31933</v>
      </c>
      <c r="O9676" s="10">
        <f>IFERROR(__xludf.DUMMYFUNCTION("VALUE(REGEXEXTRACT(A9676, ""\d+""))"),14264.0)</f>
        <v>14264</v>
      </c>
    </row>
    <row r="9677">
      <c r="A9677" s="9" t="s">
        <v>31934</v>
      </c>
      <c r="B9677" s="9" t="s">
        <v>31935</v>
      </c>
      <c r="G9677" s="9" t="s">
        <v>31936</v>
      </c>
      <c r="O9677" s="10">
        <f>IFERROR(__xludf.DUMMYFUNCTION("VALUE(REGEXEXTRACT(A9677, ""\d+""))"),14265.0)</f>
        <v>14265</v>
      </c>
    </row>
    <row r="9678">
      <c r="A9678" s="9" t="s">
        <v>31937</v>
      </c>
      <c r="B9678" s="9" t="s">
        <v>31938</v>
      </c>
      <c r="G9678" s="9" t="s">
        <v>31939</v>
      </c>
      <c r="O9678" s="10">
        <f>IFERROR(__xludf.DUMMYFUNCTION("VALUE(REGEXEXTRACT(A9678, ""\d+""))"),14266.0)</f>
        <v>14266</v>
      </c>
    </row>
    <row r="9679">
      <c r="A9679" s="9" t="s">
        <v>31940</v>
      </c>
      <c r="B9679" s="9" t="s">
        <v>31941</v>
      </c>
      <c r="G9679" s="9" t="s">
        <v>31942</v>
      </c>
      <c r="O9679" s="10">
        <f>IFERROR(__xludf.DUMMYFUNCTION("VALUE(REGEXEXTRACT(A9679, ""\d+""))"),14267.0)</f>
        <v>14267</v>
      </c>
    </row>
    <row r="9680">
      <c r="A9680" s="9" t="s">
        <v>31943</v>
      </c>
      <c r="B9680" s="9" t="s">
        <v>31944</v>
      </c>
      <c r="G9680" s="9" t="s">
        <v>31945</v>
      </c>
      <c r="O9680" s="10">
        <f>IFERROR(__xludf.DUMMYFUNCTION("VALUE(REGEXEXTRACT(A9680, ""\d+""))"),14268.0)</f>
        <v>14268</v>
      </c>
    </row>
    <row r="9681">
      <c r="A9681" s="9" t="s">
        <v>31946</v>
      </c>
      <c r="B9681" s="9" t="s">
        <v>31947</v>
      </c>
      <c r="G9681" s="9" t="s">
        <v>31948</v>
      </c>
      <c r="O9681" s="10">
        <f>IFERROR(__xludf.DUMMYFUNCTION("VALUE(REGEXEXTRACT(A9681, ""\d+""))"),14269.0)</f>
        <v>14269</v>
      </c>
    </row>
    <row r="9682">
      <c r="A9682" s="9" t="s">
        <v>31949</v>
      </c>
      <c r="B9682" s="9" t="s">
        <v>31950</v>
      </c>
      <c r="G9682" s="9" t="s">
        <v>31951</v>
      </c>
      <c r="O9682" s="10">
        <f>IFERROR(__xludf.DUMMYFUNCTION("VALUE(REGEXEXTRACT(A9682, ""\d+""))"),14270.0)</f>
        <v>14270</v>
      </c>
    </row>
    <row r="9683">
      <c r="A9683" s="9" t="s">
        <v>31952</v>
      </c>
      <c r="B9683" s="9" t="s">
        <v>31953</v>
      </c>
      <c r="G9683" s="9" t="s">
        <v>31954</v>
      </c>
      <c r="O9683" s="10">
        <f>IFERROR(__xludf.DUMMYFUNCTION("VALUE(REGEXEXTRACT(A9683, ""\d+""))"),14271.0)</f>
        <v>14271</v>
      </c>
    </row>
    <row r="9684">
      <c r="A9684" s="9" t="s">
        <v>31955</v>
      </c>
      <c r="B9684" s="9" t="s">
        <v>31956</v>
      </c>
      <c r="G9684" s="9" t="s">
        <v>31957</v>
      </c>
      <c r="O9684" s="10">
        <f>IFERROR(__xludf.DUMMYFUNCTION("VALUE(REGEXEXTRACT(A9684, ""\d+""))"),14272.0)</f>
        <v>14272</v>
      </c>
    </row>
    <row r="9685">
      <c r="A9685" s="9" t="s">
        <v>31958</v>
      </c>
      <c r="B9685" s="9" t="s">
        <v>31959</v>
      </c>
      <c r="G9685" s="9" t="s">
        <v>31960</v>
      </c>
      <c r="O9685" s="10">
        <f>IFERROR(__xludf.DUMMYFUNCTION("VALUE(REGEXEXTRACT(A9685, ""\d+""))"),14273.0)</f>
        <v>14273</v>
      </c>
    </row>
    <row r="9686">
      <c r="A9686" s="9" t="s">
        <v>31961</v>
      </c>
      <c r="B9686" s="9" t="s">
        <v>31962</v>
      </c>
      <c r="G9686" s="9" t="s">
        <v>31963</v>
      </c>
      <c r="O9686" s="10">
        <f>IFERROR(__xludf.DUMMYFUNCTION("VALUE(REGEXEXTRACT(A9686, ""\d+""))"),14274.0)</f>
        <v>14274</v>
      </c>
    </row>
    <row r="9687">
      <c r="A9687" s="9" t="s">
        <v>31964</v>
      </c>
      <c r="B9687" s="9" t="s">
        <v>31965</v>
      </c>
      <c r="G9687" s="9" t="s">
        <v>31966</v>
      </c>
      <c r="O9687" s="10">
        <f>IFERROR(__xludf.DUMMYFUNCTION("VALUE(REGEXEXTRACT(A9687, ""\d+""))"),14275.0)</f>
        <v>14275</v>
      </c>
    </row>
    <row r="9688">
      <c r="A9688" s="9" t="s">
        <v>31967</v>
      </c>
      <c r="B9688" s="9" t="s">
        <v>31968</v>
      </c>
      <c r="G9688" s="9" t="s">
        <v>31969</v>
      </c>
      <c r="O9688" s="10">
        <f>IFERROR(__xludf.DUMMYFUNCTION("VALUE(REGEXEXTRACT(A9688, ""\d+""))"),14276.0)</f>
        <v>14276</v>
      </c>
    </row>
    <row r="9689">
      <c r="A9689" s="9" t="s">
        <v>31970</v>
      </c>
      <c r="B9689" s="9" t="s">
        <v>31971</v>
      </c>
      <c r="G9689" s="9" t="s">
        <v>31972</v>
      </c>
      <c r="O9689" s="10">
        <f>IFERROR(__xludf.DUMMYFUNCTION("VALUE(REGEXEXTRACT(A9689, ""\d+""))"),14277.0)</f>
        <v>14277</v>
      </c>
    </row>
    <row r="9690">
      <c r="A9690" s="9" t="s">
        <v>31973</v>
      </c>
      <c r="B9690" s="9" t="s">
        <v>31974</v>
      </c>
      <c r="G9690" s="9" t="s">
        <v>31975</v>
      </c>
      <c r="O9690" s="10">
        <f>IFERROR(__xludf.DUMMYFUNCTION("VALUE(REGEXEXTRACT(A9690, ""\d+""))"),14278.0)</f>
        <v>14278</v>
      </c>
    </row>
    <row r="9691">
      <c r="A9691" s="9" t="s">
        <v>31976</v>
      </c>
      <c r="B9691" s="9" t="s">
        <v>31977</v>
      </c>
      <c r="G9691" s="9" t="s">
        <v>31978</v>
      </c>
      <c r="O9691" s="10">
        <f>IFERROR(__xludf.DUMMYFUNCTION("VALUE(REGEXEXTRACT(A9691, ""\d+""))"),14279.0)</f>
        <v>14279</v>
      </c>
    </row>
    <row r="9692">
      <c r="A9692" s="9" t="s">
        <v>31979</v>
      </c>
      <c r="B9692" s="9" t="s">
        <v>31980</v>
      </c>
      <c r="G9692" s="9" t="s">
        <v>31981</v>
      </c>
      <c r="O9692" s="10">
        <f>IFERROR(__xludf.DUMMYFUNCTION("VALUE(REGEXEXTRACT(A9692, ""\d+""))"),14280.0)</f>
        <v>14280</v>
      </c>
    </row>
    <row r="9693">
      <c r="A9693" s="9" t="s">
        <v>31982</v>
      </c>
      <c r="B9693" s="9" t="s">
        <v>31983</v>
      </c>
      <c r="G9693" s="9" t="s">
        <v>31984</v>
      </c>
      <c r="O9693" s="10">
        <f>IFERROR(__xludf.DUMMYFUNCTION("VALUE(REGEXEXTRACT(A9693, ""\d+""))"),14281.0)</f>
        <v>14281</v>
      </c>
    </row>
    <row r="9694">
      <c r="A9694" s="9" t="s">
        <v>31985</v>
      </c>
      <c r="B9694" s="9" t="s">
        <v>31986</v>
      </c>
      <c r="G9694" s="9" t="s">
        <v>31987</v>
      </c>
      <c r="O9694" s="10">
        <f>IFERROR(__xludf.DUMMYFUNCTION("VALUE(REGEXEXTRACT(A9694, ""\d+""))"),14282.0)</f>
        <v>14282</v>
      </c>
    </row>
    <row r="9695">
      <c r="A9695" s="9" t="s">
        <v>31988</v>
      </c>
      <c r="B9695" s="9" t="s">
        <v>31989</v>
      </c>
      <c r="G9695" s="9" t="s">
        <v>31990</v>
      </c>
      <c r="O9695" s="10">
        <f>IFERROR(__xludf.DUMMYFUNCTION("VALUE(REGEXEXTRACT(A9695, ""\d+""))"),14283.0)</f>
        <v>14283</v>
      </c>
    </row>
    <row r="9696">
      <c r="A9696" s="9" t="s">
        <v>31991</v>
      </c>
      <c r="B9696" s="9" t="s">
        <v>31992</v>
      </c>
      <c r="G9696" s="9" t="s">
        <v>31993</v>
      </c>
      <c r="O9696" s="10">
        <f>IFERROR(__xludf.DUMMYFUNCTION("VALUE(REGEXEXTRACT(A9696, ""\d+""))"),14284.0)</f>
        <v>14284</v>
      </c>
    </row>
    <row r="9697">
      <c r="A9697" s="9" t="s">
        <v>31994</v>
      </c>
      <c r="B9697" s="9" t="s">
        <v>31995</v>
      </c>
      <c r="G9697" s="9" t="s">
        <v>31996</v>
      </c>
      <c r="O9697" s="10">
        <f>IFERROR(__xludf.DUMMYFUNCTION("VALUE(REGEXEXTRACT(A9697, ""\d+""))"),14285.0)</f>
        <v>14285</v>
      </c>
    </row>
    <row r="9698">
      <c r="A9698" s="9" t="s">
        <v>31997</v>
      </c>
      <c r="B9698" s="9" t="s">
        <v>31998</v>
      </c>
      <c r="G9698" s="9" t="s">
        <v>31999</v>
      </c>
      <c r="O9698" s="10">
        <f>IFERROR(__xludf.DUMMYFUNCTION("VALUE(REGEXEXTRACT(A9698, ""\d+""))"),14286.0)</f>
        <v>14286</v>
      </c>
    </row>
    <row r="9699">
      <c r="A9699" s="9" t="s">
        <v>32000</v>
      </c>
      <c r="B9699" s="9" t="s">
        <v>32001</v>
      </c>
      <c r="G9699" s="9" t="s">
        <v>32002</v>
      </c>
      <c r="O9699" s="10">
        <f>IFERROR(__xludf.DUMMYFUNCTION("VALUE(REGEXEXTRACT(A9699, ""\d+""))"),14287.0)</f>
        <v>14287</v>
      </c>
    </row>
    <row r="9700">
      <c r="A9700" s="9" t="s">
        <v>32003</v>
      </c>
      <c r="B9700" s="9" t="s">
        <v>32004</v>
      </c>
      <c r="G9700" s="9" t="s">
        <v>32005</v>
      </c>
      <c r="O9700" s="10">
        <f>IFERROR(__xludf.DUMMYFUNCTION("VALUE(REGEXEXTRACT(A9700, ""\d+""))"),14288.0)</f>
        <v>14288</v>
      </c>
    </row>
    <row r="9701">
      <c r="A9701" s="9" t="s">
        <v>32006</v>
      </c>
      <c r="B9701" s="9" t="s">
        <v>32007</v>
      </c>
      <c r="G9701" s="9" t="s">
        <v>32008</v>
      </c>
      <c r="O9701" s="10">
        <f>IFERROR(__xludf.DUMMYFUNCTION("VALUE(REGEXEXTRACT(A9701, ""\d+""))"),14289.0)</f>
        <v>14289</v>
      </c>
    </row>
    <row r="9702">
      <c r="A9702" s="9" t="s">
        <v>32009</v>
      </c>
      <c r="B9702" s="9" t="s">
        <v>32010</v>
      </c>
      <c r="G9702" s="9" t="s">
        <v>32011</v>
      </c>
      <c r="O9702" s="10">
        <f>IFERROR(__xludf.DUMMYFUNCTION("VALUE(REGEXEXTRACT(A9702, ""\d+""))"),14290.0)</f>
        <v>14290</v>
      </c>
    </row>
    <row r="9703">
      <c r="A9703" s="9" t="s">
        <v>32012</v>
      </c>
      <c r="B9703" s="9" t="s">
        <v>32013</v>
      </c>
      <c r="G9703" s="9" t="s">
        <v>32014</v>
      </c>
      <c r="O9703" s="10">
        <f>IFERROR(__xludf.DUMMYFUNCTION("VALUE(REGEXEXTRACT(A9703, ""\d+""))"),14291.0)</f>
        <v>14291</v>
      </c>
    </row>
    <row r="9704">
      <c r="A9704" s="9" t="s">
        <v>32015</v>
      </c>
      <c r="B9704" s="9" t="s">
        <v>32016</v>
      </c>
      <c r="G9704" s="9" t="s">
        <v>32017</v>
      </c>
      <c r="O9704" s="10">
        <f>IFERROR(__xludf.DUMMYFUNCTION("VALUE(REGEXEXTRACT(A9704, ""\d+""))"),14292.0)</f>
        <v>14292</v>
      </c>
    </row>
    <row r="9705">
      <c r="A9705" s="9" t="s">
        <v>32018</v>
      </c>
      <c r="B9705" s="9" t="s">
        <v>32019</v>
      </c>
      <c r="G9705" s="9" t="s">
        <v>32020</v>
      </c>
      <c r="O9705" s="10">
        <f>IFERROR(__xludf.DUMMYFUNCTION("VALUE(REGEXEXTRACT(A9705, ""\d+""))"),14294.0)</f>
        <v>14294</v>
      </c>
    </row>
    <row r="9706">
      <c r="A9706" s="9" t="s">
        <v>32021</v>
      </c>
      <c r="B9706" s="9" t="s">
        <v>32022</v>
      </c>
      <c r="G9706" s="9" t="s">
        <v>32023</v>
      </c>
      <c r="O9706" s="10">
        <f>IFERROR(__xludf.DUMMYFUNCTION("VALUE(REGEXEXTRACT(A9706, ""\d+""))"),14295.0)</f>
        <v>14295</v>
      </c>
    </row>
    <row r="9707">
      <c r="A9707" s="9" t="s">
        <v>32024</v>
      </c>
      <c r="B9707" s="9" t="s">
        <v>32025</v>
      </c>
      <c r="G9707" s="9" t="s">
        <v>32026</v>
      </c>
      <c r="O9707" s="10">
        <f>IFERROR(__xludf.DUMMYFUNCTION("VALUE(REGEXEXTRACT(A9707, ""\d+""))"),14296.0)</f>
        <v>14296</v>
      </c>
    </row>
    <row r="9708">
      <c r="A9708" s="9" t="s">
        <v>32027</v>
      </c>
      <c r="B9708" s="9" t="s">
        <v>32028</v>
      </c>
      <c r="G9708" s="9" t="s">
        <v>32029</v>
      </c>
      <c r="O9708" s="10">
        <f>IFERROR(__xludf.DUMMYFUNCTION("VALUE(REGEXEXTRACT(A9708, ""\d+""))"),14297.0)</f>
        <v>14297</v>
      </c>
    </row>
    <row r="9709">
      <c r="A9709" s="9" t="s">
        <v>32030</v>
      </c>
      <c r="B9709" s="9" t="s">
        <v>32031</v>
      </c>
      <c r="G9709" s="9" t="s">
        <v>32032</v>
      </c>
      <c r="O9709" s="10">
        <f>IFERROR(__xludf.DUMMYFUNCTION("VALUE(REGEXEXTRACT(A9709, ""\d+""))"),14298.0)</f>
        <v>14298</v>
      </c>
    </row>
    <row r="9710">
      <c r="A9710" s="9" t="s">
        <v>32033</v>
      </c>
      <c r="B9710" s="9" t="s">
        <v>32034</v>
      </c>
      <c r="G9710" s="9" t="s">
        <v>32035</v>
      </c>
      <c r="O9710" s="10">
        <f>IFERROR(__xludf.DUMMYFUNCTION("VALUE(REGEXEXTRACT(A9710, ""\d+""))"),14299.0)</f>
        <v>14299</v>
      </c>
    </row>
    <row r="9711">
      <c r="A9711" s="9" t="s">
        <v>32036</v>
      </c>
      <c r="B9711" s="9" t="s">
        <v>32037</v>
      </c>
      <c r="G9711" s="9" t="s">
        <v>32038</v>
      </c>
      <c r="O9711" s="10">
        <f>IFERROR(__xludf.DUMMYFUNCTION("VALUE(REGEXEXTRACT(A9711, ""\d+""))"),14300.0)</f>
        <v>14300</v>
      </c>
    </row>
    <row r="9712">
      <c r="A9712" s="9" t="s">
        <v>32039</v>
      </c>
      <c r="B9712" s="9" t="s">
        <v>32040</v>
      </c>
      <c r="G9712" s="9" t="s">
        <v>32041</v>
      </c>
      <c r="O9712" s="10">
        <f>IFERROR(__xludf.DUMMYFUNCTION("VALUE(REGEXEXTRACT(A9712, ""\d+""))"),14302.0)</f>
        <v>14302</v>
      </c>
    </row>
    <row r="9713">
      <c r="A9713" s="9" t="s">
        <v>32042</v>
      </c>
      <c r="B9713" s="9" t="s">
        <v>32043</v>
      </c>
      <c r="G9713" s="9" t="s">
        <v>32044</v>
      </c>
      <c r="O9713" s="10">
        <f>IFERROR(__xludf.DUMMYFUNCTION("VALUE(REGEXEXTRACT(A9713, ""\d+""))"),14303.0)</f>
        <v>14303</v>
      </c>
    </row>
    <row r="9714">
      <c r="A9714" s="9" t="s">
        <v>32045</v>
      </c>
      <c r="B9714" s="9" t="s">
        <v>32046</v>
      </c>
      <c r="G9714" s="9" t="s">
        <v>32047</v>
      </c>
      <c r="O9714" s="10">
        <f>IFERROR(__xludf.DUMMYFUNCTION("VALUE(REGEXEXTRACT(A9714, ""\d+""))"),14304.0)</f>
        <v>14304</v>
      </c>
    </row>
    <row r="9715">
      <c r="A9715" s="9" t="s">
        <v>32048</v>
      </c>
      <c r="B9715" s="9" t="s">
        <v>32046</v>
      </c>
      <c r="G9715" s="9" t="s">
        <v>32047</v>
      </c>
      <c r="O9715" s="10">
        <f>IFERROR(__xludf.DUMMYFUNCTION("VALUE(REGEXEXTRACT(A9715, ""\d+""))"),14305.0)</f>
        <v>14305</v>
      </c>
    </row>
    <row r="9716">
      <c r="A9716" s="9" t="s">
        <v>32049</v>
      </c>
      <c r="B9716" s="9" t="s">
        <v>32050</v>
      </c>
      <c r="G9716" s="9" t="s">
        <v>32051</v>
      </c>
      <c r="O9716" s="10">
        <f>IFERROR(__xludf.DUMMYFUNCTION("VALUE(REGEXEXTRACT(A9716, ""\d+""))"),14306.0)</f>
        <v>14306</v>
      </c>
    </row>
    <row r="9717">
      <c r="A9717" s="9" t="s">
        <v>32052</v>
      </c>
      <c r="B9717" s="9" t="s">
        <v>32053</v>
      </c>
      <c r="G9717" s="9" t="s">
        <v>32054</v>
      </c>
      <c r="O9717" s="10">
        <f>IFERROR(__xludf.DUMMYFUNCTION("VALUE(REGEXEXTRACT(A9717, ""\d+""))"),14307.0)</f>
        <v>14307</v>
      </c>
    </row>
    <row r="9718">
      <c r="A9718" s="9" t="s">
        <v>32055</v>
      </c>
      <c r="B9718" s="9" t="s">
        <v>32056</v>
      </c>
      <c r="G9718" s="9" t="s">
        <v>32057</v>
      </c>
      <c r="O9718" s="10">
        <f>IFERROR(__xludf.DUMMYFUNCTION("VALUE(REGEXEXTRACT(A9718, ""\d+""))"),14308.0)</f>
        <v>14308</v>
      </c>
    </row>
    <row r="9719">
      <c r="A9719" s="9" t="s">
        <v>32058</v>
      </c>
      <c r="B9719" s="9" t="s">
        <v>32059</v>
      </c>
      <c r="G9719" s="9" t="s">
        <v>32060</v>
      </c>
      <c r="O9719" s="10">
        <f>IFERROR(__xludf.DUMMYFUNCTION("VALUE(REGEXEXTRACT(A9719, ""\d+""))"),14309.0)</f>
        <v>14309</v>
      </c>
    </row>
    <row r="9720">
      <c r="A9720" s="9" t="s">
        <v>32061</v>
      </c>
      <c r="B9720" s="9" t="s">
        <v>32062</v>
      </c>
      <c r="G9720" s="9" t="s">
        <v>32062</v>
      </c>
      <c r="O9720" s="10">
        <f>IFERROR(__xludf.DUMMYFUNCTION("VALUE(REGEXEXTRACT(A9720, ""\d+""))"),14310.0)</f>
        <v>14310</v>
      </c>
    </row>
    <row r="9721">
      <c r="A9721" s="9" t="s">
        <v>32063</v>
      </c>
      <c r="B9721" s="9" t="s">
        <v>32064</v>
      </c>
      <c r="G9721" s="9" t="s">
        <v>32065</v>
      </c>
      <c r="O9721" s="10">
        <f>IFERROR(__xludf.DUMMYFUNCTION("VALUE(REGEXEXTRACT(A9721, ""\d+""))"),14313.0)</f>
        <v>14313</v>
      </c>
    </row>
    <row r="9722">
      <c r="A9722" s="9" t="s">
        <v>32066</v>
      </c>
      <c r="B9722" s="9" t="s">
        <v>32067</v>
      </c>
      <c r="G9722" s="9" t="s">
        <v>32068</v>
      </c>
      <c r="O9722" s="10">
        <f>IFERROR(__xludf.DUMMYFUNCTION("VALUE(REGEXEXTRACT(A9722, ""\d+""))"),14314.0)</f>
        <v>14314</v>
      </c>
    </row>
    <row r="9723">
      <c r="A9723" s="9" t="s">
        <v>32069</v>
      </c>
      <c r="B9723" s="9" t="s">
        <v>32070</v>
      </c>
      <c r="G9723" s="9" t="s">
        <v>32071</v>
      </c>
      <c r="O9723" s="10">
        <f>IFERROR(__xludf.DUMMYFUNCTION("VALUE(REGEXEXTRACT(A9723, ""\d+""))"),14315.0)</f>
        <v>14315</v>
      </c>
    </row>
    <row r="9724">
      <c r="A9724" s="9" t="s">
        <v>32072</v>
      </c>
      <c r="B9724" s="9" t="s">
        <v>32073</v>
      </c>
      <c r="G9724" s="9" t="s">
        <v>32074</v>
      </c>
      <c r="O9724" s="10">
        <f>IFERROR(__xludf.DUMMYFUNCTION("VALUE(REGEXEXTRACT(A9724, ""\d+""))"),14316.0)</f>
        <v>14316</v>
      </c>
    </row>
    <row r="9725">
      <c r="A9725" s="9" t="s">
        <v>32075</v>
      </c>
      <c r="B9725" s="9" t="s">
        <v>32076</v>
      </c>
      <c r="G9725" s="9" t="s">
        <v>32077</v>
      </c>
      <c r="O9725" s="10">
        <f>IFERROR(__xludf.DUMMYFUNCTION("VALUE(REGEXEXTRACT(A9725, ""\d+""))"),14317.0)</f>
        <v>14317</v>
      </c>
    </row>
    <row r="9726">
      <c r="A9726" s="9" t="s">
        <v>32078</v>
      </c>
      <c r="B9726" s="9" t="s">
        <v>32079</v>
      </c>
      <c r="G9726" s="9" t="s">
        <v>32080</v>
      </c>
      <c r="O9726" s="10">
        <f>IFERROR(__xludf.DUMMYFUNCTION("VALUE(REGEXEXTRACT(A9726, ""\d+""))"),14318.0)</f>
        <v>14318</v>
      </c>
    </row>
    <row r="9727">
      <c r="A9727" s="9" t="s">
        <v>32081</v>
      </c>
      <c r="B9727" s="9" t="s">
        <v>32082</v>
      </c>
      <c r="G9727" s="9" t="s">
        <v>32083</v>
      </c>
      <c r="O9727" s="10">
        <f>IFERROR(__xludf.DUMMYFUNCTION("VALUE(REGEXEXTRACT(A9727, ""\d+""))"),14319.0)</f>
        <v>14319</v>
      </c>
    </row>
    <row r="9728">
      <c r="A9728" s="9" t="s">
        <v>32084</v>
      </c>
      <c r="B9728" s="9" t="s">
        <v>32085</v>
      </c>
      <c r="G9728" s="9" t="s">
        <v>32086</v>
      </c>
      <c r="O9728" s="10">
        <f>IFERROR(__xludf.DUMMYFUNCTION("VALUE(REGEXEXTRACT(A9728, ""\d+""))"),14320.0)</f>
        <v>14320</v>
      </c>
    </row>
    <row r="9729">
      <c r="A9729" s="9" t="s">
        <v>32087</v>
      </c>
      <c r="B9729" s="9" t="s">
        <v>32088</v>
      </c>
      <c r="G9729" s="9" t="s">
        <v>32089</v>
      </c>
      <c r="O9729" s="10">
        <f>IFERROR(__xludf.DUMMYFUNCTION("VALUE(REGEXEXTRACT(A9729, ""\d+""))"),14321.0)</f>
        <v>14321</v>
      </c>
    </row>
    <row r="9730">
      <c r="A9730" s="9" t="s">
        <v>32090</v>
      </c>
      <c r="B9730" s="9" t="s">
        <v>32091</v>
      </c>
      <c r="G9730" s="9" t="s">
        <v>32092</v>
      </c>
      <c r="O9730" s="10">
        <f>IFERROR(__xludf.DUMMYFUNCTION("VALUE(REGEXEXTRACT(A9730, ""\d+""))"),14322.0)</f>
        <v>14322</v>
      </c>
    </row>
    <row r="9731">
      <c r="A9731" s="9" t="s">
        <v>32093</v>
      </c>
      <c r="B9731" s="9" t="s">
        <v>32094</v>
      </c>
      <c r="G9731" s="9" t="s">
        <v>32095</v>
      </c>
      <c r="O9731" s="10">
        <f>IFERROR(__xludf.DUMMYFUNCTION("VALUE(REGEXEXTRACT(A9731, ""\d+""))"),14323.0)</f>
        <v>14323</v>
      </c>
    </row>
    <row r="9732">
      <c r="A9732" s="9" t="s">
        <v>32096</v>
      </c>
      <c r="B9732" s="9" t="s">
        <v>32097</v>
      </c>
      <c r="G9732" s="9" t="s">
        <v>32098</v>
      </c>
      <c r="O9732" s="10">
        <f>IFERROR(__xludf.DUMMYFUNCTION("VALUE(REGEXEXTRACT(A9732, ""\d+""))"),14324.0)</f>
        <v>14324</v>
      </c>
    </row>
    <row r="9733">
      <c r="A9733" s="9" t="s">
        <v>32099</v>
      </c>
      <c r="B9733" s="9" t="s">
        <v>32100</v>
      </c>
      <c r="G9733" s="9" t="s">
        <v>32101</v>
      </c>
      <c r="O9733" s="10">
        <f>IFERROR(__xludf.DUMMYFUNCTION("VALUE(REGEXEXTRACT(A9733, ""\d+""))"),14325.0)</f>
        <v>14325</v>
      </c>
    </row>
    <row r="9734">
      <c r="A9734" s="9" t="s">
        <v>32102</v>
      </c>
      <c r="B9734" s="9" t="s">
        <v>32103</v>
      </c>
      <c r="G9734" s="9" t="s">
        <v>32104</v>
      </c>
      <c r="O9734" s="10">
        <f>IFERROR(__xludf.DUMMYFUNCTION("VALUE(REGEXEXTRACT(A9734, ""\d+""))"),14326.0)</f>
        <v>14326</v>
      </c>
    </row>
    <row r="9735">
      <c r="A9735" s="9" t="s">
        <v>32105</v>
      </c>
      <c r="B9735" s="9" t="s">
        <v>32106</v>
      </c>
      <c r="G9735" s="9" t="s">
        <v>32107</v>
      </c>
      <c r="O9735" s="10">
        <f>IFERROR(__xludf.DUMMYFUNCTION("VALUE(REGEXEXTRACT(A9735, ""\d+""))"),14327.0)</f>
        <v>14327</v>
      </c>
    </row>
    <row r="9736">
      <c r="A9736" s="9" t="s">
        <v>32108</v>
      </c>
      <c r="B9736" s="9" t="s">
        <v>32109</v>
      </c>
      <c r="G9736" s="20" t="s">
        <v>32107</v>
      </c>
      <c r="O9736" s="10">
        <f>IFERROR(__xludf.DUMMYFUNCTION("VALUE(REGEXEXTRACT(A9736, ""\d+""))"),14328.0)</f>
        <v>14328</v>
      </c>
    </row>
    <row r="9737">
      <c r="A9737" s="9" t="s">
        <v>32110</v>
      </c>
      <c r="B9737" s="9" t="s">
        <v>32111</v>
      </c>
      <c r="G9737" s="9" t="s">
        <v>32112</v>
      </c>
      <c r="O9737" s="10">
        <f>IFERROR(__xludf.DUMMYFUNCTION("VALUE(REGEXEXTRACT(A9737, ""\d+""))"),14329.0)</f>
        <v>14329</v>
      </c>
    </row>
    <row r="9738">
      <c r="A9738" s="9" t="s">
        <v>32113</v>
      </c>
      <c r="B9738" s="9" t="s">
        <v>32114</v>
      </c>
      <c r="G9738" s="9" t="s">
        <v>32115</v>
      </c>
      <c r="O9738" s="10">
        <f>IFERROR(__xludf.DUMMYFUNCTION("VALUE(REGEXEXTRACT(A9738, ""\d+""))"),14330.0)</f>
        <v>14330</v>
      </c>
    </row>
    <row r="9739">
      <c r="A9739" s="9" t="s">
        <v>32116</v>
      </c>
      <c r="B9739" s="9" t="s">
        <v>32117</v>
      </c>
      <c r="G9739" s="9" t="s">
        <v>32117</v>
      </c>
      <c r="O9739" s="10">
        <f>IFERROR(__xludf.DUMMYFUNCTION("VALUE(REGEXEXTRACT(A9739, ""\d+""))"),14331.0)</f>
        <v>14331</v>
      </c>
    </row>
    <row r="9740">
      <c r="A9740" s="9" t="s">
        <v>32118</v>
      </c>
      <c r="B9740" s="9" t="s">
        <v>32119</v>
      </c>
      <c r="G9740" s="9" t="s">
        <v>32119</v>
      </c>
      <c r="O9740" s="10">
        <f>IFERROR(__xludf.DUMMYFUNCTION("VALUE(REGEXEXTRACT(A9740, ""\d+""))"),14333.0)</f>
        <v>14333</v>
      </c>
    </row>
    <row r="9741">
      <c r="A9741" s="9" t="s">
        <v>32120</v>
      </c>
      <c r="B9741" s="9" t="s">
        <v>32121</v>
      </c>
      <c r="G9741" s="9" t="s">
        <v>32121</v>
      </c>
      <c r="O9741" s="10">
        <f>IFERROR(__xludf.DUMMYFUNCTION("VALUE(REGEXEXTRACT(A9741, ""\d+""))"),14334.0)</f>
        <v>14334</v>
      </c>
    </row>
    <row r="9742">
      <c r="A9742" s="9" t="s">
        <v>32122</v>
      </c>
      <c r="B9742" s="9" t="s">
        <v>32123</v>
      </c>
      <c r="G9742" s="9" t="s">
        <v>32123</v>
      </c>
      <c r="O9742" s="10">
        <f>IFERROR(__xludf.DUMMYFUNCTION("VALUE(REGEXEXTRACT(A9742, ""\d+""))"),14335.0)</f>
        <v>14335</v>
      </c>
    </row>
    <row r="9743">
      <c r="A9743" s="9" t="s">
        <v>32124</v>
      </c>
      <c r="B9743" s="9" t="s">
        <v>32125</v>
      </c>
      <c r="G9743" s="9" t="s">
        <v>32125</v>
      </c>
      <c r="O9743" s="10">
        <f>IFERROR(__xludf.DUMMYFUNCTION("VALUE(REGEXEXTRACT(A9743, ""\d+""))"),14336.0)</f>
        <v>14336</v>
      </c>
    </row>
    <row r="9744">
      <c r="A9744" s="9" t="s">
        <v>32126</v>
      </c>
      <c r="B9744" s="9" t="s">
        <v>32127</v>
      </c>
      <c r="G9744" s="9" t="s">
        <v>32128</v>
      </c>
      <c r="O9744" s="10">
        <f>IFERROR(__xludf.DUMMYFUNCTION("VALUE(REGEXEXTRACT(A9744, ""\d+""))"),14337.0)</f>
        <v>14337</v>
      </c>
    </row>
    <row r="9745">
      <c r="A9745" s="9" t="s">
        <v>32129</v>
      </c>
      <c r="B9745" s="9" t="s">
        <v>32130</v>
      </c>
      <c r="G9745" s="9" t="s">
        <v>32130</v>
      </c>
      <c r="O9745" s="10">
        <f>IFERROR(__xludf.DUMMYFUNCTION("VALUE(REGEXEXTRACT(A9745, ""\d+""))"),14338.0)</f>
        <v>14338</v>
      </c>
    </row>
    <row r="9746">
      <c r="A9746" s="9" t="s">
        <v>32131</v>
      </c>
      <c r="B9746" s="9" t="s">
        <v>32132</v>
      </c>
      <c r="G9746" s="9" t="s">
        <v>32133</v>
      </c>
      <c r="O9746" s="10">
        <f>IFERROR(__xludf.DUMMYFUNCTION("VALUE(REGEXEXTRACT(A9746, ""\d+""))"),14339.0)</f>
        <v>14339</v>
      </c>
    </row>
    <row r="9747">
      <c r="A9747" s="9" t="s">
        <v>32134</v>
      </c>
      <c r="B9747" s="9" t="s">
        <v>32135</v>
      </c>
      <c r="G9747" s="9" t="s">
        <v>32133</v>
      </c>
      <c r="O9747" s="10">
        <f>IFERROR(__xludf.DUMMYFUNCTION("VALUE(REGEXEXTRACT(A9747, ""\d+""))"),14341.0)</f>
        <v>14341</v>
      </c>
    </row>
    <row r="9748">
      <c r="A9748" s="9" t="s">
        <v>32136</v>
      </c>
      <c r="B9748" s="9" t="s">
        <v>32137</v>
      </c>
      <c r="G9748" s="9" t="s">
        <v>32138</v>
      </c>
      <c r="O9748" s="10">
        <f>IFERROR(__xludf.DUMMYFUNCTION("VALUE(REGEXEXTRACT(A9748, ""\d+""))"),14342.0)</f>
        <v>14342</v>
      </c>
    </row>
    <row r="9749">
      <c r="A9749" s="9" t="s">
        <v>32139</v>
      </c>
      <c r="B9749" s="9" t="s">
        <v>32140</v>
      </c>
      <c r="G9749" s="9" t="s">
        <v>32141</v>
      </c>
      <c r="O9749" s="10">
        <f>IFERROR(__xludf.DUMMYFUNCTION("VALUE(REGEXEXTRACT(A9749, ""\d+""))"),14343.0)</f>
        <v>14343</v>
      </c>
    </row>
    <row r="9750">
      <c r="A9750" s="9" t="s">
        <v>32142</v>
      </c>
      <c r="B9750" s="9" t="s">
        <v>32143</v>
      </c>
      <c r="G9750" s="9" t="s">
        <v>32144</v>
      </c>
      <c r="O9750" s="10">
        <f>IFERROR(__xludf.DUMMYFUNCTION("VALUE(REGEXEXTRACT(A9750, ""\d+""))"),14344.0)</f>
        <v>14344</v>
      </c>
    </row>
    <row r="9751">
      <c r="A9751" s="9" t="s">
        <v>32145</v>
      </c>
      <c r="B9751" s="9" t="s">
        <v>32146</v>
      </c>
      <c r="G9751" s="9" t="s">
        <v>32147</v>
      </c>
      <c r="O9751" s="10">
        <f>IFERROR(__xludf.DUMMYFUNCTION("VALUE(REGEXEXTRACT(A9751, ""\d+""))"),14345.0)</f>
        <v>14345</v>
      </c>
    </row>
    <row r="9752">
      <c r="A9752" s="9" t="s">
        <v>32148</v>
      </c>
      <c r="B9752" s="9" t="s">
        <v>32149</v>
      </c>
      <c r="G9752" s="9" t="s">
        <v>32150</v>
      </c>
      <c r="O9752" s="10">
        <f>IFERROR(__xludf.DUMMYFUNCTION("VALUE(REGEXEXTRACT(A9752, ""\d+""))"),14346.0)</f>
        <v>14346</v>
      </c>
    </row>
    <row r="9753">
      <c r="A9753" s="9" t="s">
        <v>32151</v>
      </c>
      <c r="B9753" s="9" t="s">
        <v>32152</v>
      </c>
      <c r="G9753" s="9" t="s">
        <v>32153</v>
      </c>
      <c r="O9753" s="10">
        <f>IFERROR(__xludf.DUMMYFUNCTION("VALUE(REGEXEXTRACT(A9753, ""\d+""))"),14347.0)</f>
        <v>14347</v>
      </c>
    </row>
    <row r="9754">
      <c r="A9754" s="9" t="s">
        <v>32154</v>
      </c>
      <c r="B9754" s="9" t="s">
        <v>32155</v>
      </c>
      <c r="G9754" s="9" t="s">
        <v>32156</v>
      </c>
      <c r="O9754" s="10">
        <f>IFERROR(__xludf.DUMMYFUNCTION("VALUE(REGEXEXTRACT(A9754, ""\d+""))"),14349.0)</f>
        <v>14349</v>
      </c>
    </row>
    <row r="9755">
      <c r="A9755" s="9" t="s">
        <v>32157</v>
      </c>
      <c r="B9755" s="9" t="s">
        <v>32158</v>
      </c>
      <c r="G9755" s="9" t="s">
        <v>32159</v>
      </c>
      <c r="O9755" s="10">
        <f>IFERROR(__xludf.DUMMYFUNCTION("VALUE(REGEXEXTRACT(A9755, ""\d+""))"),14350.0)</f>
        <v>14350</v>
      </c>
    </row>
    <row r="9756">
      <c r="A9756" s="9" t="s">
        <v>32160</v>
      </c>
      <c r="B9756" s="9" t="s">
        <v>32161</v>
      </c>
      <c r="G9756" s="9" t="s">
        <v>32162</v>
      </c>
      <c r="O9756" s="10">
        <f>IFERROR(__xludf.DUMMYFUNCTION("VALUE(REGEXEXTRACT(A9756, ""\d+""))"),14351.0)</f>
        <v>14351</v>
      </c>
    </row>
    <row r="9757">
      <c r="A9757" s="9" t="s">
        <v>32163</v>
      </c>
      <c r="B9757" s="9" t="s">
        <v>32164</v>
      </c>
      <c r="G9757" s="9" t="s">
        <v>32165</v>
      </c>
      <c r="O9757" s="10">
        <f>IFERROR(__xludf.DUMMYFUNCTION("VALUE(REGEXEXTRACT(A9757, ""\d+""))"),14352.0)</f>
        <v>14352</v>
      </c>
    </row>
    <row r="9758">
      <c r="A9758" s="9" t="s">
        <v>32166</v>
      </c>
      <c r="B9758" s="9" t="s">
        <v>32167</v>
      </c>
      <c r="G9758" s="9" t="s">
        <v>32168</v>
      </c>
      <c r="O9758" s="10">
        <f>IFERROR(__xludf.DUMMYFUNCTION("VALUE(REGEXEXTRACT(A9758, ""\d+""))"),14353.0)</f>
        <v>14353</v>
      </c>
    </row>
    <row r="9759">
      <c r="A9759" s="9" t="s">
        <v>32169</v>
      </c>
      <c r="B9759" s="9" t="s">
        <v>32170</v>
      </c>
      <c r="G9759" s="9" t="s">
        <v>32171</v>
      </c>
      <c r="O9759" s="10">
        <f>IFERROR(__xludf.DUMMYFUNCTION("VALUE(REGEXEXTRACT(A9759, ""\d+""))"),14354.0)</f>
        <v>14354</v>
      </c>
    </row>
    <row r="9760">
      <c r="A9760" s="9" t="s">
        <v>32172</v>
      </c>
      <c r="B9760" s="9" t="s">
        <v>32173</v>
      </c>
      <c r="G9760" s="9" t="s">
        <v>32174</v>
      </c>
      <c r="O9760" s="10">
        <f>IFERROR(__xludf.DUMMYFUNCTION("VALUE(REGEXEXTRACT(A9760, ""\d+""))"),14355.0)</f>
        <v>14355</v>
      </c>
    </row>
    <row r="9761">
      <c r="A9761" s="9" t="s">
        <v>32175</v>
      </c>
      <c r="B9761" s="9" t="s">
        <v>32176</v>
      </c>
      <c r="G9761" s="9" t="s">
        <v>32177</v>
      </c>
      <c r="O9761" s="10">
        <f>IFERROR(__xludf.DUMMYFUNCTION("VALUE(REGEXEXTRACT(A9761, ""\d+""))"),14356.0)</f>
        <v>14356</v>
      </c>
    </row>
    <row r="9762">
      <c r="A9762" s="9" t="s">
        <v>32178</v>
      </c>
      <c r="B9762" s="9" t="s">
        <v>32179</v>
      </c>
      <c r="G9762" s="9" t="s">
        <v>32180</v>
      </c>
      <c r="O9762" s="10">
        <f>IFERROR(__xludf.DUMMYFUNCTION("VALUE(REGEXEXTRACT(A9762, ""\d+""))"),14357.0)</f>
        <v>14357</v>
      </c>
    </row>
    <row r="9763">
      <c r="A9763" s="9" t="s">
        <v>32181</v>
      </c>
      <c r="B9763" s="9" t="s">
        <v>32182</v>
      </c>
      <c r="G9763" s="9" t="s">
        <v>32183</v>
      </c>
      <c r="O9763" s="10">
        <f>IFERROR(__xludf.DUMMYFUNCTION("VALUE(REGEXEXTRACT(A9763, ""\d+""))"),14358.0)</f>
        <v>14358</v>
      </c>
    </row>
    <row r="9764">
      <c r="A9764" s="9" t="s">
        <v>32184</v>
      </c>
      <c r="B9764" s="9" t="s">
        <v>32185</v>
      </c>
      <c r="G9764" s="9" t="s">
        <v>32186</v>
      </c>
      <c r="O9764" s="10">
        <f>IFERROR(__xludf.DUMMYFUNCTION("VALUE(REGEXEXTRACT(A9764, ""\d+""))"),14359.0)</f>
        <v>14359</v>
      </c>
    </row>
    <row r="9765">
      <c r="A9765" s="9" t="s">
        <v>32187</v>
      </c>
      <c r="B9765" s="9" t="s">
        <v>32188</v>
      </c>
      <c r="G9765" s="9" t="s">
        <v>32189</v>
      </c>
      <c r="O9765" s="10">
        <f>IFERROR(__xludf.DUMMYFUNCTION("VALUE(REGEXEXTRACT(A9765, ""\d+""))"),14360.0)</f>
        <v>14360</v>
      </c>
    </row>
    <row r="9766">
      <c r="A9766" s="9" t="s">
        <v>32190</v>
      </c>
      <c r="B9766" s="9" t="s">
        <v>32191</v>
      </c>
      <c r="G9766" s="9" t="s">
        <v>32192</v>
      </c>
      <c r="O9766" s="10">
        <f>IFERROR(__xludf.DUMMYFUNCTION("VALUE(REGEXEXTRACT(A9766, ""\d+""))"),14361.0)</f>
        <v>14361</v>
      </c>
    </row>
    <row r="9767">
      <c r="A9767" s="9" t="s">
        <v>32193</v>
      </c>
      <c r="B9767" s="9" t="s">
        <v>32194</v>
      </c>
      <c r="G9767" s="9" t="s">
        <v>32195</v>
      </c>
      <c r="O9767" s="10">
        <f>IFERROR(__xludf.DUMMYFUNCTION("VALUE(REGEXEXTRACT(A9767, ""\d+""))"),14362.0)</f>
        <v>14362</v>
      </c>
    </row>
    <row r="9768">
      <c r="A9768" s="9" t="s">
        <v>32196</v>
      </c>
      <c r="B9768" s="9" t="s">
        <v>32197</v>
      </c>
      <c r="G9768" s="9" t="s">
        <v>32198</v>
      </c>
      <c r="O9768" s="10">
        <f>IFERROR(__xludf.DUMMYFUNCTION("VALUE(REGEXEXTRACT(A9768, ""\d+""))"),14363.0)</f>
        <v>14363</v>
      </c>
    </row>
    <row r="9769">
      <c r="A9769" s="9" t="s">
        <v>32199</v>
      </c>
      <c r="B9769" s="9" t="s">
        <v>32200</v>
      </c>
      <c r="G9769" s="9" t="s">
        <v>32201</v>
      </c>
      <c r="O9769" s="10">
        <f>IFERROR(__xludf.DUMMYFUNCTION("VALUE(REGEXEXTRACT(A9769, ""\d+""))"),14364.0)</f>
        <v>14364</v>
      </c>
    </row>
    <row r="9770">
      <c r="A9770" s="9" t="s">
        <v>32202</v>
      </c>
      <c r="B9770" s="9" t="s">
        <v>32203</v>
      </c>
      <c r="G9770" s="9" t="s">
        <v>32204</v>
      </c>
      <c r="O9770" s="10">
        <f>IFERROR(__xludf.DUMMYFUNCTION("VALUE(REGEXEXTRACT(A9770, ""\d+""))"),14365.0)</f>
        <v>14365</v>
      </c>
    </row>
    <row r="9771">
      <c r="A9771" s="9" t="s">
        <v>32205</v>
      </c>
      <c r="B9771" s="9" t="s">
        <v>32206</v>
      </c>
      <c r="G9771" s="9" t="s">
        <v>32207</v>
      </c>
      <c r="O9771" s="10">
        <f>IFERROR(__xludf.DUMMYFUNCTION("VALUE(REGEXEXTRACT(A9771, ""\d+""))"),14366.0)</f>
        <v>14366</v>
      </c>
    </row>
    <row r="9772">
      <c r="A9772" s="9" t="s">
        <v>32208</v>
      </c>
      <c r="B9772" s="9" t="s">
        <v>32209</v>
      </c>
      <c r="G9772" s="9" t="s">
        <v>32210</v>
      </c>
      <c r="O9772" s="10">
        <f>IFERROR(__xludf.DUMMYFUNCTION("VALUE(REGEXEXTRACT(A9772, ""\d+""))"),14367.0)</f>
        <v>14367</v>
      </c>
    </row>
    <row r="9773">
      <c r="A9773" s="9" t="s">
        <v>32211</v>
      </c>
      <c r="B9773" s="9" t="s">
        <v>32212</v>
      </c>
      <c r="G9773" s="9" t="s">
        <v>32213</v>
      </c>
      <c r="O9773" s="10">
        <f>IFERROR(__xludf.DUMMYFUNCTION("VALUE(REGEXEXTRACT(A9773, ""\d+""))"),14368.0)</f>
        <v>14368</v>
      </c>
    </row>
    <row r="9774">
      <c r="A9774" s="9" t="s">
        <v>32214</v>
      </c>
      <c r="B9774" s="9" t="s">
        <v>32215</v>
      </c>
      <c r="G9774" s="9" t="s">
        <v>32216</v>
      </c>
      <c r="O9774" s="10">
        <f>IFERROR(__xludf.DUMMYFUNCTION("VALUE(REGEXEXTRACT(A9774, ""\d+""))"),14369.0)</f>
        <v>14369</v>
      </c>
    </row>
    <row r="9775">
      <c r="A9775" s="9" t="s">
        <v>32217</v>
      </c>
      <c r="B9775" s="9" t="s">
        <v>32218</v>
      </c>
      <c r="G9775" s="9" t="s">
        <v>32219</v>
      </c>
      <c r="O9775" s="10">
        <f>IFERROR(__xludf.DUMMYFUNCTION("VALUE(REGEXEXTRACT(A9775, ""\d+""))"),14370.0)</f>
        <v>14370</v>
      </c>
    </row>
    <row r="9776">
      <c r="A9776" s="9" t="s">
        <v>32220</v>
      </c>
      <c r="B9776" s="9" t="s">
        <v>32221</v>
      </c>
      <c r="G9776" s="9" t="s">
        <v>32222</v>
      </c>
      <c r="O9776" s="10">
        <f>IFERROR(__xludf.DUMMYFUNCTION("VALUE(REGEXEXTRACT(A9776, ""\d+""))"),14371.0)</f>
        <v>14371</v>
      </c>
    </row>
    <row r="9777">
      <c r="A9777" s="9" t="s">
        <v>32223</v>
      </c>
      <c r="B9777" s="9" t="s">
        <v>32224</v>
      </c>
      <c r="G9777" s="9" t="s">
        <v>32225</v>
      </c>
      <c r="O9777" s="10">
        <f>IFERROR(__xludf.DUMMYFUNCTION("VALUE(REGEXEXTRACT(A9777, ""\d+""))"),14372.0)</f>
        <v>14372</v>
      </c>
    </row>
    <row r="9778">
      <c r="A9778" s="9" t="s">
        <v>32226</v>
      </c>
      <c r="B9778" s="9" t="s">
        <v>32227</v>
      </c>
      <c r="G9778" s="9" t="s">
        <v>32228</v>
      </c>
      <c r="O9778" s="10">
        <f>IFERROR(__xludf.DUMMYFUNCTION("VALUE(REGEXEXTRACT(A9778, ""\d+""))"),14373.0)</f>
        <v>14373</v>
      </c>
    </row>
    <row r="9779">
      <c r="A9779" s="9" t="s">
        <v>32229</v>
      </c>
      <c r="B9779" s="9" t="s">
        <v>32230</v>
      </c>
      <c r="G9779" s="9" t="s">
        <v>32231</v>
      </c>
      <c r="O9779" s="10">
        <f>IFERROR(__xludf.DUMMYFUNCTION("VALUE(REGEXEXTRACT(A9779, ""\d+""))"),14374.0)</f>
        <v>14374</v>
      </c>
    </row>
    <row r="9780">
      <c r="A9780" s="9" t="s">
        <v>32232</v>
      </c>
      <c r="B9780" s="9" t="s">
        <v>32233</v>
      </c>
      <c r="G9780" s="9" t="s">
        <v>32234</v>
      </c>
      <c r="O9780" s="10">
        <f>IFERROR(__xludf.DUMMYFUNCTION("VALUE(REGEXEXTRACT(A9780, ""\d+""))"),14375.0)</f>
        <v>14375</v>
      </c>
    </row>
    <row r="9781">
      <c r="A9781" s="9" t="s">
        <v>32235</v>
      </c>
      <c r="B9781" s="9" t="s">
        <v>32236</v>
      </c>
      <c r="G9781" s="9" t="s">
        <v>32237</v>
      </c>
      <c r="O9781" s="10">
        <f>IFERROR(__xludf.DUMMYFUNCTION("VALUE(REGEXEXTRACT(A9781, ""\d+""))"),14376.0)</f>
        <v>14376</v>
      </c>
    </row>
    <row r="9782">
      <c r="A9782" s="9" t="s">
        <v>32238</v>
      </c>
      <c r="B9782" s="9" t="s">
        <v>32239</v>
      </c>
      <c r="G9782" s="9" t="s">
        <v>32240</v>
      </c>
      <c r="O9782" s="10">
        <f>IFERROR(__xludf.DUMMYFUNCTION("VALUE(REGEXEXTRACT(A9782, ""\d+""))"),14377.0)</f>
        <v>14377</v>
      </c>
    </row>
    <row r="9783">
      <c r="A9783" s="9" t="s">
        <v>32241</v>
      </c>
      <c r="B9783" s="9" t="s">
        <v>32242</v>
      </c>
      <c r="G9783" s="9" t="s">
        <v>32243</v>
      </c>
      <c r="O9783" s="10">
        <f>IFERROR(__xludf.DUMMYFUNCTION("VALUE(REGEXEXTRACT(A9783, ""\d+""))"),14378.0)</f>
        <v>14378</v>
      </c>
    </row>
    <row r="9784">
      <c r="A9784" s="9" t="s">
        <v>32244</v>
      </c>
      <c r="B9784" s="9" t="s">
        <v>32245</v>
      </c>
      <c r="G9784" s="9" t="s">
        <v>32246</v>
      </c>
      <c r="O9784" s="10">
        <f>IFERROR(__xludf.DUMMYFUNCTION("VALUE(REGEXEXTRACT(A9784, ""\d+""))"),14379.0)</f>
        <v>14379</v>
      </c>
    </row>
    <row r="9785">
      <c r="A9785" s="9" t="s">
        <v>32247</v>
      </c>
      <c r="B9785" s="9" t="s">
        <v>32248</v>
      </c>
      <c r="G9785" s="9" t="s">
        <v>32249</v>
      </c>
      <c r="O9785" s="10">
        <f>IFERROR(__xludf.DUMMYFUNCTION("VALUE(REGEXEXTRACT(A9785, ""\d+""))"),14381.0)</f>
        <v>14381</v>
      </c>
    </row>
    <row r="9786">
      <c r="A9786" s="9" t="s">
        <v>32250</v>
      </c>
      <c r="B9786" s="9" t="s">
        <v>32251</v>
      </c>
      <c r="G9786" s="9" t="s">
        <v>32252</v>
      </c>
      <c r="O9786" s="10">
        <f>IFERROR(__xludf.DUMMYFUNCTION("VALUE(REGEXEXTRACT(A9786, ""\d+""))"),14383.0)</f>
        <v>14383</v>
      </c>
    </row>
    <row r="9787">
      <c r="A9787" s="9" t="s">
        <v>32253</v>
      </c>
      <c r="B9787" s="9" t="s">
        <v>32254</v>
      </c>
      <c r="G9787" s="9" t="s">
        <v>32255</v>
      </c>
      <c r="O9787" s="10">
        <f>IFERROR(__xludf.DUMMYFUNCTION("VALUE(REGEXEXTRACT(A9787, ""\d+""))"),14386.0)</f>
        <v>14386</v>
      </c>
    </row>
    <row r="9788">
      <c r="A9788" s="9" t="s">
        <v>32256</v>
      </c>
      <c r="B9788" s="9" t="s">
        <v>32257</v>
      </c>
      <c r="G9788" s="9" t="s">
        <v>32258</v>
      </c>
      <c r="O9788" s="10">
        <f>IFERROR(__xludf.DUMMYFUNCTION("VALUE(REGEXEXTRACT(A9788, ""\d+""))"),14387.0)</f>
        <v>14387</v>
      </c>
    </row>
    <row r="9789">
      <c r="A9789" s="9" t="s">
        <v>32259</v>
      </c>
      <c r="B9789" s="9" t="s">
        <v>32260</v>
      </c>
      <c r="G9789" s="9" t="s">
        <v>32261</v>
      </c>
      <c r="O9789" s="10">
        <f>IFERROR(__xludf.DUMMYFUNCTION("VALUE(REGEXEXTRACT(A9789, ""\d+""))"),14390.0)</f>
        <v>14390</v>
      </c>
    </row>
    <row r="9790">
      <c r="A9790" s="9" t="s">
        <v>32262</v>
      </c>
      <c r="B9790" s="9" t="s">
        <v>32263</v>
      </c>
      <c r="G9790" s="9" t="s">
        <v>32264</v>
      </c>
      <c r="O9790" s="10">
        <f>IFERROR(__xludf.DUMMYFUNCTION("VALUE(REGEXEXTRACT(A9790, ""\d+""))"),14391.0)</f>
        <v>14391</v>
      </c>
    </row>
    <row r="9791">
      <c r="A9791" s="9" t="s">
        <v>32265</v>
      </c>
      <c r="B9791" s="9" t="s">
        <v>32266</v>
      </c>
      <c r="G9791" s="9" t="s">
        <v>32267</v>
      </c>
      <c r="O9791" s="10">
        <f>IFERROR(__xludf.DUMMYFUNCTION("VALUE(REGEXEXTRACT(A9791, ""\d+""))"),14392.0)</f>
        <v>14392</v>
      </c>
    </row>
    <row r="9792">
      <c r="A9792" s="9" t="s">
        <v>32268</v>
      </c>
      <c r="B9792" s="9" t="s">
        <v>32269</v>
      </c>
      <c r="G9792" s="9" t="s">
        <v>32270</v>
      </c>
      <c r="O9792" s="10">
        <f>IFERROR(__xludf.DUMMYFUNCTION("VALUE(REGEXEXTRACT(A9792, ""\d+""))"),14393.0)</f>
        <v>14393</v>
      </c>
    </row>
    <row r="9793">
      <c r="A9793" s="9" t="s">
        <v>32271</v>
      </c>
      <c r="B9793" s="9" t="s">
        <v>32272</v>
      </c>
      <c r="G9793" s="9" t="s">
        <v>32273</v>
      </c>
      <c r="O9793" s="10">
        <f>IFERROR(__xludf.DUMMYFUNCTION("VALUE(REGEXEXTRACT(A9793, ""\d+""))"),14394.0)</f>
        <v>14394</v>
      </c>
    </row>
    <row r="9794">
      <c r="A9794" s="9" t="s">
        <v>32274</v>
      </c>
      <c r="B9794" s="9" t="s">
        <v>32275</v>
      </c>
      <c r="G9794" s="9" t="s">
        <v>32276</v>
      </c>
      <c r="O9794" s="10">
        <f>IFERROR(__xludf.DUMMYFUNCTION("VALUE(REGEXEXTRACT(A9794, ""\d+""))"),14395.0)</f>
        <v>14395</v>
      </c>
    </row>
    <row r="9795">
      <c r="A9795" s="9" t="s">
        <v>32277</v>
      </c>
      <c r="B9795" s="9" t="s">
        <v>32278</v>
      </c>
      <c r="G9795" s="9" t="s">
        <v>32279</v>
      </c>
      <c r="O9795" s="10">
        <f>IFERROR(__xludf.DUMMYFUNCTION("VALUE(REGEXEXTRACT(A9795, ""\d+""))"),14396.0)</f>
        <v>14396</v>
      </c>
    </row>
    <row r="9796">
      <c r="A9796" s="9" t="s">
        <v>32280</v>
      </c>
      <c r="B9796" s="9" t="s">
        <v>32281</v>
      </c>
      <c r="G9796" s="9" t="s">
        <v>32282</v>
      </c>
      <c r="O9796" s="10">
        <f>IFERROR(__xludf.DUMMYFUNCTION("VALUE(REGEXEXTRACT(A9796, ""\d+""))"),14397.0)</f>
        <v>14397</v>
      </c>
    </row>
    <row r="9797">
      <c r="A9797" s="9" t="s">
        <v>32283</v>
      </c>
      <c r="B9797" s="9" t="s">
        <v>32284</v>
      </c>
      <c r="G9797" s="9" t="s">
        <v>32285</v>
      </c>
      <c r="O9797" s="10">
        <f>IFERROR(__xludf.DUMMYFUNCTION("VALUE(REGEXEXTRACT(A9797, ""\d+""))"),14398.0)</f>
        <v>14398</v>
      </c>
    </row>
    <row r="9798">
      <c r="A9798" s="9" t="s">
        <v>32286</v>
      </c>
      <c r="B9798" s="9" t="s">
        <v>32287</v>
      </c>
      <c r="G9798" s="9" t="s">
        <v>32288</v>
      </c>
      <c r="O9798" s="10">
        <f>IFERROR(__xludf.DUMMYFUNCTION("VALUE(REGEXEXTRACT(A9798, ""\d+""))"),14399.0)</f>
        <v>14399</v>
      </c>
    </row>
    <row r="9799">
      <c r="A9799" s="9" t="s">
        <v>32289</v>
      </c>
      <c r="B9799" s="9" t="s">
        <v>32290</v>
      </c>
      <c r="G9799" s="9" t="s">
        <v>32291</v>
      </c>
      <c r="O9799" s="10">
        <f>IFERROR(__xludf.DUMMYFUNCTION("VALUE(REGEXEXTRACT(A9799, ""\d+""))"),14400.0)</f>
        <v>14400</v>
      </c>
    </row>
    <row r="9800">
      <c r="A9800" s="9" t="s">
        <v>32292</v>
      </c>
      <c r="B9800" s="9" t="s">
        <v>32293</v>
      </c>
      <c r="G9800" s="9" t="s">
        <v>32294</v>
      </c>
      <c r="O9800" s="10">
        <f>IFERROR(__xludf.DUMMYFUNCTION("VALUE(REGEXEXTRACT(A9800, ""\d+""))"),14401.0)</f>
        <v>14401</v>
      </c>
    </row>
    <row r="9801">
      <c r="A9801" s="9" t="s">
        <v>32295</v>
      </c>
      <c r="B9801" s="9" t="s">
        <v>32296</v>
      </c>
      <c r="G9801" s="9" t="s">
        <v>32297</v>
      </c>
      <c r="O9801" s="10">
        <f>IFERROR(__xludf.DUMMYFUNCTION("VALUE(REGEXEXTRACT(A9801, ""\d+""))"),14402.0)</f>
        <v>14402</v>
      </c>
    </row>
    <row r="9802">
      <c r="A9802" s="9" t="s">
        <v>32298</v>
      </c>
      <c r="B9802" s="9" t="s">
        <v>32299</v>
      </c>
      <c r="G9802" s="9" t="s">
        <v>32300</v>
      </c>
      <c r="O9802" s="10">
        <f>IFERROR(__xludf.DUMMYFUNCTION("VALUE(REGEXEXTRACT(A9802, ""\d+""))"),14403.0)</f>
        <v>14403</v>
      </c>
    </row>
    <row r="9803">
      <c r="A9803" s="9" t="s">
        <v>32301</v>
      </c>
      <c r="B9803" s="9" t="s">
        <v>32302</v>
      </c>
      <c r="G9803" s="9" t="s">
        <v>32303</v>
      </c>
      <c r="O9803" s="10">
        <f>IFERROR(__xludf.DUMMYFUNCTION("VALUE(REGEXEXTRACT(A9803, ""\d+""))"),14404.0)</f>
        <v>14404</v>
      </c>
    </row>
    <row r="9804">
      <c r="A9804" s="9" t="s">
        <v>32304</v>
      </c>
      <c r="B9804" s="9" t="s">
        <v>32305</v>
      </c>
      <c r="G9804" s="9" t="s">
        <v>32306</v>
      </c>
      <c r="O9804" s="10">
        <f>IFERROR(__xludf.DUMMYFUNCTION("VALUE(REGEXEXTRACT(A9804, ""\d+""))"),14405.0)</f>
        <v>14405</v>
      </c>
    </row>
    <row r="9805">
      <c r="A9805" s="9" t="s">
        <v>32307</v>
      </c>
      <c r="B9805" s="9" t="s">
        <v>32308</v>
      </c>
      <c r="G9805" s="9" t="s">
        <v>32309</v>
      </c>
      <c r="O9805" s="10">
        <f>IFERROR(__xludf.DUMMYFUNCTION("VALUE(REGEXEXTRACT(A9805, ""\d+""))"),14406.0)</f>
        <v>14406</v>
      </c>
    </row>
    <row r="9806">
      <c r="A9806" s="9" t="s">
        <v>32310</v>
      </c>
      <c r="B9806" s="9" t="s">
        <v>32311</v>
      </c>
      <c r="G9806" s="9" t="s">
        <v>32312</v>
      </c>
      <c r="O9806" s="10">
        <f>IFERROR(__xludf.DUMMYFUNCTION("VALUE(REGEXEXTRACT(A9806, ""\d+""))"),14407.0)</f>
        <v>14407</v>
      </c>
    </row>
    <row r="9807">
      <c r="A9807" s="9" t="s">
        <v>32313</v>
      </c>
      <c r="B9807" s="9" t="s">
        <v>32314</v>
      </c>
      <c r="G9807" s="9" t="s">
        <v>32315</v>
      </c>
      <c r="O9807" s="10">
        <f>IFERROR(__xludf.DUMMYFUNCTION("VALUE(REGEXEXTRACT(A9807, ""\d+""))"),14408.0)</f>
        <v>14408</v>
      </c>
    </row>
    <row r="9808">
      <c r="A9808" s="9" t="s">
        <v>32316</v>
      </c>
      <c r="B9808" s="9" t="s">
        <v>32317</v>
      </c>
      <c r="G9808" s="9" t="s">
        <v>32318</v>
      </c>
      <c r="O9808" s="10">
        <f>IFERROR(__xludf.DUMMYFUNCTION("VALUE(REGEXEXTRACT(A9808, ""\d+""))"),14409.0)</f>
        <v>14409</v>
      </c>
    </row>
    <row r="9809">
      <c r="A9809" s="9" t="s">
        <v>32319</v>
      </c>
      <c r="B9809" s="9" t="s">
        <v>32320</v>
      </c>
      <c r="G9809" s="9" t="s">
        <v>32321</v>
      </c>
      <c r="O9809" s="10">
        <f>IFERROR(__xludf.DUMMYFUNCTION("VALUE(REGEXEXTRACT(A9809, ""\d+""))"),14410.0)</f>
        <v>14410</v>
      </c>
    </row>
    <row r="9810">
      <c r="A9810" s="9" t="s">
        <v>32322</v>
      </c>
      <c r="B9810" s="9" t="s">
        <v>32323</v>
      </c>
      <c r="G9810" s="9" t="s">
        <v>32324</v>
      </c>
      <c r="O9810" s="10">
        <f>IFERROR(__xludf.DUMMYFUNCTION("VALUE(REGEXEXTRACT(A9810, ""\d+""))"),14411.0)</f>
        <v>14411</v>
      </c>
    </row>
    <row r="9811">
      <c r="A9811" s="9" t="s">
        <v>32325</v>
      </c>
      <c r="B9811" s="9" t="s">
        <v>32326</v>
      </c>
      <c r="G9811" s="9" t="s">
        <v>32327</v>
      </c>
      <c r="O9811" s="10">
        <f>IFERROR(__xludf.DUMMYFUNCTION("VALUE(REGEXEXTRACT(A9811, ""\d+""))"),14412.0)</f>
        <v>14412</v>
      </c>
    </row>
    <row r="9812">
      <c r="A9812" s="9" t="s">
        <v>32328</v>
      </c>
      <c r="B9812" s="9" t="s">
        <v>32329</v>
      </c>
      <c r="G9812" s="9" t="s">
        <v>32330</v>
      </c>
      <c r="O9812" s="10">
        <f>IFERROR(__xludf.DUMMYFUNCTION("VALUE(REGEXEXTRACT(A9812, ""\d+""))"),14413.0)</f>
        <v>14413</v>
      </c>
    </row>
    <row r="9813">
      <c r="A9813" s="9" t="s">
        <v>32331</v>
      </c>
      <c r="B9813" s="9" t="s">
        <v>32332</v>
      </c>
      <c r="G9813" s="9" t="s">
        <v>32333</v>
      </c>
      <c r="O9813" s="10">
        <f>IFERROR(__xludf.DUMMYFUNCTION("VALUE(REGEXEXTRACT(A9813, ""\d+""))"),14414.0)</f>
        <v>14414</v>
      </c>
    </row>
    <row r="9814">
      <c r="A9814" s="9" t="s">
        <v>32334</v>
      </c>
      <c r="B9814" s="9" t="s">
        <v>32335</v>
      </c>
      <c r="G9814" s="9" t="s">
        <v>32336</v>
      </c>
      <c r="O9814" s="10">
        <f>IFERROR(__xludf.DUMMYFUNCTION("VALUE(REGEXEXTRACT(A9814, ""\d+""))"),14415.0)</f>
        <v>14415</v>
      </c>
    </row>
    <row r="9815">
      <c r="A9815" s="9" t="s">
        <v>32337</v>
      </c>
      <c r="B9815" s="9" t="s">
        <v>32338</v>
      </c>
      <c r="G9815" s="9" t="s">
        <v>32339</v>
      </c>
      <c r="O9815" s="10">
        <f>IFERROR(__xludf.DUMMYFUNCTION("VALUE(REGEXEXTRACT(A9815, ""\d+""))"),14416.0)</f>
        <v>14416</v>
      </c>
    </row>
    <row r="9816">
      <c r="A9816" s="9" t="s">
        <v>32340</v>
      </c>
      <c r="B9816" s="9" t="s">
        <v>32341</v>
      </c>
      <c r="G9816" s="9" t="s">
        <v>32342</v>
      </c>
      <c r="O9816" s="10">
        <f>IFERROR(__xludf.DUMMYFUNCTION("VALUE(REGEXEXTRACT(A9816, ""\d+""))"),14417.0)</f>
        <v>14417</v>
      </c>
    </row>
    <row r="9817">
      <c r="A9817" s="9" t="s">
        <v>32343</v>
      </c>
      <c r="B9817" s="9" t="s">
        <v>32344</v>
      </c>
      <c r="G9817" s="9" t="s">
        <v>32345</v>
      </c>
      <c r="O9817" s="10">
        <f>IFERROR(__xludf.DUMMYFUNCTION("VALUE(REGEXEXTRACT(A9817, ""\d+""))"),14418.0)</f>
        <v>14418</v>
      </c>
    </row>
    <row r="9818">
      <c r="A9818" s="9" t="s">
        <v>32346</v>
      </c>
      <c r="B9818" s="9" t="s">
        <v>32347</v>
      </c>
      <c r="G9818" s="9" t="s">
        <v>32348</v>
      </c>
      <c r="O9818" s="10">
        <f>IFERROR(__xludf.DUMMYFUNCTION("VALUE(REGEXEXTRACT(A9818, ""\d+""))"),14419.0)</f>
        <v>14419</v>
      </c>
    </row>
    <row r="9819">
      <c r="A9819" s="9" t="s">
        <v>32349</v>
      </c>
      <c r="B9819" s="9" t="s">
        <v>32350</v>
      </c>
      <c r="G9819" s="9" t="s">
        <v>32351</v>
      </c>
      <c r="O9819" s="10">
        <f>IFERROR(__xludf.DUMMYFUNCTION("VALUE(REGEXEXTRACT(A9819, ""\d+""))"),14420.0)</f>
        <v>14420</v>
      </c>
    </row>
    <row r="9820">
      <c r="A9820" s="9" t="s">
        <v>32352</v>
      </c>
      <c r="B9820" s="9" t="s">
        <v>32353</v>
      </c>
      <c r="G9820" s="9" t="s">
        <v>32354</v>
      </c>
      <c r="O9820" s="10">
        <f>IFERROR(__xludf.DUMMYFUNCTION("VALUE(REGEXEXTRACT(A9820, ""\d+""))"),14421.0)</f>
        <v>14421</v>
      </c>
    </row>
    <row r="9821">
      <c r="A9821" s="9" t="s">
        <v>32355</v>
      </c>
      <c r="B9821" s="9" t="s">
        <v>32356</v>
      </c>
      <c r="G9821" s="9" t="s">
        <v>32357</v>
      </c>
      <c r="O9821" s="10">
        <f>IFERROR(__xludf.DUMMYFUNCTION("VALUE(REGEXEXTRACT(A9821, ""\d+""))"),14422.0)</f>
        <v>14422</v>
      </c>
    </row>
    <row r="9822">
      <c r="A9822" s="9" t="s">
        <v>32358</v>
      </c>
      <c r="B9822" s="9" t="s">
        <v>32359</v>
      </c>
      <c r="G9822" s="9" t="s">
        <v>32360</v>
      </c>
      <c r="O9822" s="10">
        <f>IFERROR(__xludf.DUMMYFUNCTION("VALUE(REGEXEXTRACT(A9822, ""\d+""))"),14423.0)</f>
        <v>14423</v>
      </c>
    </row>
    <row r="9823">
      <c r="A9823" s="9" t="s">
        <v>32361</v>
      </c>
      <c r="B9823" s="9" t="s">
        <v>32362</v>
      </c>
      <c r="G9823" s="9" t="s">
        <v>32363</v>
      </c>
      <c r="O9823" s="10">
        <f>IFERROR(__xludf.DUMMYFUNCTION("VALUE(REGEXEXTRACT(A9823, ""\d+""))"),14424.0)</f>
        <v>14424</v>
      </c>
    </row>
    <row r="9824">
      <c r="A9824" s="9" t="s">
        <v>32364</v>
      </c>
      <c r="B9824" s="9" t="s">
        <v>32365</v>
      </c>
      <c r="G9824" s="9" t="s">
        <v>32366</v>
      </c>
      <c r="O9824" s="10">
        <f>IFERROR(__xludf.DUMMYFUNCTION("VALUE(REGEXEXTRACT(A9824, ""\d+""))"),14425.0)</f>
        <v>14425</v>
      </c>
    </row>
    <row r="9825">
      <c r="A9825" s="9" t="s">
        <v>32367</v>
      </c>
      <c r="B9825" s="9" t="s">
        <v>32368</v>
      </c>
      <c r="G9825" s="9" t="s">
        <v>32369</v>
      </c>
      <c r="O9825" s="10">
        <f>IFERROR(__xludf.DUMMYFUNCTION("VALUE(REGEXEXTRACT(A9825, ""\d+""))"),14426.0)</f>
        <v>14426</v>
      </c>
    </row>
    <row r="9826">
      <c r="A9826" s="9" t="s">
        <v>32370</v>
      </c>
      <c r="B9826" s="9" t="s">
        <v>32371</v>
      </c>
      <c r="G9826" s="9" t="s">
        <v>32372</v>
      </c>
      <c r="O9826" s="10">
        <f>IFERROR(__xludf.DUMMYFUNCTION("VALUE(REGEXEXTRACT(A9826, ""\d+""))"),14427.0)</f>
        <v>14427</v>
      </c>
    </row>
    <row r="9827">
      <c r="A9827" s="9" t="s">
        <v>32373</v>
      </c>
      <c r="B9827" s="9" t="s">
        <v>32374</v>
      </c>
      <c r="G9827" s="9" t="s">
        <v>32375</v>
      </c>
      <c r="O9827" s="10">
        <f>IFERROR(__xludf.DUMMYFUNCTION("VALUE(REGEXEXTRACT(A9827, ""\d+""))"),14428.0)</f>
        <v>14428</v>
      </c>
    </row>
    <row r="9828">
      <c r="A9828" s="9" t="s">
        <v>32376</v>
      </c>
      <c r="B9828" s="9" t="s">
        <v>32377</v>
      </c>
      <c r="G9828" s="9" t="s">
        <v>32378</v>
      </c>
      <c r="O9828" s="10">
        <f>IFERROR(__xludf.DUMMYFUNCTION("VALUE(REGEXEXTRACT(A9828, ""\d+""))"),14429.0)</f>
        <v>14429</v>
      </c>
    </row>
    <row r="9829">
      <c r="A9829" s="9" t="s">
        <v>32379</v>
      </c>
      <c r="B9829" s="9" t="s">
        <v>32377</v>
      </c>
      <c r="G9829" s="9" t="s">
        <v>32378</v>
      </c>
      <c r="O9829" s="10">
        <f>IFERROR(__xludf.DUMMYFUNCTION("VALUE(REGEXEXTRACT(A9829, ""\d+""))"),14430.0)</f>
        <v>14430</v>
      </c>
    </row>
    <row r="9830">
      <c r="A9830" s="9" t="s">
        <v>32380</v>
      </c>
      <c r="B9830" s="9" t="s">
        <v>32381</v>
      </c>
      <c r="G9830" s="16" t="s">
        <v>32382</v>
      </c>
      <c r="O9830" s="10">
        <f>IFERROR(__xludf.DUMMYFUNCTION("VALUE(REGEXEXTRACT(A9830, ""\d+""))"),14431.0)</f>
        <v>14431</v>
      </c>
    </row>
    <row r="9831">
      <c r="A9831" s="9" t="s">
        <v>32383</v>
      </c>
      <c r="B9831" s="9" t="s">
        <v>32384</v>
      </c>
      <c r="G9831" s="16" t="s">
        <v>32385</v>
      </c>
      <c r="O9831" s="10">
        <f>IFERROR(__xludf.DUMMYFUNCTION("VALUE(REGEXEXTRACT(A9831, ""\d+""))"),14432.0)</f>
        <v>14432</v>
      </c>
    </row>
    <row r="9832">
      <c r="A9832" s="9" t="s">
        <v>32386</v>
      </c>
      <c r="B9832" s="9" t="s">
        <v>32387</v>
      </c>
      <c r="G9832" s="16" t="s">
        <v>32388</v>
      </c>
      <c r="O9832" s="10">
        <f>IFERROR(__xludf.DUMMYFUNCTION("VALUE(REGEXEXTRACT(A9832, ""\d+""))"),14433.0)</f>
        <v>14433</v>
      </c>
    </row>
    <row r="9833">
      <c r="A9833" s="9" t="s">
        <v>32389</v>
      </c>
      <c r="B9833" s="9" t="s">
        <v>32390</v>
      </c>
      <c r="G9833" s="16" t="s">
        <v>32391</v>
      </c>
      <c r="O9833" s="10">
        <f>IFERROR(__xludf.DUMMYFUNCTION("VALUE(REGEXEXTRACT(A9833, ""\d+""))"),14434.0)</f>
        <v>14434</v>
      </c>
    </row>
    <row r="9834">
      <c r="A9834" s="9" t="s">
        <v>32392</v>
      </c>
      <c r="B9834" s="9" t="s">
        <v>32393</v>
      </c>
      <c r="G9834" s="16" t="s">
        <v>32394</v>
      </c>
      <c r="O9834" s="10">
        <f>IFERROR(__xludf.DUMMYFUNCTION("VALUE(REGEXEXTRACT(A9834, ""\d+""))"),14435.0)</f>
        <v>14435</v>
      </c>
    </row>
    <row r="9835">
      <c r="A9835" s="9" t="s">
        <v>32395</v>
      </c>
      <c r="B9835" s="9" t="s">
        <v>32396</v>
      </c>
      <c r="G9835" s="9" t="s">
        <v>32397</v>
      </c>
      <c r="O9835" s="10">
        <f>IFERROR(__xludf.DUMMYFUNCTION("VALUE(REGEXEXTRACT(A9835, ""\d+""))"),14436.0)</f>
        <v>14436</v>
      </c>
    </row>
    <row r="9836">
      <c r="A9836" s="9" t="s">
        <v>32398</v>
      </c>
      <c r="B9836" s="9" t="s">
        <v>32399</v>
      </c>
      <c r="G9836" s="9" t="s">
        <v>32400</v>
      </c>
      <c r="O9836" s="10">
        <f>IFERROR(__xludf.DUMMYFUNCTION("VALUE(REGEXEXTRACT(A9836, ""\d+""))"),14437.0)</f>
        <v>14437</v>
      </c>
    </row>
    <row r="9837">
      <c r="A9837" s="9" t="s">
        <v>32401</v>
      </c>
      <c r="B9837" s="9" t="s">
        <v>32402</v>
      </c>
      <c r="G9837" s="9" t="s">
        <v>32403</v>
      </c>
      <c r="O9837" s="10">
        <f>IFERROR(__xludf.DUMMYFUNCTION("VALUE(REGEXEXTRACT(A9837, ""\d+""))"),14439.0)</f>
        <v>14439</v>
      </c>
    </row>
    <row r="9838">
      <c r="A9838" s="9" t="s">
        <v>32404</v>
      </c>
      <c r="B9838" s="9" t="s">
        <v>32405</v>
      </c>
      <c r="G9838" s="9" t="s">
        <v>32406</v>
      </c>
      <c r="O9838" s="10">
        <f>IFERROR(__xludf.DUMMYFUNCTION("VALUE(REGEXEXTRACT(A9838, ""\d+""))"),14440.0)</f>
        <v>14440</v>
      </c>
    </row>
    <row r="9839">
      <c r="A9839" s="9" t="s">
        <v>32407</v>
      </c>
      <c r="B9839" s="9" t="s">
        <v>32408</v>
      </c>
      <c r="G9839" s="9" t="s">
        <v>32409</v>
      </c>
      <c r="O9839" s="10">
        <f>IFERROR(__xludf.DUMMYFUNCTION("VALUE(REGEXEXTRACT(A9839, ""\d+""))"),14451.0)</f>
        <v>14451</v>
      </c>
    </row>
    <row r="9840">
      <c r="A9840" s="9" t="s">
        <v>32410</v>
      </c>
      <c r="B9840" s="9" t="s">
        <v>32411</v>
      </c>
      <c r="G9840" s="9" t="s">
        <v>32412</v>
      </c>
      <c r="O9840" s="10">
        <f>IFERROR(__xludf.DUMMYFUNCTION("VALUE(REGEXEXTRACT(A9840, ""\d+""))"),14452.0)</f>
        <v>14452</v>
      </c>
    </row>
    <row r="9841">
      <c r="A9841" s="9" t="s">
        <v>32413</v>
      </c>
      <c r="B9841" s="9" t="s">
        <v>32414</v>
      </c>
      <c r="G9841" s="9" t="s">
        <v>32415</v>
      </c>
      <c r="O9841" s="10">
        <f>IFERROR(__xludf.DUMMYFUNCTION("VALUE(REGEXEXTRACT(A9841, ""\d+""))"),14453.0)</f>
        <v>14453</v>
      </c>
    </row>
    <row r="9842">
      <c r="A9842" s="9" t="s">
        <v>32416</v>
      </c>
      <c r="B9842" s="9" t="s">
        <v>32417</v>
      </c>
      <c r="G9842" s="9" t="s">
        <v>32418</v>
      </c>
      <c r="O9842" s="10">
        <f>IFERROR(__xludf.DUMMYFUNCTION("VALUE(REGEXEXTRACT(A9842, ""\d+""))"),14455.0)</f>
        <v>14455</v>
      </c>
    </row>
    <row r="9843">
      <c r="A9843" s="9" t="s">
        <v>32419</v>
      </c>
      <c r="B9843" s="9" t="s">
        <v>32420</v>
      </c>
      <c r="G9843" s="9" t="s">
        <v>32421</v>
      </c>
      <c r="O9843" s="10">
        <f>IFERROR(__xludf.DUMMYFUNCTION("VALUE(REGEXEXTRACT(A9843, ""\d+""))"),14456.0)</f>
        <v>14456</v>
      </c>
    </row>
    <row r="9844">
      <c r="A9844" s="9" t="s">
        <v>32422</v>
      </c>
      <c r="B9844" s="9" t="s">
        <v>32423</v>
      </c>
      <c r="G9844" s="9" t="s">
        <v>32424</v>
      </c>
      <c r="O9844" s="10">
        <f>IFERROR(__xludf.DUMMYFUNCTION("VALUE(REGEXEXTRACT(A9844, ""\d+""))"),14457.0)</f>
        <v>14457</v>
      </c>
    </row>
    <row r="9845">
      <c r="A9845" s="9" t="s">
        <v>32425</v>
      </c>
      <c r="B9845" s="9" t="s">
        <v>32426</v>
      </c>
      <c r="G9845" s="9" t="s">
        <v>32427</v>
      </c>
      <c r="O9845" s="10">
        <f>IFERROR(__xludf.DUMMYFUNCTION("VALUE(REGEXEXTRACT(A9845, ""\d+""))"),14460.0)</f>
        <v>14460</v>
      </c>
    </row>
    <row r="9846">
      <c r="A9846" s="9" t="s">
        <v>32428</v>
      </c>
      <c r="B9846" s="9" t="s">
        <v>32429</v>
      </c>
      <c r="G9846" s="9" t="s">
        <v>32430</v>
      </c>
      <c r="O9846" s="10">
        <f>IFERROR(__xludf.DUMMYFUNCTION("VALUE(REGEXEXTRACT(A9846, ""\d+""))"),14463.0)</f>
        <v>14463</v>
      </c>
    </row>
    <row r="9847">
      <c r="A9847" s="9" t="s">
        <v>32431</v>
      </c>
      <c r="B9847" s="9" t="s">
        <v>32432</v>
      </c>
      <c r="G9847" s="9" t="s">
        <v>32433</v>
      </c>
      <c r="O9847" s="10">
        <f>IFERROR(__xludf.DUMMYFUNCTION("VALUE(REGEXEXTRACT(A9847, ""\d+""))"),14464.0)</f>
        <v>14464</v>
      </c>
    </row>
    <row r="9848">
      <c r="A9848" s="9" t="s">
        <v>32434</v>
      </c>
      <c r="B9848" s="9" t="s">
        <v>32435</v>
      </c>
      <c r="G9848" s="9" t="s">
        <v>32436</v>
      </c>
      <c r="O9848" s="10">
        <f>IFERROR(__xludf.DUMMYFUNCTION("VALUE(REGEXEXTRACT(A9848, ""\d+""))"),14465.0)</f>
        <v>14465</v>
      </c>
    </row>
    <row r="9849">
      <c r="A9849" s="9" t="s">
        <v>32437</v>
      </c>
      <c r="B9849" s="9" t="s">
        <v>32438</v>
      </c>
      <c r="G9849" s="9" t="s">
        <v>32439</v>
      </c>
      <c r="O9849" s="10">
        <f>IFERROR(__xludf.DUMMYFUNCTION("VALUE(REGEXEXTRACT(A9849, ""\d+""))"),14466.0)</f>
        <v>14466</v>
      </c>
    </row>
    <row r="9850">
      <c r="A9850" s="9" t="s">
        <v>32440</v>
      </c>
      <c r="B9850" s="9" t="s">
        <v>32441</v>
      </c>
      <c r="G9850" s="9" t="s">
        <v>32441</v>
      </c>
      <c r="O9850" s="10">
        <f>IFERROR(__xludf.DUMMYFUNCTION("VALUE(REGEXEXTRACT(A9850, ""\d+""))"),14468.0)</f>
        <v>14468</v>
      </c>
    </row>
    <row r="9851">
      <c r="A9851" s="9" t="s">
        <v>32442</v>
      </c>
      <c r="B9851" s="9" t="s">
        <v>32443</v>
      </c>
      <c r="G9851" s="9" t="s">
        <v>32443</v>
      </c>
      <c r="O9851" s="10">
        <f>IFERROR(__xludf.DUMMYFUNCTION("VALUE(REGEXEXTRACT(A9851, ""\d+""))"),14469.0)</f>
        <v>14469</v>
      </c>
    </row>
    <row r="9852">
      <c r="A9852" s="9" t="s">
        <v>32444</v>
      </c>
      <c r="B9852" s="9" t="s">
        <v>32445</v>
      </c>
      <c r="G9852" s="9" t="s">
        <v>32445</v>
      </c>
      <c r="O9852" s="10">
        <f>IFERROR(__xludf.DUMMYFUNCTION("VALUE(REGEXEXTRACT(A9852, ""\d+""))"),14470.0)</f>
        <v>14470</v>
      </c>
    </row>
    <row r="9853">
      <c r="A9853" s="9" t="s">
        <v>32446</v>
      </c>
      <c r="B9853" s="9" t="s">
        <v>32447</v>
      </c>
      <c r="G9853" s="9" t="s">
        <v>32448</v>
      </c>
      <c r="O9853" s="10">
        <f>IFERROR(__xludf.DUMMYFUNCTION("VALUE(REGEXEXTRACT(A9853, ""\d+""))"),14471.0)</f>
        <v>14471</v>
      </c>
    </row>
    <row r="9854">
      <c r="A9854" s="9" t="s">
        <v>32449</v>
      </c>
      <c r="B9854" s="9" t="s">
        <v>32450</v>
      </c>
      <c r="G9854" s="9" t="s">
        <v>32451</v>
      </c>
      <c r="O9854" s="10">
        <f>IFERROR(__xludf.DUMMYFUNCTION("VALUE(REGEXEXTRACT(A9854, ""\d+""))"),14472.0)</f>
        <v>14472</v>
      </c>
    </row>
    <row r="9855">
      <c r="A9855" s="9" t="s">
        <v>32452</v>
      </c>
      <c r="B9855" s="9" t="s">
        <v>32453</v>
      </c>
      <c r="G9855" s="9" t="s">
        <v>32454</v>
      </c>
      <c r="O9855" s="10">
        <f>IFERROR(__xludf.DUMMYFUNCTION("VALUE(REGEXEXTRACT(A9855, ""\d+""))"),14473.0)</f>
        <v>14473</v>
      </c>
    </row>
    <row r="9856">
      <c r="A9856" s="9" t="s">
        <v>32455</v>
      </c>
      <c r="B9856" s="9" t="s">
        <v>32456</v>
      </c>
      <c r="G9856" s="9" t="s">
        <v>32457</v>
      </c>
      <c r="O9856" s="10">
        <f>IFERROR(__xludf.DUMMYFUNCTION("VALUE(REGEXEXTRACT(A9856, ""\d+""))"),14474.0)</f>
        <v>14474</v>
      </c>
    </row>
    <row r="9857">
      <c r="A9857" s="9" t="s">
        <v>32458</v>
      </c>
      <c r="B9857" s="9" t="s">
        <v>32459</v>
      </c>
      <c r="G9857" s="9" t="s">
        <v>32460</v>
      </c>
      <c r="O9857" s="10">
        <f>IFERROR(__xludf.DUMMYFUNCTION("VALUE(REGEXEXTRACT(A9857, ""\d+""))"),14475.0)</f>
        <v>14475</v>
      </c>
    </row>
    <row r="9858">
      <c r="A9858" s="9" t="s">
        <v>32461</v>
      </c>
      <c r="B9858" s="9" t="s">
        <v>32462</v>
      </c>
      <c r="G9858" s="9" t="s">
        <v>32463</v>
      </c>
      <c r="O9858" s="10">
        <f>IFERROR(__xludf.DUMMYFUNCTION("VALUE(REGEXEXTRACT(A9858, ""\d+""))"),14476.0)</f>
        <v>14476</v>
      </c>
    </row>
    <row r="9859">
      <c r="A9859" s="9" t="s">
        <v>32464</v>
      </c>
      <c r="B9859" s="9" t="s">
        <v>32465</v>
      </c>
      <c r="G9859" s="9" t="s">
        <v>32466</v>
      </c>
      <c r="O9859" s="10">
        <f>IFERROR(__xludf.DUMMYFUNCTION("VALUE(REGEXEXTRACT(A9859, ""\d+""))"),14477.0)</f>
        <v>14477</v>
      </c>
    </row>
    <row r="9860">
      <c r="A9860" s="9" t="s">
        <v>32467</v>
      </c>
      <c r="B9860" s="9" t="s">
        <v>32468</v>
      </c>
      <c r="G9860" s="9" t="s">
        <v>32469</v>
      </c>
      <c r="O9860" s="10">
        <f>IFERROR(__xludf.DUMMYFUNCTION("VALUE(REGEXEXTRACT(A9860, ""\d+""))"),14478.0)</f>
        <v>14478</v>
      </c>
    </row>
    <row r="9861">
      <c r="A9861" s="9" t="s">
        <v>32470</v>
      </c>
      <c r="B9861" s="9" t="s">
        <v>32471</v>
      </c>
      <c r="G9861" s="9" t="s">
        <v>32472</v>
      </c>
      <c r="O9861" s="10">
        <f>IFERROR(__xludf.DUMMYFUNCTION("VALUE(REGEXEXTRACT(A9861, ""\d+""))"),14479.0)</f>
        <v>14479</v>
      </c>
    </row>
    <row r="9862">
      <c r="A9862" s="9" t="s">
        <v>32473</v>
      </c>
      <c r="B9862" s="9" t="s">
        <v>32474</v>
      </c>
      <c r="G9862" s="9" t="s">
        <v>32475</v>
      </c>
      <c r="O9862" s="10">
        <f>IFERROR(__xludf.DUMMYFUNCTION("VALUE(REGEXEXTRACT(A9862, ""\d+""))"),14480.0)</f>
        <v>14480</v>
      </c>
    </row>
    <row r="9863">
      <c r="A9863" s="9" t="s">
        <v>32476</v>
      </c>
      <c r="B9863" s="9" t="s">
        <v>32477</v>
      </c>
      <c r="G9863" s="9" t="s">
        <v>32478</v>
      </c>
      <c r="O9863" s="10">
        <f>IFERROR(__xludf.DUMMYFUNCTION("VALUE(REGEXEXTRACT(A9863, ""\d+""))"),14481.0)</f>
        <v>14481</v>
      </c>
    </row>
    <row r="9864">
      <c r="A9864" s="9" t="s">
        <v>32479</v>
      </c>
      <c r="B9864" s="9" t="s">
        <v>32480</v>
      </c>
      <c r="G9864" s="9" t="s">
        <v>32481</v>
      </c>
      <c r="O9864" s="10">
        <f>IFERROR(__xludf.DUMMYFUNCTION("VALUE(REGEXEXTRACT(A9864, ""\d+""))"),14482.0)</f>
        <v>14482</v>
      </c>
    </row>
    <row r="9865">
      <c r="A9865" s="9" t="s">
        <v>32482</v>
      </c>
      <c r="B9865" s="9" t="s">
        <v>32483</v>
      </c>
      <c r="G9865" s="9" t="s">
        <v>32484</v>
      </c>
      <c r="O9865" s="10">
        <f>IFERROR(__xludf.DUMMYFUNCTION("VALUE(REGEXEXTRACT(A9865, ""\d+""))"),14483.0)</f>
        <v>14483</v>
      </c>
    </row>
    <row r="9866">
      <c r="A9866" s="9" t="s">
        <v>32485</v>
      </c>
      <c r="B9866" s="9" t="s">
        <v>32486</v>
      </c>
      <c r="G9866" s="9" t="s">
        <v>32487</v>
      </c>
      <c r="O9866" s="10">
        <f>IFERROR(__xludf.DUMMYFUNCTION("VALUE(REGEXEXTRACT(A9866, ""\d+""))"),14484.0)</f>
        <v>14484</v>
      </c>
    </row>
    <row r="9867">
      <c r="A9867" s="9" t="s">
        <v>32488</v>
      </c>
      <c r="B9867" s="9" t="s">
        <v>32489</v>
      </c>
      <c r="G9867" s="9" t="s">
        <v>32490</v>
      </c>
      <c r="O9867" s="10">
        <f>IFERROR(__xludf.DUMMYFUNCTION("VALUE(REGEXEXTRACT(A9867, ""\d+""))"),14485.0)</f>
        <v>14485</v>
      </c>
    </row>
    <row r="9868">
      <c r="A9868" s="9" t="s">
        <v>32491</v>
      </c>
      <c r="B9868" s="9" t="s">
        <v>32492</v>
      </c>
      <c r="G9868" s="9" t="s">
        <v>32493</v>
      </c>
      <c r="O9868" s="10">
        <f>IFERROR(__xludf.DUMMYFUNCTION("VALUE(REGEXEXTRACT(A9868, ""\d+""))"),14486.0)</f>
        <v>14486</v>
      </c>
    </row>
    <row r="9869">
      <c r="A9869" s="9" t="s">
        <v>32494</v>
      </c>
      <c r="B9869" s="9" t="s">
        <v>32495</v>
      </c>
      <c r="G9869" s="9" t="s">
        <v>32496</v>
      </c>
      <c r="O9869" s="10">
        <f>IFERROR(__xludf.DUMMYFUNCTION("VALUE(REGEXEXTRACT(A9869, ""\d+""))"),14487.0)</f>
        <v>14487</v>
      </c>
    </row>
    <row r="9870">
      <c r="A9870" s="9" t="s">
        <v>32497</v>
      </c>
      <c r="B9870" s="9" t="s">
        <v>32498</v>
      </c>
      <c r="G9870" s="9" t="s">
        <v>32499</v>
      </c>
      <c r="O9870" s="10">
        <f>IFERROR(__xludf.DUMMYFUNCTION("VALUE(REGEXEXTRACT(A9870, ""\d+""))"),14488.0)</f>
        <v>14488</v>
      </c>
    </row>
    <row r="9871">
      <c r="A9871" s="9" t="s">
        <v>32500</v>
      </c>
      <c r="B9871" s="9" t="s">
        <v>32501</v>
      </c>
      <c r="G9871" s="9" t="s">
        <v>32502</v>
      </c>
      <c r="O9871" s="10">
        <f>IFERROR(__xludf.DUMMYFUNCTION("VALUE(REGEXEXTRACT(A9871, ""\d+""))"),14489.0)</f>
        <v>14489</v>
      </c>
    </row>
    <row r="9872">
      <c r="A9872" s="9" t="s">
        <v>32503</v>
      </c>
      <c r="B9872" s="9" t="s">
        <v>32504</v>
      </c>
      <c r="G9872" s="9" t="s">
        <v>32505</v>
      </c>
      <c r="O9872" s="10">
        <f>IFERROR(__xludf.DUMMYFUNCTION("VALUE(REGEXEXTRACT(A9872, ""\d+""))"),14490.0)</f>
        <v>14490</v>
      </c>
    </row>
    <row r="9873">
      <c r="A9873" s="9" t="s">
        <v>32506</v>
      </c>
      <c r="B9873" s="9" t="s">
        <v>32507</v>
      </c>
      <c r="G9873" s="9" t="s">
        <v>32508</v>
      </c>
      <c r="O9873" s="10">
        <f>IFERROR(__xludf.DUMMYFUNCTION("VALUE(REGEXEXTRACT(A9873, ""\d+""))"),14491.0)</f>
        <v>14491</v>
      </c>
    </row>
    <row r="9874">
      <c r="A9874" s="9" t="s">
        <v>32509</v>
      </c>
      <c r="B9874" s="9" t="s">
        <v>32510</v>
      </c>
      <c r="G9874" s="9" t="s">
        <v>32511</v>
      </c>
      <c r="O9874" s="10">
        <f>IFERROR(__xludf.DUMMYFUNCTION("VALUE(REGEXEXTRACT(A9874, ""\d+""))"),14492.0)</f>
        <v>14492</v>
      </c>
    </row>
    <row r="9875">
      <c r="A9875" s="9" t="s">
        <v>32512</v>
      </c>
      <c r="B9875" s="9" t="s">
        <v>32513</v>
      </c>
      <c r="G9875" s="9" t="s">
        <v>32514</v>
      </c>
      <c r="O9875" s="10">
        <f>IFERROR(__xludf.DUMMYFUNCTION("VALUE(REGEXEXTRACT(A9875, ""\d+""))"),14493.0)</f>
        <v>14493</v>
      </c>
    </row>
    <row r="9876">
      <c r="A9876" s="9" t="s">
        <v>32515</v>
      </c>
      <c r="B9876" s="9" t="s">
        <v>32516</v>
      </c>
      <c r="G9876" s="9" t="s">
        <v>12601</v>
      </c>
      <c r="O9876" s="10">
        <f>IFERROR(__xludf.DUMMYFUNCTION("VALUE(REGEXEXTRACT(A9876, ""\d+""))"),14494.0)</f>
        <v>14494</v>
      </c>
    </row>
    <row r="9877">
      <c r="A9877" s="9" t="s">
        <v>32517</v>
      </c>
      <c r="B9877" s="9" t="s">
        <v>32518</v>
      </c>
      <c r="G9877" s="9" t="s">
        <v>32519</v>
      </c>
      <c r="O9877" s="10">
        <f>IFERROR(__xludf.DUMMYFUNCTION("VALUE(REGEXEXTRACT(A9877, ""\d+""))"),14495.0)</f>
        <v>14495</v>
      </c>
    </row>
    <row r="9878">
      <c r="A9878" s="9" t="s">
        <v>32520</v>
      </c>
      <c r="B9878" s="9" t="s">
        <v>32521</v>
      </c>
      <c r="G9878" s="9" t="s">
        <v>12601</v>
      </c>
      <c r="O9878" s="10">
        <f>IFERROR(__xludf.DUMMYFUNCTION("VALUE(REGEXEXTRACT(A9878, ""\d+""))"),14496.0)</f>
        <v>14496</v>
      </c>
    </row>
    <row r="9879">
      <c r="A9879" s="9" t="s">
        <v>32522</v>
      </c>
      <c r="B9879" s="9" t="s">
        <v>32523</v>
      </c>
      <c r="G9879" s="9" t="s">
        <v>32524</v>
      </c>
      <c r="O9879" s="10">
        <f>IFERROR(__xludf.DUMMYFUNCTION("VALUE(REGEXEXTRACT(A9879, ""\d+""))"),14497.0)</f>
        <v>14497</v>
      </c>
    </row>
    <row r="9880">
      <c r="A9880" s="9" t="s">
        <v>32525</v>
      </c>
      <c r="B9880" s="9" t="s">
        <v>32526</v>
      </c>
      <c r="G9880" s="9" t="s">
        <v>12601</v>
      </c>
      <c r="O9880" s="10">
        <f>IFERROR(__xludf.DUMMYFUNCTION("VALUE(REGEXEXTRACT(A9880, ""\d+""))"),14498.0)</f>
        <v>14498</v>
      </c>
    </row>
    <row r="9881">
      <c r="A9881" s="9" t="s">
        <v>32527</v>
      </c>
      <c r="B9881" s="9" t="s">
        <v>32528</v>
      </c>
      <c r="G9881" s="9" t="s">
        <v>32529</v>
      </c>
      <c r="O9881" s="10">
        <f>IFERROR(__xludf.DUMMYFUNCTION("VALUE(REGEXEXTRACT(A9881, ""\d+""))"),14499.0)</f>
        <v>14499</v>
      </c>
    </row>
    <row r="9882">
      <c r="A9882" s="9" t="s">
        <v>32530</v>
      </c>
      <c r="B9882" s="9" t="s">
        <v>32531</v>
      </c>
      <c r="G9882" s="9" t="s">
        <v>12601</v>
      </c>
      <c r="O9882" s="10">
        <f>IFERROR(__xludf.DUMMYFUNCTION("VALUE(REGEXEXTRACT(A9882, ""\d+""))"),14500.0)</f>
        <v>14500</v>
      </c>
    </row>
    <row r="9883">
      <c r="A9883" s="9" t="s">
        <v>32532</v>
      </c>
      <c r="B9883" s="9" t="s">
        <v>32533</v>
      </c>
      <c r="G9883" s="9" t="s">
        <v>32534</v>
      </c>
      <c r="O9883" s="10">
        <f>IFERROR(__xludf.DUMMYFUNCTION("VALUE(REGEXEXTRACT(A9883, ""\d+""))"),14501.0)</f>
        <v>14501</v>
      </c>
    </row>
    <row r="9884">
      <c r="A9884" s="9" t="s">
        <v>32535</v>
      </c>
      <c r="B9884" s="9" t="s">
        <v>32536</v>
      </c>
      <c r="G9884" s="9" t="s">
        <v>32537</v>
      </c>
      <c r="O9884" s="10">
        <f>IFERROR(__xludf.DUMMYFUNCTION("VALUE(REGEXEXTRACT(A9884, ""\d+""))"),14502.0)</f>
        <v>14502</v>
      </c>
    </row>
    <row r="9885">
      <c r="A9885" s="9" t="s">
        <v>32538</v>
      </c>
      <c r="B9885" s="9" t="s">
        <v>32539</v>
      </c>
      <c r="G9885" s="9" t="s">
        <v>32540</v>
      </c>
      <c r="O9885" s="10">
        <f>IFERROR(__xludf.DUMMYFUNCTION("VALUE(REGEXEXTRACT(A9885, ""\d+""))"),14503.0)</f>
        <v>14503</v>
      </c>
    </row>
    <row r="9886">
      <c r="A9886" s="9" t="s">
        <v>32541</v>
      </c>
      <c r="B9886" s="9" t="s">
        <v>32542</v>
      </c>
      <c r="G9886" s="9" t="s">
        <v>32543</v>
      </c>
      <c r="O9886" s="10">
        <f>IFERROR(__xludf.DUMMYFUNCTION("VALUE(REGEXEXTRACT(A9886, ""\d+""))"),14504.0)</f>
        <v>14504</v>
      </c>
    </row>
    <row r="9887">
      <c r="A9887" s="9" t="s">
        <v>32544</v>
      </c>
      <c r="B9887" s="9" t="s">
        <v>32545</v>
      </c>
      <c r="G9887" s="9" t="s">
        <v>32546</v>
      </c>
      <c r="O9887" s="10">
        <f>IFERROR(__xludf.DUMMYFUNCTION("VALUE(REGEXEXTRACT(A9887, ""\d+""))"),14505.0)</f>
        <v>14505</v>
      </c>
    </row>
    <row r="9888">
      <c r="A9888" s="9" t="s">
        <v>32547</v>
      </c>
      <c r="B9888" s="9" t="s">
        <v>32548</v>
      </c>
      <c r="G9888" s="9" t="s">
        <v>32549</v>
      </c>
      <c r="O9888" s="10">
        <f>IFERROR(__xludf.DUMMYFUNCTION("VALUE(REGEXEXTRACT(A9888, ""\d+""))"),14506.0)</f>
        <v>14506</v>
      </c>
    </row>
    <row r="9889">
      <c r="A9889" s="9" t="s">
        <v>32550</v>
      </c>
      <c r="B9889" s="9" t="s">
        <v>32551</v>
      </c>
      <c r="G9889" s="9" t="s">
        <v>32552</v>
      </c>
      <c r="O9889" s="10">
        <f>IFERROR(__xludf.DUMMYFUNCTION("VALUE(REGEXEXTRACT(A9889, ""\d+""))"),14507.0)</f>
        <v>14507</v>
      </c>
    </row>
    <row r="9890">
      <c r="A9890" s="9" t="s">
        <v>32553</v>
      </c>
      <c r="B9890" s="9" t="s">
        <v>32554</v>
      </c>
      <c r="G9890" s="21" t="s">
        <v>32555</v>
      </c>
      <c r="O9890" s="10">
        <f>IFERROR(__xludf.DUMMYFUNCTION("VALUE(REGEXEXTRACT(A9890, ""\d+""))"),14508.0)</f>
        <v>14508</v>
      </c>
    </row>
    <row r="9891">
      <c r="A9891" s="9" t="s">
        <v>32556</v>
      </c>
      <c r="B9891" s="9" t="s">
        <v>32557</v>
      </c>
      <c r="G9891" s="21" t="s">
        <v>32558</v>
      </c>
      <c r="O9891" s="10">
        <f>IFERROR(__xludf.DUMMYFUNCTION("VALUE(REGEXEXTRACT(A9891, ""\d+""))"),14509.0)</f>
        <v>14509</v>
      </c>
    </row>
    <row r="9892">
      <c r="A9892" s="9" t="s">
        <v>32559</v>
      </c>
      <c r="B9892" s="9" t="s">
        <v>32560</v>
      </c>
      <c r="G9892" s="9" t="s">
        <v>32561</v>
      </c>
      <c r="O9892" s="10">
        <f>IFERROR(__xludf.DUMMYFUNCTION("VALUE(REGEXEXTRACT(A9892, ""\d+""))"),14510.0)</f>
        <v>14510</v>
      </c>
    </row>
    <row r="9893">
      <c r="A9893" s="9" t="s">
        <v>32562</v>
      </c>
      <c r="B9893" s="9" t="s">
        <v>32563</v>
      </c>
      <c r="G9893" s="9" t="s">
        <v>32564</v>
      </c>
      <c r="O9893" s="10">
        <f>IFERROR(__xludf.DUMMYFUNCTION("VALUE(REGEXEXTRACT(A9893, ""\d+""))"),14511.0)</f>
        <v>14511</v>
      </c>
    </row>
    <row r="9894">
      <c r="A9894" s="9" t="s">
        <v>32565</v>
      </c>
      <c r="B9894" s="9" t="s">
        <v>32566</v>
      </c>
      <c r="G9894" s="9" t="s">
        <v>32567</v>
      </c>
      <c r="O9894" s="10">
        <f>IFERROR(__xludf.DUMMYFUNCTION("VALUE(REGEXEXTRACT(A9894, ""\d+""))"),14512.0)</f>
        <v>14512</v>
      </c>
    </row>
    <row r="9895">
      <c r="A9895" s="9" t="s">
        <v>32568</v>
      </c>
      <c r="B9895" s="9" t="s">
        <v>32569</v>
      </c>
      <c r="G9895" s="9" t="s">
        <v>32570</v>
      </c>
      <c r="O9895" s="10">
        <f>IFERROR(__xludf.DUMMYFUNCTION("VALUE(REGEXEXTRACT(A9895, ""\d+""))"),14513.0)</f>
        <v>14513</v>
      </c>
    </row>
    <row r="9896">
      <c r="A9896" s="9" t="s">
        <v>32571</v>
      </c>
      <c r="B9896" s="9" t="s">
        <v>32572</v>
      </c>
      <c r="G9896" s="9" t="s">
        <v>32573</v>
      </c>
      <c r="O9896" s="10">
        <f>IFERROR(__xludf.DUMMYFUNCTION("VALUE(REGEXEXTRACT(A9896, ""\d+""))"),14514.0)</f>
        <v>14514</v>
      </c>
    </row>
    <row r="9897">
      <c r="A9897" s="9" t="s">
        <v>32574</v>
      </c>
      <c r="B9897" s="9" t="s">
        <v>32575</v>
      </c>
      <c r="G9897" s="9" t="s">
        <v>32576</v>
      </c>
      <c r="O9897" s="10">
        <f>IFERROR(__xludf.DUMMYFUNCTION("VALUE(REGEXEXTRACT(A9897, ""\d+""))"),14515.0)</f>
        <v>14515</v>
      </c>
    </row>
    <row r="9898">
      <c r="A9898" s="9" t="s">
        <v>32577</v>
      </c>
      <c r="B9898" s="9" t="s">
        <v>32578</v>
      </c>
      <c r="G9898" s="9" t="s">
        <v>32579</v>
      </c>
      <c r="O9898" s="10">
        <f>IFERROR(__xludf.DUMMYFUNCTION("VALUE(REGEXEXTRACT(A9898, ""\d+""))"),14516.0)</f>
        <v>14516</v>
      </c>
    </row>
    <row r="9899">
      <c r="A9899" s="9" t="s">
        <v>32580</v>
      </c>
      <c r="B9899" s="9" t="s">
        <v>32581</v>
      </c>
      <c r="G9899" s="9" t="s">
        <v>32582</v>
      </c>
      <c r="O9899" s="10">
        <f>IFERROR(__xludf.DUMMYFUNCTION("VALUE(REGEXEXTRACT(A9899, ""\d+""))"),14517.0)</f>
        <v>14517</v>
      </c>
    </row>
    <row r="9900">
      <c r="A9900" s="9" t="s">
        <v>32583</v>
      </c>
      <c r="B9900" s="9" t="s">
        <v>32584</v>
      </c>
      <c r="G9900" s="9" t="s">
        <v>32585</v>
      </c>
      <c r="O9900" s="10">
        <f>IFERROR(__xludf.DUMMYFUNCTION("VALUE(REGEXEXTRACT(A9900, ""\d+""))"),14518.0)</f>
        <v>14518</v>
      </c>
    </row>
    <row r="9901">
      <c r="A9901" s="9" t="s">
        <v>32586</v>
      </c>
      <c r="B9901" s="9" t="s">
        <v>32587</v>
      </c>
      <c r="G9901" s="9" t="s">
        <v>32588</v>
      </c>
      <c r="O9901" s="10">
        <f>IFERROR(__xludf.DUMMYFUNCTION("VALUE(REGEXEXTRACT(A9901, ""\d+""))"),14519.0)</f>
        <v>14519</v>
      </c>
    </row>
    <row r="9902">
      <c r="A9902" s="9" t="s">
        <v>32589</v>
      </c>
      <c r="B9902" s="9" t="s">
        <v>32590</v>
      </c>
      <c r="G9902" s="9" t="s">
        <v>32591</v>
      </c>
      <c r="O9902" s="10">
        <f>IFERROR(__xludf.DUMMYFUNCTION("VALUE(REGEXEXTRACT(A9902, ""\d+""))"),14520.0)</f>
        <v>14520</v>
      </c>
    </row>
    <row r="9903">
      <c r="A9903" s="9" t="s">
        <v>32592</v>
      </c>
      <c r="B9903" s="9" t="s">
        <v>32593</v>
      </c>
      <c r="G9903" s="9" t="s">
        <v>32594</v>
      </c>
      <c r="O9903" s="10">
        <f>IFERROR(__xludf.DUMMYFUNCTION("VALUE(REGEXEXTRACT(A9903, ""\d+""))"),14521.0)</f>
        <v>14521</v>
      </c>
    </row>
    <row r="9904">
      <c r="A9904" s="9" t="s">
        <v>32595</v>
      </c>
      <c r="B9904" s="9" t="s">
        <v>32596</v>
      </c>
      <c r="G9904" s="9" t="s">
        <v>32597</v>
      </c>
      <c r="O9904" s="10">
        <f>IFERROR(__xludf.DUMMYFUNCTION("VALUE(REGEXEXTRACT(A9904, ""\d+""))"),14522.0)</f>
        <v>14522</v>
      </c>
    </row>
    <row r="9905">
      <c r="A9905" s="9" t="s">
        <v>32598</v>
      </c>
      <c r="B9905" s="9" t="s">
        <v>32599</v>
      </c>
      <c r="G9905" s="9" t="s">
        <v>32600</v>
      </c>
      <c r="O9905" s="10">
        <f>IFERROR(__xludf.DUMMYFUNCTION("VALUE(REGEXEXTRACT(A9905, ""\d+""))"),14523.0)</f>
        <v>14523</v>
      </c>
    </row>
    <row r="9906">
      <c r="A9906" s="9" t="s">
        <v>32601</v>
      </c>
      <c r="B9906" s="9" t="s">
        <v>32602</v>
      </c>
      <c r="G9906" s="9" t="s">
        <v>32603</v>
      </c>
      <c r="O9906" s="10">
        <f>IFERROR(__xludf.DUMMYFUNCTION("VALUE(REGEXEXTRACT(A9906, ""\d+""))"),14524.0)</f>
        <v>14524</v>
      </c>
    </row>
    <row r="9907">
      <c r="A9907" s="9" t="s">
        <v>32604</v>
      </c>
      <c r="B9907" s="9" t="s">
        <v>32605</v>
      </c>
      <c r="G9907" s="9" t="s">
        <v>32605</v>
      </c>
      <c r="O9907" s="10">
        <f>IFERROR(__xludf.DUMMYFUNCTION("VALUE(REGEXEXTRACT(A9907, ""\d+""))"),14525.0)</f>
        <v>14525</v>
      </c>
    </row>
    <row r="9908">
      <c r="A9908" s="9" t="s">
        <v>32606</v>
      </c>
      <c r="B9908" s="9" t="s">
        <v>32607</v>
      </c>
      <c r="G9908" s="9" t="s">
        <v>32607</v>
      </c>
      <c r="O9908" s="10">
        <f>IFERROR(__xludf.DUMMYFUNCTION("VALUE(REGEXEXTRACT(A9908, ""\d+""))"),14526.0)</f>
        <v>14526</v>
      </c>
    </row>
    <row r="9909">
      <c r="A9909" s="9" t="s">
        <v>32608</v>
      </c>
      <c r="B9909" s="9" t="s">
        <v>32609</v>
      </c>
      <c r="G9909" s="9" t="s">
        <v>32610</v>
      </c>
      <c r="O9909" s="10">
        <f>IFERROR(__xludf.DUMMYFUNCTION("VALUE(REGEXEXTRACT(A9909, ""\d+""))"),14528.0)</f>
        <v>14528</v>
      </c>
    </row>
    <row r="9910">
      <c r="A9910" s="9" t="s">
        <v>32611</v>
      </c>
      <c r="B9910" s="9" t="s">
        <v>32612</v>
      </c>
      <c r="G9910" s="9" t="s">
        <v>32613</v>
      </c>
      <c r="O9910" s="10">
        <f>IFERROR(__xludf.DUMMYFUNCTION("VALUE(REGEXEXTRACT(A9910, ""\d+""))"),14529.0)</f>
        <v>14529</v>
      </c>
    </row>
    <row r="9911">
      <c r="A9911" s="9" t="s">
        <v>32614</v>
      </c>
      <c r="B9911" s="9" t="s">
        <v>32615</v>
      </c>
      <c r="G9911" s="9" t="s">
        <v>32616</v>
      </c>
      <c r="O9911" s="10">
        <f>IFERROR(__xludf.DUMMYFUNCTION("VALUE(REGEXEXTRACT(A9911, ""\d+""))"),14530.0)</f>
        <v>14530</v>
      </c>
    </row>
    <row r="9912">
      <c r="A9912" s="9" t="s">
        <v>32617</v>
      </c>
      <c r="B9912" s="9" t="s">
        <v>32618</v>
      </c>
      <c r="G9912" s="9" t="s">
        <v>32619</v>
      </c>
      <c r="O9912" s="10">
        <f>IFERROR(__xludf.DUMMYFUNCTION("VALUE(REGEXEXTRACT(A9912, ""\d+""))"),14534.0)</f>
        <v>14534</v>
      </c>
    </row>
    <row r="9913">
      <c r="A9913" s="9" t="s">
        <v>32620</v>
      </c>
      <c r="B9913" s="9" t="s">
        <v>32621</v>
      </c>
      <c r="G9913" s="9" t="s">
        <v>32622</v>
      </c>
      <c r="O9913" s="10">
        <f>IFERROR(__xludf.DUMMYFUNCTION("VALUE(REGEXEXTRACT(A9913, ""\d+""))"),14535.0)</f>
        <v>14535</v>
      </c>
    </row>
    <row r="9914">
      <c r="A9914" s="9" t="s">
        <v>32623</v>
      </c>
      <c r="B9914" s="9" t="s">
        <v>32624</v>
      </c>
      <c r="G9914" s="9" t="s">
        <v>32625</v>
      </c>
      <c r="O9914" s="10">
        <f>IFERROR(__xludf.DUMMYFUNCTION("VALUE(REGEXEXTRACT(A9914, ""\d+""))"),14536.0)</f>
        <v>14536</v>
      </c>
    </row>
    <row r="9915">
      <c r="A9915" s="9" t="s">
        <v>32626</v>
      </c>
      <c r="B9915" s="9" t="s">
        <v>32627</v>
      </c>
      <c r="G9915" s="9" t="s">
        <v>32628</v>
      </c>
      <c r="O9915" s="10">
        <f>IFERROR(__xludf.DUMMYFUNCTION("VALUE(REGEXEXTRACT(A9915, ""\d+""))"),14537.0)</f>
        <v>14537</v>
      </c>
    </row>
    <row r="9916">
      <c r="A9916" s="9" t="s">
        <v>32629</v>
      </c>
      <c r="B9916" s="9" t="s">
        <v>32630</v>
      </c>
      <c r="G9916" s="9" t="s">
        <v>32631</v>
      </c>
      <c r="O9916" s="10">
        <f>IFERROR(__xludf.DUMMYFUNCTION("VALUE(REGEXEXTRACT(A9916, ""\d+""))"),14538.0)</f>
        <v>14538</v>
      </c>
    </row>
    <row r="9917">
      <c r="A9917" s="9" t="s">
        <v>32632</v>
      </c>
      <c r="B9917" s="9" t="s">
        <v>32633</v>
      </c>
      <c r="G9917" s="9" t="s">
        <v>32634</v>
      </c>
      <c r="O9917" s="10">
        <f>IFERROR(__xludf.DUMMYFUNCTION("VALUE(REGEXEXTRACT(A9917, ""\d+""))"),14539.0)</f>
        <v>14539</v>
      </c>
    </row>
    <row r="9918">
      <c r="A9918" s="9" t="s">
        <v>32635</v>
      </c>
      <c r="B9918" s="9" t="s">
        <v>32636</v>
      </c>
      <c r="G9918" s="9" t="s">
        <v>32637</v>
      </c>
      <c r="O9918" s="10">
        <f>IFERROR(__xludf.DUMMYFUNCTION("VALUE(REGEXEXTRACT(A9918, ""\d+""))"),14540.0)</f>
        <v>14540</v>
      </c>
    </row>
    <row r="9919">
      <c r="A9919" s="9" t="s">
        <v>32638</v>
      </c>
      <c r="B9919" s="9" t="s">
        <v>32639</v>
      </c>
      <c r="G9919" s="9" t="s">
        <v>32640</v>
      </c>
      <c r="O9919" s="10">
        <f>IFERROR(__xludf.DUMMYFUNCTION("VALUE(REGEXEXTRACT(A9919, ""\d+""))"),14541.0)</f>
        <v>14541</v>
      </c>
    </row>
    <row r="9920">
      <c r="A9920" s="9" t="s">
        <v>32641</v>
      </c>
      <c r="B9920" s="9" t="s">
        <v>32642</v>
      </c>
      <c r="G9920" s="9" t="s">
        <v>32643</v>
      </c>
      <c r="O9920" s="10">
        <f>IFERROR(__xludf.DUMMYFUNCTION("VALUE(REGEXEXTRACT(A9920, ""\d+""))"),14542.0)</f>
        <v>14542</v>
      </c>
    </row>
    <row r="9921">
      <c r="A9921" s="9" t="s">
        <v>32644</v>
      </c>
      <c r="B9921" s="9" t="s">
        <v>32645</v>
      </c>
      <c r="G9921" s="9" t="s">
        <v>32646</v>
      </c>
      <c r="O9921" s="10">
        <f>IFERROR(__xludf.DUMMYFUNCTION("VALUE(REGEXEXTRACT(A9921, ""\d+""))"),14543.0)</f>
        <v>14543</v>
      </c>
    </row>
    <row r="9922">
      <c r="A9922" s="9" t="s">
        <v>32647</v>
      </c>
      <c r="B9922" s="9" t="s">
        <v>32648</v>
      </c>
      <c r="G9922" s="9" t="s">
        <v>32649</v>
      </c>
      <c r="O9922" s="10">
        <f>IFERROR(__xludf.DUMMYFUNCTION("VALUE(REGEXEXTRACT(A9922, ""\d+""))"),14544.0)</f>
        <v>14544</v>
      </c>
    </row>
    <row r="9923">
      <c r="A9923" s="9" t="s">
        <v>32650</v>
      </c>
      <c r="B9923" s="9" t="s">
        <v>32651</v>
      </c>
      <c r="G9923" s="9" t="s">
        <v>32652</v>
      </c>
      <c r="O9923" s="10">
        <f>IFERROR(__xludf.DUMMYFUNCTION("VALUE(REGEXEXTRACT(A9923, ""\d+""))"),14545.0)</f>
        <v>14545</v>
      </c>
    </row>
    <row r="9924">
      <c r="A9924" s="9" t="s">
        <v>32653</v>
      </c>
      <c r="B9924" s="9" t="s">
        <v>32654</v>
      </c>
      <c r="G9924" s="9" t="s">
        <v>32655</v>
      </c>
      <c r="O9924" s="10">
        <f>IFERROR(__xludf.DUMMYFUNCTION("VALUE(REGEXEXTRACT(A9924, ""\d+""))"),14546.0)</f>
        <v>14546</v>
      </c>
    </row>
    <row r="9925">
      <c r="A9925" s="9" t="s">
        <v>32656</v>
      </c>
      <c r="B9925" s="9" t="s">
        <v>32657</v>
      </c>
      <c r="G9925" s="9" t="s">
        <v>32658</v>
      </c>
      <c r="O9925" s="10">
        <f>IFERROR(__xludf.DUMMYFUNCTION("VALUE(REGEXEXTRACT(A9925, ""\d+""))"),14547.0)</f>
        <v>14547</v>
      </c>
    </row>
    <row r="9926">
      <c r="A9926" s="9" t="s">
        <v>32659</v>
      </c>
      <c r="B9926" s="9" t="s">
        <v>32660</v>
      </c>
      <c r="G9926" s="9" t="s">
        <v>32661</v>
      </c>
      <c r="O9926" s="10">
        <f>IFERROR(__xludf.DUMMYFUNCTION("VALUE(REGEXEXTRACT(A9926, ""\d+""))"),14548.0)</f>
        <v>14548</v>
      </c>
    </row>
    <row r="9927">
      <c r="A9927" s="9" t="s">
        <v>32662</v>
      </c>
      <c r="B9927" s="9" t="s">
        <v>32663</v>
      </c>
      <c r="G9927" s="9" t="s">
        <v>32664</v>
      </c>
      <c r="O9927" s="10">
        <f>IFERROR(__xludf.DUMMYFUNCTION("VALUE(REGEXEXTRACT(A9927, ""\d+""))"),14549.0)</f>
        <v>14549</v>
      </c>
    </row>
    <row r="9928">
      <c r="A9928" s="9" t="s">
        <v>32665</v>
      </c>
      <c r="B9928" s="9" t="s">
        <v>32666</v>
      </c>
      <c r="G9928" s="9" t="s">
        <v>32667</v>
      </c>
      <c r="O9928" s="10">
        <f>IFERROR(__xludf.DUMMYFUNCTION("VALUE(REGEXEXTRACT(A9928, ""\d+""))"),14550.0)</f>
        <v>14550</v>
      </c>
    </row>
    <row r="9929">
      <c r="A9929" s="9" t="s">
        <v>32668</v>
      </c>
      <c r="B9929" s="9" t="s">
        <v>32669</v>
      </c>
      <c r="G9929" s="9" t="s">
        <v>32670</v>
      </c>
      <c r="O9929" s="10">
        <f>IFERROR(__xludf.DUMMYFUNCTION("VALUE(REGEXEXTRACT(A9929, ""\d+""))"),14551.0)</f>
        <v>14551</v>
      </c>
    </row>
    <row r="9930">
      <c r="A9930" s="9" t="s">
        <v>32671</v>
      </c>
      <c r="B9930" s="9" t="s">
        <v>32672</v>
      </c>
      <c r="G9930" s="9" t="s">
        <v>32673</v>
      </c>
      <c r="O9930" s="10">
        <f>IFERROR(__xludf.DUMMYFUNCTION("VALUE(REGEXEXTRACT(A9930, ""\d+""))"),14552.0)</f>
        <v>14552</v>
      </c>
    </row>
    <row r="9931">
      <c r="A9931" s="9" t="s">
        <v>32674</v>
      </c>
      <c r="B9931" s="9" t="s">
        <v>32675</v>
      </c>
      <c r="G9931" s="9" t="s">
        <v>32676</v>
      </c>
      <c r="O9931" s="10">
        <f>IFERROR(__xludf.DUMMYFUNCTION("VALUE(REGEXEXTRACT(A9931, ""\d+""))"),14553.0)</f>
        <v>14553</v>
      </c>
    </row>
    <row r="9932">
      <c r="A9932" s="9" t="s">
        <v>32677</v>
      </c>
      <c r="B9932" s="9" t="s">
        <v>32678</v>
      </c>
      <c r="G9932" s="9" t="s">
        <v>32679</v>
      </c>
      <c r="O9932" s="10">
        <f>IFERROR(__xludf.DUMMYFUNCTION("VALUE(REGEXEXTRACT(A9932, ""\d+""))"),14554.0)</f>
        <v>14554</v>
      </c>
    </row>
    <row r="9933">
      <c r="A9933" s="9" t="s">
        <v>32680</v>
      </c>
      <c r="B9933" s="9" t="s">
        <v>32681</v>
      </c>
      <c r="G9933" s="9" t="s">
        <v>32682</v>
      </c>
      <c r="O9933" s="10">
        <f>IFERROR(__xludf.DUMMYFUNCTION("VALUE(REGEXEXTRACT(A9933, ""\d+""))"),14555.0)</f>
        <v>14555</v>
      </c>
    </row>
    <row r="9934">
      <c r="A9934" s="9" t="s">
        <v>32683</v>
      </c>
      <c r="B9934" s="9" t="s">
        <v>32684</v>
      </c>
      <c r="G9934" s="9" t="s">
        <v>32685</v>
      </c>
      <c r="O9934" s="10">
        <f>IFERROR(__xludf.DUMMYFUNCTION("VALUE(REGEXEXTRACT(A9934, ""\d+""))"),14556.0)</f>
        <v>14556</v>
      </c>
    </row>
    <row r="9935">
      <c r="A9935" s="9" t="s">
        <v>32686</v>
      </c>
      <c r="B9935" s="9" t="s">
        <v>32687</v>
      </c>
      <c r="G9935" s="9" t="s">
        <v>32688</v>
      </c>
      <c r="O9935" s="10">
        <f>IFERROR(__xludf.DUMMYFUNCTION("VALUE(REGEXEXTRACT(A9935, ""\d+""))"),14557.0)</f>
        <v>14557</v>
      </c>
    </row>
    <row r="9936">
      <c r="A9936" s="9" t="s">
        <v>32689</v>
      </c>
      <c r="B9936" s="9" t="s">
        <v>32690</v>
      </c>
      <c r="G9936" s="9" t="s">
        <v>32691</v>
      </c>
      <c r="O9936" s="10">
        <f>IFERROR(__xludf.DUMMYFUNCTION("VALUE(REGEXEXTRACT(A9936, ""\d+""))"),14558.0)</f>
        <v>14558</v>
      </c>
    </row>
    <row r="9937">
      <c r="A9937" s="9" t="s">
        <v>32692</v>
      </c>
      <c r="B9937" s="9" t="s">
        <v>32693</v>
      </c>
      <c r="G9937" s="9" t="s">
        <v>32694</v>
      </c>
      <c r="O9937" s="10">
        <f>IFERROR(__xludf.DUMMYFUNCTION("VALUE(REGEXEXTRACT(A9937, ""\d+""))"),14559.0)</f>
        <v>14559</v>
      </c>
    </row>
    <row r="9938">
      <c r="A9938" s="9" t="s">
        <v>32695</v>
      </c>
      <c r="B9938" s="9" t="s">
        <v>32696</v>
      </c>
      <c r="G9938" s="9" t="s">
        <v>32697</v>
      </c>
      <c r="O9938" s="10">
        <f>IFERROR(__xludf.DUMMYFUNCTION("VALUE(REGEXEXTRACT(A9938, ""\d+""))"),14560.0)</f>
        <v>14560</v>
      </c>
    </row>
    <row r="9939">
      <c r="A9939" s="9" t="s">
        <v>32698</v>
      </c>
      <c r="B9939" s="9" t="s">
        <v>17121</v>
      </c>
      <c r="G9939" s="9" t="s">
        <v>17122</v>
      </c>
      <c r="O9939" s="10">
        <f>IFERROR(__xludf.DUMMYFUNCTION("VALUE(REGEXEXTRACT(A9939, ""\d+""))"),14561.0)</f>
        <v>14561</v>
      </c>
    </row>
    <row r="9940">
      <c r="A9940" s="9" t="s">
        <v>32699</v>
      </c>
      <c r="B9940" s="9" t="s">
        <v>29192</v>
      </c>
      <c r="G9940" s="9" t="s">
        <v>29193</v>
      </c>
      <c r="O9940" s="10">
        <f>IFERROR(__xludf.DUMMYFUNCTION("VALUE(REGEXEXTRACT(A9940, ""\d+""))"),14562.0)</f>
        <v>14562</v>
      </c>
    </row>
    <row r="9941">
      <c r="A9941" s="9" t="s">
        <v>32700</v>
      </c>
      <c r="B9941" s="9" t="s">
        <v>2246</v>
      </c>
      <c r="G9941" s="9" t="s">
        <v>32701</v>
      </c>
      <c r="O9941" s="10">
        <f>IFERROR(__xludf.DUMMYFUNCTION("VALUE(REGEXEXTRACT(A9941, ""\d+""))"),14563.0)</f>
        <v>14563</v>
      </c>
    </row>
    <row r="9942">
      <c r="A9942" s="9" t="s">
        <v>32702</v>
      </c>
      <c r="B9942" s="9" t="s">
        <v>32703</v>
      </c>
      <c r="G9942" s="9" t="s">
        <v>32704</v>
      </c>
      <c r="O9942" s="10">
        <f>IFERROR(__xludf.DUMMYFUNCTION("VALUE(REGEXEXTRACT(A9942, ""\d+""))"),14564.0)</f>
        <v>14564</v>
      </c>
    </row>
    <row r="9943">
      <c r="A9943" s="9" t="s">
        <v>32705</v>
      </c>
      <c r="B9943" s="9" t="s">
        <v>32706</v>
      </c>
      <c r="G9943" s="9" t="s">
        <v>32707</v>
      </c>
      <c r="O9943" s="10">
        <f>IFERROR(__xludf.DUMMYFUNCTION("VALUE(REGEXEXTRACT(A9943, ""\d+""))"),14565.0)</f>
        <v>14565</v>
      </c>
    </row>
    <row r="9944">
      <c r="A9944" s="9" t="s">
        <v>32708</v>
      </c>
      <c r="B9944" s="9" t="s">
        <v>32709</v>
      </c>
      <c r="G9944" s="9" t="s">
        <v>32710</v>
      </c>
      <c r="O9944" s="10">
        <f>IFERROR(__xludf.DUMMYFUNCTION("VALUE(REGEXEXTRACT(A9944, ""\d+""))"),14566.0)</f>
        <v>14566</v>
      </c>
    </row>
    <row r="9945">
      <c r="A9945" s="9" t="s">
        <v>32711</v>
      </c>
      <c r="B9945" s="9" t="s">
        <v>32712</v>
      </c>
      <c r="G9945" s="9" t="s">
        <v>32713</v>
      </c>
      <c r="O9945" s="10">
        <f>IFERROR(__xludf.DUMMYFUNCTION("VALUE(REGEXEXTRACT(A9945, ""\d+""))"),14567.0)</f>
        <v>14567</v>
      </c>
    </row>
    <row r="9946">
      <c r="A9946" s="9" t="s">
        <v>32714</v>
      </c>
      <c r="B9946" s="9" t="s">
        <v>32715</v>
      </c>
      <c r="G9946" s="9" t="s">
        <v>32716</v>
      </c>
      <c r="O9946" s="10">
        <f>IFERROR(__xludf.DUMMYFUNCTION("VALUE(REGEXEXTRACT(A9946, ""\d+""))"),14568.0)</f>
        <v>14568</v>
      </c>
    </row>
    <row r="9947">
      <c r="A9947" s="9" t="s">
        <v>32717</v>
      </c>
      <c r="B9947" s="9" t="s">
        <v>32718</v>
      </c>
      <c r="G9947" s="9" t="s">
        <v>32719</v>
      </c>
      <c r="O9947" s="10">
        <f>IFERROR(__xludf.DUMMYFUNCTION("VALUE(REGEXEXTRACT(A9947, ""\d+""))"),14569.0)</f>
        <v>14569</v>
      </c>
    </row>
    <row r="9948">
      <c r="A9948" s="9" t="s">
        <v>32720</v>
      </c>
      <c r="B9948" s="9" t="s">
        <v>32721</v>
      </c>
      <c r="G9948" s="9" t="s">
        <v>32722</v>
      </c>
      <c r="O9948" s="10">
        <f>IFERROR(__xludf.DUMMYFUNCTION("VALUE(REGEXEXTRACT(A9948, ""\d+""))"),14570.0)</f>
        <v>14570</v>
      </c>
    </row>
    <row r="9949">
      <c r="A9949" s="9" t="s">
        <v>32723</v>
      </c>
      <c r="B9949" s="9" t="s">
        <v>32724</v>
      </c>
      <c r="G9949" s="9" t="s">
        <v>14672</v>
      </c>
      <c r="O9949" s="10">
        <f>IFERROR(__xludf.DUMMYFUNCTION("VALUE(REGEXEXTRACT(A9949, ""\d+""))"),14571.0)</f>
        <v>14571</v>
      </c>
    </row>
    <row r="9950">
      <c r="A9950" s="9" t="s">
        <v>32725</v>
      </c>
      <c r="B9950" s="9" t="s">
        <v>32726</v>
      </c>
      <c r="G9950" s="9" t="s">
        <v>32727</v>
      </c>
      <c r="O9950" s="10">
        <f>IFERROR(__xludf.DUMMYFUNCTION("VALUE(REGEXEXTRACT(A9950, ""\d+""))"),14572.0)</f>
        <v>14572</v>
      </c>
    </row>
    <row r="9951">
      <c r="A9951" s="9" t="s">
        <v>32728</v>
      </c>
      <c r="B9951" s="9" t="s">
        <v>32729</v>
      </c>
      <c r="G9951" s="9" t="s">
        <v>32730</v>
      </c>
      <c r="O9951" s="10">
        <f>IFERROR(__xludf.DUMMYFUNCTION("VALUE(REGEXEXTRACT(A9951, ""\d+""))"),14573.0)</f>
        <v>14573</v>
      </c>
    </row>
    <row r="9952">
      <c r="A9952" s="9" t="s">
        <v>32731</v>
      </c>
      <c r="B9952" s="9" t="s">
        <v>32732</v>
      </c>
      <c r="G9952" s="9" t="s">
        <v>32733</v>
      </c>
      <c r="O9952" s="10">
        <f>IFERROR(__xludf.DUMMYFUNCTION("VALUE(REGEXEXTRACT(A9952, ""\d+""))"),14575.0)</f>
        <v>14575</v>
      </c>
    </row>
    <row r="9953">
      <c r="A9953" s="9" t="s">
        <v>32734</v>
      </c>
      <c r="B9953" s="9" t="s">
        <v>32735</v>
      </c>
      <c r="G9953" s="9" t="s">
        <v>32735</v>
      </c>
      <c r="O9953" s="10">
        <f>IFERROR(__xludf.DUMMYFUNCTION("VALUE(REGEXEXTRACT(A9953, ""\d+""))"),14576.0)</f>
        <v>14576</v>
      </c>
    </row>
    <row r="9954">
      <c r="A9954" s="9" t="s">
        <v>32736</v>
      </c>
      <c r="B9954" s="9" t="s">
        <v>32737</v>
      </c>
      <c r="G9954" s="9" t="s">
        <v>32738</v>
      </c>
      <c r="O9954" s="10">
        <f>IFERROR(__xludf.DUMMYFUNCTION("VALUE(REGEXEXTRACT(A9954, ""\d+""))"),14577.0)</f>
        <v>14577</v>
      </c>
    </row>
    <row r="9955">
      <c r="A9955" s="9" t="s">
        <v>32739</v>
      </c>
      <c r="B9955" s="9" t="s">
        <v>32740</v>
      </c>
      <c r="G9955" s="9" t="s">
        <v>32741</v>
      </c>
      <c r="O9955" s="10">
        <f>IFERROR(__xludf.DUMMYFUNCTION("VALUE(REGEXEXTRACT(A9955, ""\d+""))"),14578.0)</f>
        <v>14578</v>
      </c>
    </row>
    <row r="9956">
      <c r="A9956" s="9" t="s">
        <v>32742</v>
      </c>
      <c r="B9956" s="9" t="s">
        <v>32743</v>
      </c>
      <c r="G9956" s="9" t="s">
        <v>32744</v>
      </c>
      <c r="O9956" s="10">
        <f>IFERROR(__xludf.DUMMYFUNCTION("VALUE(REGEXEXTRACT(A9956, ""\d+""))"),14579.0)</f>
        <v>14579</v>
      </c>
    </row>
    <row r="9957">
      <c r="A9957" s="9" t="s">
        <v>32745</v>
      </c>
      <c r="B9957" s="9" t="s">
        <v>32746</v>
      </c>
      <c r="G9957" s="9" t="s">
        <v>32747</v>
      </c>
      <c r="O9957" s="10">
        <f>IFERROR(__xludf.DUMMYFUNCTION("VALUE(REGEXEXTRACT(A9957, ""\d+""))"),14580.0)</f>
        <v>14580</v>
      </c>
    </row>
    <row r="9958">
      <c r="A9958" s="9" t="s">
        <v>32748</v>
      </c>
      <c r="B9958" s="9" t="s">
        <v>32749</v>
      </c>
      <c r="G9958" s="9" t="s">
        <v>32750</v>
      </c>
      <c r="O9958" s="10">
        <f>IFERROR(__xludf.DUMMYFUNCTION("VALUE(REGEXEXTRACT(A9958, ""\d+""))"),14581.0)</f>
        <v>14581</v>
      </c>
    </row>
    <row r="9959">
      <c r="A9959" s="9" t="s">
        <v>32751</v>
      </c>
      <c r="B9959" s="9" t="s">
        <v>32752</v>
      </c>
      <c r="G9959" s="9" t="s">
        <v>32753</v>
      </c>
      <c r="O9959" s="10">
        <f>IFERROR(__xludf.DUMMYFUNCTION("VALUE(REGEXEXTRACT(A9959, ""\d+""))"),14582.0)</f>
        <v>14582</v>
      </c>
    </row>
    <row r="9960">
      <c r="A9960" s="9" t="s">
        <v>32754</v>
      </c>
      <c r="B9960" s="9" t="s">
        <v>32755</v>
      </c>
      <c r="G9960" s="9" t="s">
        <v>32756</v>
      </c>
      <c r="O9960" s="10">
        <f>IFERROR(__xludf.DUMMYFUNCTION("VALUE(REGEXEXTRACT(A9960, ""\d+""))"),14583.0)</f>
        <v>14583</v>
      </c>
    </row>
    <row r="9961">
      <c r="A9961" s="9" t="s">
        <v>32757</v>
      </c>
      <c r="B9961" s="9" t="s">
        <v>32758</v>
      </c>
      <c r="G9961" s="9" t="s">
        <v>32759</v>
      </c>
      <c r="O9961" s="10">
        <f>IFERROR(__xludf.DUMMYFUNCTION("VALUE(REGEXEXTRACT(A9961, ""\d+""))"),14584.0)</f>
        <v>14584</v>
      </c>
    </row>
    <row r="9962">
      <c r="A9962" s="9" t="s">
        <v>32760</v>
      </c>
      <c r="B9962" s="9" t="s">
        <v>32761</v>
      </c>
      <c r="G9962" s="9" t="s">
        <v>32762</v>
      </c>
      <c r="O9962" s="10">
        <f>IFERROR(__xludf.DUMMYFUNCTION("VALUE(REGEXEXTRACT(A9962, ""\d+""))"),14585.0)</f>
        <v>14585</v>
      </c>
    </row>
    <row r="9963">
      <c r="A9963" s="9" t="s">
        <v>32763</v>
      </c>
      <c r="B9963" s="9" t="s">
        <v>32764</v>
      </c>
      <c r="G9963" s="9" t="s">
        <v>32764</v>
      </c>
      <c r="O9963" s="10">
        <f>IFERROR(__xludf.DUMMYFUNCTION("VALUE(REGEXEXTRACT(A9963, ""\d+""))"),14586.0)</f>
        <v>14586</v>
      </c>
    </row>
    <row r="9964">
      <c r="A9964" s="9" t="s">
        <v>32765</v>
      </c>
      <c r="B9964" s="9" t="s">
        <v>32766</v>
      </c>
      <c r="G9964" s="9" t="s">
        <v>32767</v>
      </c>
      <c r="O9964" s="10">
        <f>IFERROR(__xludf.DUMMYFUNCTION("VALUE(REGEXEXTRACT(A9964, ""\d+""))"),14587.0)</f>
        <v>14587</v>
      </c>
    </row>
    <row r="9965">
      <c r="A9965" s="9" t="s">
        <v>32768</v>
      </c>
      <c r="B9965" s="9" t="s">
        <v>32769</v>
      </c>
      <c r="G9965" s="9" t="s">
        <v>32770</v>
      </c>
      <c r="O9965" s="10">
        <f>IFERROR(__xludf.DUMMYFUNCTION("VALUE(REGEXEXTRACT(A9965, ""\d+""))"),14588.0)</f>
        <v>14588</v>
      </c>
    </row>
    <row r="9966">
      <c r="A9966" s="9" t="s">
        <v>32771</v>
      </c>
      <c r="B9966" s="9" t="s">
        <v>32772</v>
      </c>
      <c r="G9966" s="9" t="s">
        <v>32773</v>
      </c>
      <c r="O9966" s="10">
        <f>IFERROR(__xludf.DUMMYFUNCTION("VALUE(REGEXEXTRACT(A9966, ""\d+""))"),14589.0)</f>
        <v>14589</v>
      </c>
    </row>
    <row r="9967">
      <c r="A9967" s="9" t="s">
        <v>32774</v>
      </c>
      <c r="B9967" s="9" t="s">
        <v>32775</v>
      </c>
      <c r="G9967" s="9" t="s">
        <v>32776</v>
      </c>
      <c r="O9967" s="10">
        <f>IFERROR(__xludf.DUMMYFUNCTION("VALUE(REGEXEXTRACT(A9967, ""\d+""))"),14590.0)</f>
        <v>14590</v>
      </c>
    </row>
    <row r="9968">
      <c r="A9968" s="9" t="s">
        <v>32777</v>
      </c>
      <c r="B9968" s="9" t="s">
        <v>32778</v>
      </c>
      <c r="G9968" s="9" t="s">
        <v>32779</v>
      </c>
      <c r="O9968" s="10">
        <f>IFERROR(__xludf.DUMMYFUNCTION("VALUE(REGEXEXTRACT(A9968, ""\d+""))"),14591.0)</f>
        <v>14591</v>
      </c>
    </row>
    <row r="9969">
      <c r="A9969" s="9" t="s">
        <v>32780</v>
      </c>
      <c r="B9969" s="9" t="s">
        <v>32781</v>
      </c>
      <c r="G9969" s="9" t="s">
        <v>32782</v>
      </c>
      <c r="O9969" s="10">
        <f>IFERROR(__xludf.DUMMYFUNCTION("VALUE(REGEXEXTRACT(A9969, ""\d+""))"),14592.0)</f>
        <v>14592</v>
      </c>
    </row>
    <row r="9970">
      <c r="A9970" s="9" t="s">
        <v>32783</v>
      </c>
      <c r="B9970" s="9" t="s">
        <v>32784</v>
      </c>
      <c r="G9970" s="9" t="s">
        <v>32785</v>
      </c>
      <c r="O9970" s="10">
        <f>IFERROR(__xludf.DUMMYFUNCTION("VALUE(REGEXEXTRACT(A9970, ""\d+""))"),14593.0)</f>
        <v>14593</v>
      </c>
    </row>
    <row r="9971">
      <c r="A9971" s="9" t="s">
        <v>32786</v>
      </c>
      <c r="B9971" s="9" t="s">
        <v>32787</v>
      </c>
      <c r="G9971" s="9" t="s">
        <v>32788</v>
      </c>
      <c r="O9971" s="10">
        <f>IFERROR(__xludf.DUMMYFUNCTION("VALUE(REGEXEXTRACT(A9971, ""\d+""))"),14594.0)</f>
        <v>14594</v>
      </c>
    </row>
    <row r="9972">
      <c r="A9972" s="9" t="s">
        <v>32789</v>
      </c>
      <c r="B9972" s="9" t="s">
        <v>19003</v>
      </c>
      <c r="G9972" s="9" t="s">
        <v>19004</v>
      </c>
      <c r="O9972" s="10">
        <f>IFERROR(__xludf.DUMMYFUNCTION("VALUE(REGEXEXTRACT(A9972, ""\d+""))"),14595.0)</f>
        <v>14595</v>
      </c>
    </row>
    <row r="9973">
      <c r="A9973" s="9" t="s">
        <v>32790</v>
      </c>
      <c r="B9973" s="9" t="s">
        <v>32791</v>
      </c>
      <c r="G9973" s="9" t="s">
        <v>32792</v>
      </c>
      <c r="O9973" s="10">
        <f>IFERROR(__xludf.DUMMYFUNCTION("VALUE(REGEXEXTRACT(A9973, ""\d+""))"),14596.0)</f>
        <v>14596</v>
      </c>
    </row>
    <row r="9974">
      <c r="A9974" s="9" t="s">
        <v>32793</v>
      </c>
      <c r="B9974" s="9" t="s">
        <v>32794</v>
      </c>
      <c r="G9974" s="9" t="s">
        <v>32795</v>
      </c>
      <c r="O9974" s="10">
        <f>IFERROR(__xludf.DUMMYFUNCTION("VALUE(REGEXEXTRACT(A9974, ""\d+""))"),14597.0)</f>
        <v>14597</v>
      </c>
    </row>
    <row r="9975">
      <c r="A9975" s="9" t="s">
        <v>32796</v>
      </c>
      <c r="B9975" s="9" t="s">
        <v>32797</v>
      </c>
      <c r="G9975" s="9" t="s">
        <v>32798</v>
      </c>
      <c r="O9975" s="10">
        <f>IFERROR(__xludf.DUMMYFUNCTION("VALUE(REGEXEXTRACT(A9975, ""\d+""))"),14598.0)</f>
        <v>14598</v>
      </c>
    </row>
    <row r="9976">
      <c r="A9976" s="9" t="s">
        <v>32799</v>
      </c>
      <c r="B9976" s="9" t="s">
        <v>32800</v>
      </c>
      <c r="G9976" s="9" t="s">
        <v>32801</v>
      </c>
      <c r="O9976" s="10">
        <f>IFERROR(__xludf.DUMMYFUNCTION("VALUE(REGEXEXTRACT(A9976, ""\d+""))"),14599.0)</f>
        <v>14599</v>
      </c>
    </row>
    <row r="9977">
      <c r="A9977" s="9" t="s">
        <v>32802</v>
      </c>
      <c r="B9977" s="9" t="s">
        <v>32803</v>
      </c>
      <c r="G9977" s="9" t="s">
        <v>32804</v>
      </c>
      <c r="O9977" s="10">
        <f>IFERROR(__xludf.DUMMYFUNCTION("VALUE(REGEXEXTRACT(A9977, ""\d+""))"),14600.0)</f>
        <v>14600</v>
      </c>
    </row>
    <row r="9978">
      <c r="A9978" s="9" t="s">
        <v>32805</v>
      </c>
      <c r="B9978" s="9" t="s">
        <v>32806</v>
      </c>
      <c r="G9978" s="9" t="s">
        <v>32807</v>
      </c>
      <c r="O9978" s="10">
        <f>IFERROR(__xludf.DUMMYFUNCTION("VALUE(REGEXEXTRACT(A9978, ""\d+""))"),14601.0)</f>
        <v>14601</v>
      </c>
    </row>
    <row r="9979">
      <c r="A9979" s="9" t="s">
        <v>32808</v>
      </c>
      <c r="B9979" s="9" t="s">
        <v>32809</v>
      </c>
      <c r="G9979" s="9" t="s">
        <v>32810</v>
      </c>
      <c r="O9979" s="10">
        <f>IFERROR(__xludf.DUMMYFUNCTION("VALUE(REGEXEXTRACT(A9979, ""\d+""))"),14603.0)</f>
        <v>14603</v>
      </c>
    </row>
    <row r="9980">
      <c r="A9980" s="9" t="s">
        <v>32811</v>
      </c>
      <c r="B9980" s="9" t="s">
        <v>32812</v>
      </c>
      <c r="G9980" s="9" t="s">
        <v>32813</v>
      </c>
      <c r="O9980" s="10">
        <f>IFERROR(__xludf.DUMMYFUNCTION("VALUE(REGEXEXTRACT(A9980, ""\d+""))"),14604.0)</f>
        <v>14604</v>
      </c>
    </row>
    <row r="9981">
      <c r="A9981" s="9" t="s">
        <v>32814</v>
      </c>
      <c r="B9981" s="9" t="s">
        <v>32815</v>
      </c>
    </row>
    <row r="9982">
      <c r="A9982" s="9" t="s">
        <v>32816</v>
      </c>
      <c r="B9982" s="9" t="s">
        <v>32815</v>
      </c>
    </row>
    <row r="9983">
      <c r="A9983" s="9" t="s">
        <v>32817</v>
      </c>
      <c r="B9983" s="9" t="s">
        <v>32815</v>
      </c>
    </row>
    <row r="9984">
      <c r="A9984" s="9" t="s">
        <v>32818</v>
      </c>
      <c r="B9984" s="9" t="s">
        <v>32815</v>
      </c>
    </row>
    <row r="9985">
      <c r="A9985" s="9" t="s">
        <v>32819</v>
      </c>
      <c r="B9985" s="9" t="s">
        <v>32820</v>
      </c>
    </row>
    <row r="9986">
      <c r="A9986" s="9" t="s">
        <v>32821</v>
      </c>
      <c r="B9986" s="9" t="s">
        <v>32822</v>
      </c>
    </row>
    <row r="9987">
      <c r="A9987" s="9" t="s">
        <v>32823</v>
      </c>
      <c r="B9987" s="9" t="s">
        <v>32820</v>
      </c>
    </row>
    <row r="9988">
      <c r="A9988" s="9" t="s">
        <v>32824</v>
      </c>
      <c r="B9988" s="9" t="s">
        <v>32822</v>
      </c>
    </row>
    <row r="9989">
      <c r="A9989" s="9" t="s">
        <v>32825</v>
      </c>
      <c r="B9989" s="9" t="s">
        <v>32815</v>
      </c>
    </row>
    <row r="9990">
      <c r="A9990" s="9" t="s">
        <v>32826</v>
      </c>
      <c r="B9990" s="9" t="s">
        <v>32815</v>
      </c>
    </row>
    <row r="9991">
      <c r="A9991" s="9" t="s">
        <v>32827</v>
      </c>
      <c r="B9991" s="9" t="s">
        <v>32815</v>
      </c>
    </row>
    <row r="9992">
      <c r="A9992" s="9" t="s">
        <v>32828</v>
      </c>
      <c r="B9992" s="9" t="s">
        <v>32822</v>
      </c>
    </row>
    <row r="9993">
      <c r="A9993" s="9" t="s">
        <v>32829</v>
      </c>
      <c r="B9993" s="9" t="s">
        <v>32820</v>
      </c>
    </row>
    <row r="9994">
      <c r="A9994" s="9" t="s">
        <v>32830</v>
      </c>
      <c r="B9994" s="9" t="s">
        <v>32822</v>
      </c>
    </row>
    <row r="9995">
      <c r="A9995" s="9" t="s">
        <v>32831</v>
      </c>
      <c r="B9995" s="9" t="s">
        <v>32820</v>
      </c>
    </row>
    <row r="9996">
      <c r="A9996" s="9" t="s">
        <v>32832</v>
      </c>
      <c r="B9996" s="9" t="s">
        <v>32820</v>
      </c>
    </row>
    <row r="9997">
      <c r="A9997" s="9" t="s">
        <v>32833</v>
      </c>
      <c r="B9997" s="9" t="s">
        <v>32822</v>
      </c>
    </row>
    <row r="9998">
      <c r="A9998" s="9" t="s">
        <v>32834</v>
      </c>
      <c r="B9998" s="9" t="s">
        <v>32820</v>
      </c>
    </row>
    <row r="9999">
      <c r="A9999" s="9" t="s">
        <v>32835</v>
      </c>
      <c r="B9999" s="9" t="s">
        <v>32822</v>
      </c>
    </row>
    <row r="10000">
      <c r="A10000" s="9" t="s">
        <v>32836</v>
      </c>
      <c r="B10000" s="9" t="s">
        <v>32837</v>
      </c>
    </row>
    <row r="10001">
      <c r="A10001" s="9" t="s">
        <v>32838</v>
      </c>
      <c r="B10001" s="9" t="s">
        <v>32839</v>
      </c>
    </row>
    <row r="10002">
      <c r="A10002" s="9" t="s">
        <v>32840</v>
      </c>
      <c r="B10002" s="9" t="s">
        <v>32841</v>
      </c>
    </row>
    <row r="10003">
      <c r="A10003" s="9" t="s">
        <v>32842</v>
      </c>
      <c r="B10003" s="9" t="s">
        <v>32843</v>
      </c>
    </row>
    <row r="10004">
      <c r="A10004" s="9" t="s">
        <v>32844</v>
      </c>
      <c r="B10004" s="9" t="s">
        <v>32845</v>
      </c>
    </row>
    <row r="10005">
      <c r="A10005" s="9" t="s">
        <v>32846</v>
      </c>
      <c r="B10005" s="9" t="s">
        <v>32847</v>
      </c>
    </row>
    <row r="10006">
      <c r="A10006" s="9" t="s">
        <v>32848</v>
      </c>
      <c r="B10006" s="9" t="s">
        <v>32849</v>
      </c>
    </row>
    <row r="10007">
      <c r="A10007" s="9" t="s">
        <v>32850</v>
      </c>
      <c r="B10007" s="9" t="s">
        <v>32851</v>
      </c>
    </row>
    <row r="10008">
      <c r="A10008" s="9" t="s">
        <v>32852</v>
      </c>
      <c r="B10008" s="9" t="s">
        <v>32853</v>
      </c>
    </row>
    <row r="10009">
      <c r="A10009" s="9" t="s">
        <v>32854</v>
      </c>
      <c r="B10009" s="9" t="s">
        <v>32855</v>
      </c>
    </row>
    <row r="10010">
      <c r="A10010" s="9" t="s">
        <v>32856</v>
      </c>
      <c r="B10010" s="9" t="s">
        <v>32857</v>
      </c>
    </row>
    <row r="10011">
      <c r="A10011" s="9" t="s">
        <v>32858</v>
      </c>
      <c r="B10011" s="9" t="s">
        <v>32859</v>
      </c>
    </row>
    <row r="10012">
      <c r="A10012" s="9" t="s">
        <v>32860</v>
      </c>
      <c r="B10012" s="9" t="s">
        <v>32861</v>
      </c>
    </row>
    <row r="10013">
      <c r="A10013" s="9" t="s">
        <v>32862</v>
      </c>
      <c r="B10013" s="9" t="s">
        <v>32863</v>
      </c>
    </row>
    <row r="10014">
      <c r="A10014" s="9" t="s">
        <v>32864</v>
      </c>
      <c r="B10014" s="9" t="s">
        <v>32865</v>
      </c>
    </row>
    <row r="10015">
      <c r="A10015" s="9" t="s">
        <v>32866</v>
      </c>
      <c r="B10015" s="9" t="s">
        <v>32867</v>
      </c>
    </row>
    <row r="10016">
      <c r="A10016" s="9" t="s">
        <v>32868</v>
      </c>
      <c r="B10016" s="9" t="s">
        <v>32869</v>
      </c>
    </row>
    <row r="10017">
      <c r="A10017" s="9" t="s">
        <v>32870</v>
      </c>
      <c r="B10017" s="9" t="s">
        <v>32869</v>
      </c>
    </row>
    <row r="10018">
      <c r="A10018" s="9" t="s">
        <v>32871</v>
      </c>
      <c r="B10018" s="9" t="s">
        <v>32869</v>
      </c>
    </row>
    <row r="10019">
      <c r="A10019" s="9" t="s">
        <v>32872</v>
      </c>
      <c r="B10019" s="9" t="s">
        <v>32873</v>
      </c>
    </row>
    <row r="10020">
      <c r="A10020" s="9" t="s">
        <v>32874</v>
      </c>
      <c r="B10020" s="9" t="s">
        <v>32875</v>
      </c>
    </row>
    <row r="10021">
      <c r="A10021" s="9" t="s">
        <v>32876</v>
      </c>
      <c r="B10021" s="9" t="s">
        <v>32877</v>
      </c>
    </row>
    <row r="10022">
      <c r="A10022" s="9" t="s">
        <v>32878</v>
      </c>
      <c r="B10022" s="9" t="s">
        <v>32815</v>
      </c>
    </row>
    <row r="10023">
      <c r="A10023" s="9" t="s">
        <v>32879</v>
      </c>
      <c r="B10023" s="9" t="s">
        <v>32820</v>
      </c>
    </row>
    <row r="10024">
      <c r="A10024" s="9" t="s">
        <v>32880</v>
      </c>
      <c r="B10024" s="9" t="s">
        <v>32820</v>
      </c>
    </row>
    <row r="10025">
      <c r="A10025" s="9" t="s">
        <v>32881</v>
      </c>
      <c r="B10025" s="9" t="s">
        <v>32820</v>
      </c>
    </row>
    <row r="10026">
      <c r="A10026" s="9" t="s">
        <v>32882</v>
      </c>
      <c r="B10026" s="9" t="s">
        <v>32820</v>
      </c>
    </row>
    <row r="10027">
      <c r="A10027" s="9" t="s">
        <v>32883</v>
      </c>
      <c r="B10027" s="9" t="s">
        <v>32822</v>
      </c>
    </row>
    <row r="10028">
      <c r="A10028" s="9" t="s">
        <v>32884</v>
      </c>
      <c r="B10028" s="9" t="s">
        <v>32822</v>
      </c>
    </row>
    <row r="10029">
      <c r="A10029" s="9" t="s">
        <v>32885</v>
      </c>
      <c r="B10029" s="9" t="s">
        <v>32822</v>
      </c>
    </row>
    <row r="10030">
      <c r="A10030" s="9" t="s">
        <v>32886</v>
      </c>
      <c r="B10030" s="9" t="s">
        <v>32822</v>
      </c>
    </row>
    <row r="10031">
      <c r="A10031" s="9" t="s">
        <v>32887</v>
      </c>
      <c r="B10031" s="9" t="s">
        <v>32888</v>
      </c>
    </row>
    <row r="10032">
      <c r="A10032" s="9" t="s">
        <v>32889</v>
      </c>
      <c r="B10032" s="9" t="s">
        <v>32890</v>
      </c>
    </row>
    <row r="10033">
      <c r="A10033" s="9" t="s">
        <v>32891</v>
      </c>
      <c r="B10033" s="9" t="s">
        <v>32892</v>
      </c>
    </row>
    <row r="10034">
      <c r="A10034" s="9" t="s">
        <v>32893</v>
      </c>
      <c r="B10034" s="9" t="s">
        <v>32815</v>
      </c>
    </row>
    <row r="10035">
      <c r="A10035" s="9" t="s">
        <v>32894</v>
      </c>
      <c r="B10035" s="9" t="s">
        <v>32895</v>
      </c>
    </row>
    <row r="10036">
      <c r="A10036" s="9" t="s">
        <v>32896</v>
      </c>
      <c r="B10036" s="9" t="s">
        <v>32897</v>
      </c>
    </row>
    <row r="10037">
      <c r="A10037" s="9" t="s">
        <v>32898</v>
      </c>
      <c r="B10037" s="9" t="s">
        <v>32899</v>
      </c>
    </row>
    <row r="10038">
      <c r="A10038" s="9" t="s">
        <v>32900</v>
      </c>
      <c r="B10038" s="9" t="s">
        <v>32901</v>
      </c>
    </row>
    <row r="10039">
      <c r="A10039" s="9" t="s">
        <v>32902</v>
      </c>
      <c r="B10039" s="9" t="s">
        <v>32903</v>
      </c>
    </row>
    <row r="10040">
      <c r="A10040" s="9" t="s">
        <v>32904</v>
      </c>
      <c r="B10040" s="9" t="s">
        <v>32905</v>
      </c>
    </row>
    <row r="10041">
      <c r="A10041" s="9" t="s">
        <v>32906</v>
      </c>
      <c r="B10041" s="9" t="s">
        <v>32907</v>
      </c>
    </row>
    <row r="10042">
      <c r="A10042" s="9" t="s">
        <v>32908</v>
      </c>
      <c r="B10042" s="9" t="s">
        <v>32909</v>
      </c>
    </row>
    <row r="10043">
      <c r="A10043" s="9" t="s">
        <v>32910</v>
      </c>
      <c r="B10043" s="9" t="s">
        <v>32911</v>
      </c>
    </row>
    <row r="10044">
      <c r="A10044" s="9" t="s">
        <v>32912</v>
      </c>
      <c r="B10044" s="9" t="s">
        <v>32913</v>
      </c>
    </row>
    <row r="10045">
      <c r="A10045" s="9" t="s">
        <v>32914</v>
      </c>
      <c r="B10045" s="9" t="s">
        <v>32915</v>
      </c>
    </row>
    <row r="10046">
      <c r="A10046" s="9" t="s">
        <v>32916</v>
      </c>
      <c r="B10046" s="9" t="s">
        <v>32917</v>
      </c>
    </row>
    <row r="10047">
      <c r="A10047" s="9" t="s">
        <v>32918</v>
      </c>
      <c r="B10047" s="9" t="s">
        <v>32919</v>
      </c>
    </row>
    <row r="10048">
      <c r="A10048" s="9" t="s">
        <v>32920</v>
      </c>
      <c r="B10048" s="9" t="s">
        <v>32921</v>
      </c>
    </row>
    <row r="10049">
      <c r="A10049" s="9" t="s">
        <v>32922</v>
      </c>
      <c r="B10049" s="9" t="s">
        <v>32923</v>
      </c>
    </row>
    <row r="10050">
      <c r="A10050" s="9" t="s">
        <v>32924</v>
      </c>
      <c r="B10050" s="9" t="s">
        <v>32925</v>
      </c>
    </row>
    <row r="10051">
      <c r="A10051" s="9" t="s">
        <v>32926</v>
      </c>
      <c r="B10051" s="9" t="s">
        <v>32927</v>
      </c>
    </row>
    <row r="10052">
      <c r="A10052" s="9" t="s">
        <v>32928</v>
      </c>
      <c r="B10052" s="9" t="s">
        <v>32929</v>
      </c>
    </row>
    <row r="10053">
      <c r="A10053" s="9" t="s">
        <v>32930</v>
      </c>
      <c r="B10053" s="9" t="s">
        <v>32931</v>
      </c>
    </row>
    <row r="10054">
      <c r="A10054" s="9" t="s">
        <v>32932</v>
      </c>
      <c r="B10054" s="9" t="s">
        <v>32933</v>
      </c>
    </row>
    <row r="10055">
      <c r="A10055" s="9" t="s">
        <v>32934</v>
      </c>
      <c r="B10055" s="9" t="s">
        <v>32935</v>
      </c>
    </row>
    <row r="10056">
      <c r="A10056" s="9" t="s">
        <v>32936</v>
      </c>
      <c r="B10056" s="9" t="s">
        <v>32937</v>
      </c>
    </row>
    <row r="10057">
      <c r="A10057" s="9" t="s">
        <v>32938</v>
      </c>
      <c r="B10057" s="9" t="s">
        <v>32939</v>
      </c>
    </row>
    <row r="10058">
      <c r="A10058" s="9" t="s">
        <v>32940</v>
      </c>
      <c r="B10058" s="9" t="s">
        <v>32941</v>
      </c>
    </row>
    <row r="10059">
      <c r="A10059" s="9" t="s">
        <v>32942</v>
      </c>
      <c r="B10059" s="9" t="s">
        <v>32943</v>
      </c>
    </row>
    <row r="10060">
      <c r="A10060" s="9" t="s">
        <v>32944</v>
      </c>
      <c r="B10060" s="9" t="s">
        <v>32945</v>
      </c>
    </row>
    <row r="10061">
      <c r="A10061" s="9" t="s">
        <v>32946</v>
      </c>
      <c r="B10061" s="9" t="s">
        <v>32947</v>
      </c>
    </row>
    <row r="10062">
      <c r="A10062" s="9" t="s">
        <v>32948</v>
      </c>
      <c r="B10062" s="9" t="s">
        <v>32949</v>
      </c>
    </row>
    <row r="10063">
      <c r="A10063" s="9" t="s">
        <v>32950</v>
      </c>
      <c r="B10063" s="9" t="s">
        <v>32951</v>
      </c>
    </row>
    <row r="10064">
      <c r="A10064" s="9" t="s">
        <v>32952</v>
      </c>
      <c r="B10064" s="9" t="s">
        <v>32953</v>
      </c>
    </row>
    <row r="10065">
      <c r="A10065" s="9" t="s">
        <v>32954</v>
      </c>
      <c r="B10065" s="9" t="s">
        <v>32955</v>
      </c>
    </row>
    <row r="10066">
      <c r="A10066" s="9" t="s">
        <v>32956</v>
      </c>
      <c r="B10066" s="9" t="s">
        <v>32957</v>
      </c>
    </row>
    <row r="10067">
      <c r="A10067" s="9" t="s">
        <v>32958</v>
      </c>
      <c r="B10067" s="9" t="s">
        <v>32959</v>
      </c>
    </row>
    <row r="10068">
      <c r="A10068" s="9" t="s">
        <v>32960</v>
      </c>
      <c r="B10068" s="9" t="s">
        <v>32961</v>
      </c>
    </row>
    <row r="10069">
      <c r="A10069" s="9" t="s">
        <v>32962</v>
      </c>
      <c r="B10069" s="9" t="s">
        <v>32963</v>
      </c>
    </row>
    <row r="10070">
      <c r="A10070" s="9" t="s">
        <v>32964</v>
      </c>
      <c r="B10070" s="9" t="s">
        <v>32965</v>
      </c>
    </row>
    <row r="10071">
      <c r="A10071" s="9" t="s">
        <v>32966</v>
      </c>
      <c r="B10071" s="9" t="s">
        <v>32967</v>
      </c>
    </row>
    <row r="10072">
      <c r="A10072" s="9" t="s">
        <v>32968</v>
      </c>
      <c r="B10072" s="9" t="s">
        <v>32969</v>
      </c>
    </row>
    <row r="10073">
      <c r="A10073" s="9"/>
      <c r="B10073" s="9"/>
    </row>
    <row r="10074">
      <c r="A10074" s="9"/>
      <c r="B10074" s="9"/>
    </row>
    <row r="10075">
      <c r="A10075" s="9"/>
      <c r="B10075" s="9"/>
    </row>
    <row r="10076">
      <c r="A10076" s="9"/>
      <c r="B10076" s="9"/>
    </row>
    <row r="10077">
      <c r="A10077" s="9"/>
      <c r="B10077" s="9"/>
    </row>
    <row r="10078">
      <c r="A10078" s="9"/>
      <c r="B10078" s="9"/>
    </row>
    <row r="10079">
      <c r="A10079" s="9"/>
      <c r="B10079" s="9"/>
    </row>
    <row r="10080">
      <c r="A10080" s="9"/>
      <c r="B10080" s="9"/>
    </row>
    <row r="10081">
      <c r="A10081" s="9"/>
      <c r="B10081" s="9"/>
    </row>
    <row r="10082">
      <c r="A10082" s="9"/>
      <c r="B10082" s="9"/>
    </row>
    <row r="10083">
      <c r="A10083" s="9"/>
      <c r="B10083" s="9"/>
    </row>
    <row r="10084">
      <c r="A10084" s="9"/>
      <c r="B10084" s="9"/>
    </row>
    <row r="10085">
      <c r="A10085" s="9"/>
      <c r="B10085" s="9"/>
    </row>
    <row r="10086">
      <c r="A10086" s="9"/>
      <c r="B10086" s="9"/>
    </row>
    <row r="10087">
      <c r="A10087" s="9"/>
      <c r="B10087" s="9"/>
    </row>
    <row r="10088">
      <c r="A10088" s="9"/>
      <c r="B10088" s="9"/>
    </row>
    <row r="10089">
      <c r="A10089" s="9"/>
      <c r="B10089" s="9"/>
    </row>
    <row r="10090">
      <c r="A10090" s="9"/>
      <c r="B10090" s="9"/>
    </row>
    <row r="10091">
      <c r="A10091" s="9"/>
      <c r="B10091" s="9"/>
    </row>
    <row r="10092">
      <c r="A10092" s="9"/>
      <c r="B10092" s="9"/>
    </row>
    <row r="10093">
      <c r="A10093" s="9"/>
      <c r="B10093" s="9"/>
    </row>
    <row r="10094">
      <c r="A10094" s="9"/>
      <c r="B10094" s="9"/>
    </row>
    <row r="10095">
      <c r="A10095" s="9"/>
      <c r="B10095" s="9"/>
    </row>
    <row r="10096">
      <c r="A10096" s="9"/>
      <c r="B10096" s="9"/>
    </row>
    <row r="10097">
      <c r="A10097" s="9"/>
      <c r="B10097" s="9"/>
    </row>
    <row r="10098">
      <c r="A10098" s="9"/>
      <c r="B10098" s="9"/>
    </row>
    <row r="10099">
      <c r="A10099" s="9"/>
      <c r="B10099" s="9"/>
    </row>
    <row r="10100">
      <c r="A10100" s="9"/>
      <c r="B10100" s="9"/>
    </row>
    <row r="10101">
      <c r="A10101" s="9"/>
      <c r="B10101" s="9"/>
    </row>
    <row r="10102">
      <c r="A10102" s="9"/>
      <c r="B10102" s="9"/>
    </row>
    <row r="10103">
      <c r="A10103" s="9"/>
      <c r="B10103" s="9"/>
    </row>
    <row r="10104">
      <c r="A10104" s="9"/>
      <c r="B10104" s="9"/>
    </row>
    <row r="10105">
      <c r="A10105" s="9"/>
      <c r="B10105" s="9"/>
    </row>
    <row r="10106">
      <c r="A10106" s="9"/>
      <c r="B10106" s="9"/>
    </row>
    <row r="10107">
      <c r="A10107" s="9"/>
      <c r="B10107" s="9"/>
    </row>
    <row r="10108">
      <c r="A10108" s="9"/>
      <c r="B10108" s="9"/>
    </row>
    <row r="10109">
      <c r="A10109" s="9"/>
      <c r="B10109" s="9"/>
    </row>
    <row r="10110">
      <c r="A10110" s="9"/>
      <c r="B10110" s="9"/>
    </row>
    <row r="10111">
      <c r="A10111" s="9"/>
      <c r="B10111" s="9"/>
    </row>
    <row r="10112">
      <c r="A10112" s="9"/>
      <c r="B10112" s="9"/>
    </row>
    <row r="10113">
      <c r="A10113" s="9"/>
      <c r="B10113" s="9"/>
    </row>
    <row r="10114">
      <c r="A10114" s="9"/>
      <c r="B10114" s="9"/>
    </row>
    <row r="10115">
      <c r="A10115" s="9"/>
      <c r="B10115" s="9"/>
    </row>
    <row r="10116">
      <c r="A10116" s="9"/>
      <c r="B10116" s="9"/>
    </row>
    <row r="10117">
      <c r="A10117" s="9"/>
      <c r="B10117" s="9"/>
    </row>
    <row r="10118">
      <c r="A10118" s="9"/>
      <c r="B10118" s="9"/>
    </row>
    <row r="10119">
      <c r="A10119" s="9"/>
      <c r="B10119" s="9"/>
    </row>
    <row r="10120">
      <c r="A10120" s="9"/>
      <c r="B10120" s="9"/>
    </row>
    <row r="10121">
      <c r="A10121" s="9"/>
      <c r="B10121" s="9"/>
    </row>
    <row r="10122">
      <c r="A10122" s="9"/>
      <c r="B10122" s="9"/>
    </row>
    <row r="10123">
      <c r="A10123" s="9"/>
      <c r="B10123" s="9"/>
    </row>
    <row r="10124">
      <c r="A10124" s="9"/>
      <c r="B10124" s="9"/>
    </row>
    <row r="10125">
      <c r="A10125" s="9"/>
      <c r="B10125" s="9"/>
    </row>
    <row r="10126">
      <c r="A10126" s="9"/>
      <c r="B10126" s="9"/>
    </row>
    <row r="10127">
      <c r="A10127" s="9"/>
      <c r="B10127" s="9"/>
    </row>
    <row r="10128">
      <c r="A10128" s="9"/>
      <c r="B10128" s="9"/>
    </row>
    <row r="10129">
      <c r="A10129" s="9"/>
      <c r="B10129" s="9"/>
    </row>
    <row r="10130">
      <c r="A10130" s="9"/>
      <c r="B10130" s="9"/>
    </row>
    <row r="10131">
      <c r="A10131" s="9"/>
      <c r="B10131" s="9"/>
    </row>
    <row r="10132">
      <c r="A10132" s="9"/>
      <c r="B10132" s="9"/>
    </row>
    <row r="10133">
      <c r="A10133" s="9"/>
      <c r="B10133" s="9"/>
    </row>
    <row r="10134">
      <c r="A10134" s="9"/>
      <c r="B10134" s="9"/>
    </row>
    <row r="10135">
      <c r="A10135" s="9"/>
      <c r="B10135" s="9"/>
    </row>
    <row r="10136">
      <c r="A10136" s="9"/>
      <c r="B10136" s="9"/>
    </row>
    <row r="10137">
      <c r="A10137" s="9"/>
      <c r="B10137" s="9"/>
    </row>
    <row r="10138">
      <c r="A10138" s="9"/>
      <c r="B10138" s="9"/>
    </row>
    <row r="10139">
      <c r="A10139" s="9"/>
      <c r="B10139" s="9"/>
    </row>
    <row r="10140">
      <c r="A10140" s="9"/>
      <c r="B10140" s="9"/>
    </row>
    <row r="10141">
      <c r="A10141" s="9"/>
      <c r="B10141" s="9"/>
    </row>
    <row r="10142">
      <c r="A10142" s="9"/>
      <c r="B10142" s="9"/>
    </row>
    <row r="10143">
      <c r="A10143" s="9"/>
      <c r="B10143" s="9"/>
    </row>
    <row r="10144">
      <c r="A10144" s="9"/>
      <c r="B10144" s="9"/>
    </row>
    <row r="10145">
      <c r="A10145" s="9"/>
      <c r="B10145" s="9"/>
    </row>
    <row r="10146">
      <c r="A10146" s="9"/>
      <c r="B10146" s="9"/>
    </row>
    <row r="10147">
      <c r="A10147" s="9"/>
      <c r="B10147" s="9"/>
    </row>
    <row r="10148">
      <c r="A10148" s="9"/>
      <c r="B10148" s="9"/>
    </row>
    <row r="10149">
      <c r="A10149" s="9"/>
      <c r="B10149" s="9"/>
    </row>
    <row r="10150">
      <c r="A10150" s="9"/>
      <c r="B10150" s="9"/>
    </row>
    <row r="10151">
      <c r="A10151" s="9"/>
      <c r="B10151" s="9"/>
    </row>
    <row r="10152">
      <c r="A10152" s="9"/>
      <c r="B10152" s="9"/>
    </row>
    <row r="10153">
      <c r="A10153" s="9"/>
      <c r="B10153" s="9"/>
    </row>
    <row r="10154">
      <c r="A10154" s="9"/>
      <c r="B10154" s="9"/>
    </row>
    <row r="10155">
      <c r="A10155" s="9"/>
      <c r="B10155" s="9"/>
    </row>
    <row r="10156">
      <c r="A10156" s="9"/>
      <c r="B10156" s="9"/>
    </row>
    <row r="10157">
      <c r="A10157" s="9"/>
      <c r="B10157" s="9"/>
    </row>
    <row r="10158">
      <c r="A10158" s="9"/>
      <c r="B10158" s="9"/>
    </row>
    <row r="10159">
      <c r="A10159" s="9"/>
      <c r="B10159" s="9"/>
    </row>
    <row r="10160">
      <c r="A10160" s="9"/>
      <c r="B10160" s="9"/>
    </row>
    <row r="10161">
      <c r="A10161" s="9"/>
      <c r="B10161" s="9"/>
    </row>
    <row r="10162">
      <c r="A10162" s="9"/>
      <c r="B10162" s="9"/>
    </row>
    <row r="10163">
      <c r="A10163" s="9"/>
      <c r="B10163" s="9"/>
    </row>
    <row r="10164">
      <c r="A10164" s="9"/>
      <c r="B10164" s="9"/>
    </row>
    <row r="10165">
      <c r="A10165" s="9"/>
      <c r="B10165" s="9"/>
    </row>
    <row r="10166">
      <c r="A10166" s="9"/>
      <c r="B10166" s="9"/>
    </row>
    <row r="10167">
      <c r="A10167" s="9"/>
      <c r="B10167" s="9"/>
    </row>
    <row r="10168">
      <c r="A10168" s="9"/>
      <c r="B10168" s="9"/>
    </row>
    <row r="10169">
      <c r="A10169" s="9"/>
      <c r="B10169" s="9"/>
    </row>
    <row r="10170">
      <c r="A10170" s="9"/>
      <c r="B10170" s="9"/>
    </row>
    <row r="10171">
      <c r="A10171" s="9"/>
      <c r="B10171" s="9"/>
    </row>
    <row r="10172">
      <c r="A10172" s="9"/>
      <c r="B10172" s="9"/>
    </row>
    <row r="10173">
      <c r="A10173" s="9"/>
      <c r="B10173" s="9"/>
    </row>
    <row r="10174">
      <c r="A10174" s="9"/>
      <c r="B10174" s="9"/>
    </row>
    <row r="10175">
      <c r="A10175" s="9"/>
      <c r="B10175" s="9"/>
    </row>
    <row r="10176">
      <c r="A10176" s="9"/>
      <c r="B10176" s="9"/>
    </row>
    <row r="10177">
      <c r="A10177" s="9"/>
      <c r="B10177" s="9"/>
    </row>
    <row r="10178">
      <c r="A10178" s="9"/>
      <c r="B10178" s="9"/>
    </row>
    <row r="10179">
      <c r="A10179" s="9"/>
      <c r="B10179" s="9"/>
    </row>
    <row r="10180">
      <c r="A10180" s="9"/>
      <c r="B10180" s="9"/>
    </row>
    <row r="10181">
      <c r="A10181" s="9"/>
      <c r="B10181" s="9"/>
    </row>
    <row r="10182">
      <c r="A10182" s="9"/>
      <c r="B10182" s="9"/>
    </row>
    <row r="10183">
      <c r="A10183" s="9"/>
      <c r="B10183" s="9"/>
    </row>
    <row r="10184">
      <c r="A10184" s="9"/>
      <c r="B10184" s="9"/>
    </row>
    <row r="10185">
      <c r="A10185" s="9"/>
      <c r="B10185" s="9"/>
    </row>
    <row r="10186">
      <c r="A10186" s="9"/>
      <c r="B10186" s="9"/>
    </row>
    <row r="10187">
      <c r="A10187" s="9"/>
      <c r="B10187" s="9"/>
    </row>
    <row r="10188">
      <c r="A10188" s="9"/>
      <c r="B10188" s="9"/>
    </row>
    <row r="10189">
      <c r="A10189" s="9"/>
      <c r="B10189" s="9"/>
    </row>
    <row r="10190">
      <c r="A10190" s="9"/>
      <c r="B10190" s="9"/>
    </row>
    <row r="10191">
      <c r="A10191" s="9"/>
      <c r="B10191" s="9"/>
    </row>
    <row r="10192">
      <c r="A10192" s="9"/>
      <c r="B10192" s="9"/>
    </row>
    <row r="10193">
      <c r="A10193" s="9"/>
      <c r="B10193" s="9"/>
    </row>
    <row r="10194">
      <c r="A10194" s="9"/>
      <c r="B10194" s="9"/>
    </row>
    <row r="10195">
      <c r="A10195" s="9"/>
      <c r="B10195" s="9"/>
    </row>
    <row r="10196">
      <c r="A10196" s="9"/>
      <c r="B10196" s="9"/>
    </row>
    <row r="10197">
      <c r="A10197" s="9"/>
      <c r="B10197" s="9"/>
    </row>
    <row r="10198">
      <c r="A10198" s="9"/>
      <c r="B10198" s="9"/>
    </row>
    <row r="10199">
      <c r="A10199" s="9"/>
      <c r="B10199" s="9"/>
    </row>
    <row r="10200">
      <c r="A10200" s="9"/>
      <c r="B10200" s="9"/>
    </row>
    <row r="10201">
      <c r="A10201" s="9"/>
      <c r="B10201" s="9"/>
    </row>
    <row r="10202">
      <c r="A10202" s="9"/>
      <c r="B10202" s="9"/>
    </row>
    <row r="10203">
      <c r="A10203" s="9"/>
      <c r="B10203" s="9"/>
    </row>
    <row r="10204">
      <c r="A10204" s="9"/>
      <c r="B10204" s="9"/>
    </row>
    <row r="10205">
      <c r="A10205" s="9"/>
      <c r="B10205" s="9"/>
    </row>
    <row r="10206">
      <c r="A10206" s="9"/>
      <c r="B10206" s="9"/>
    </row>
    <row r="10207">
      <c r="A10207" s="9"/>
      <c r="B10207" s="9"/>
    </row>
    <row r="10208">
      <c r="A10208" s="9"/>
      <c r="B10208" s="9"/>
    </row>
    <row r="10209">
      <c r="A10209" s="9"/>
      <c r="B10209" s="9"/>
    </row>
    <row r="10210">
      <c r="A10210" s="9"/>
      <c r="B10210" s="9"/>
    </row>
    <row r="10211">
      <c r="A10211" s="9"/>
      <c r="B10211" s="9"/>
    </row>
    <row r="10212">
      <c r="A10212" s="9"/>
      <c r="B10212" s="9"/>
    </row>
    <row r="10213">
      <c r="A10213" s="9"/>
      <c r="B10213" s="9"/>
    </row>
    <row r="10214">
      <c r="A10214" s="9"/>
      <c r="B10214" s="9"/>
    </row>
    <row r="10215">
      <c r="A10215" s="9"/>
      <c r="B10215" s="9"/>
    </row>
    <row r="10216">
      <c r="A10216" s="9"/>
      <c r="B10216" s="9"/>
    </row>
    <row r="10217">
      <c r="A10217" s="9"/>
      <c r="B10217" s="9"/>
    </row>
    <row r="10218">
      <c r="A10218" s="9"/>
      <c r="B10218" s="9"/>
    </row>
    <row r="10219">
      <c r="A10219" s="9"/>
      <c r="B10219" s="9"/>
    </row>
    <row r="10220">
      <c r="A10220" s="9"/>
      <c r="B10220" s="9"/>
    </row>
    <row r="10221">
      <c r="A10221" s="9"/>
      <c r="B10221" s="9"/>
    </row>
    <row r="10222">
      <c r="A10222" s="9"/>
      <c r="B10222" s="9"/>
    </row>
    <row r="10223">
      <c r="A10223" s="9"/>
      <c r="B10223" s="9"/>
    </row>
    <row r="10224">
      <c r="A10224" s="9"/>
      <c r="B10224" s="9"/>
    </row>
    <row r="10225">
      <c r="A10225" s="9"/>
      <c r="B10225" s="9"/>
    </row>
    <row r="10226">
      <c r="A10226" s="9"/>
      <c r="B10226" s="9"/>
    </row>
    <row r="10227">
      <c r="A10227" s="9"/>
      <c r="B10227" s="9"/>
    </row>
    <row r="10228">
      <c r="A10228" s="9"/>
      <c r="B10228" s="9"/>
    </row>
    <row r="10229">
      <c r="A10229" s="9"/>
      <c r="B10229" s="9"/>
    </row>
    <row r="10230">
      <c r="A10230" s="9"/>
      <c r="B10230" s="9"/>
    </row>
    <row r="10231">
      <c r="A10231" s="9"/>
      <c r="B10231" s="9"/>
    </row>
    <row r="10232">
      <c r="A10232" s="9"/>
      <c r="B10232" s="9"/>
    </row>
    <row r="10233">
      <c r="A10233" s="9"/>
      <c r="B10233" s="9"/>
    </row>
    <row r="10234">
      <c r="A10234" s="9"/>
      <c r="B10234" s="9"/>
    </row>
    <row r="10235">
      <c r="A10235" s="9"/>
      <c r="B10235" s="9"/>
    </row>
    <row r="10236">
      <c r="A10236" s="9"/>
      <c r="B10236" s="9"/>
    </row>
    <row r="10237">
      <c r="A10237" s="9"/>
      <c r="B10237" s="9"/>
    </row>
    <row r="10238">
      <c r="A10238" s="9"/>
      <c r="B10238" s="9"/>
    </row>
    <row r="10239">
      <c r="A10239" s="9"/>
      <c r="B10239" s="9"/>
    </row>
    <row r="10240">
      <c r="A10240" s="9"/>
      <c r="B10240" s="9"/>
    </row>
    <row r="10241">
      <c r="A10241" s="9"/>
      <c r="B10241" s="9"/>
    </row>
    <row r="10242">
      <c r="A10242" s="9"/>
      <c r="B10242" s="9"/>
    </row>
    <row r="10243">
      <c r="A10243" s="9"/>
      <c r="B10243" s="9"/>
    </row>
    <row r="10244">
      <c r="A10244" s="9"/>
      <c r="B10244" s="9"/>
    </row>
    <row r="10245">
      <c r="A10245" s="9"/>
      <c r="B10245" s="9"/>
    </row>
    <row r="10246">
      <c r="A10246" s="9"/>
      <c r="B10246" s="9"/>
    </row>
    <row r="10247">
      <c r="A10247" s="9"/>
      <c r="B10247" s="9"/>
    </row>
    <row r="10248">
      <c r="A10248" s="9"/>
      <c r="B10248" s="9"/>
    </row>
    <row r="10249">
      <c r="A10249" s="9"/>
      <c r="B10249" s="9"/>
    </row>
    <row r="10250">
      <c r="A10250" s="9"/>
      <c r="B10250" s="9"/>
    </row>
    <row r="10251">
      <c r="A10251" s="9"/>
      <c r="B10251" s="9"/>
    </row>
    <row r="10252">
      <c r="A10252" s="9"/>
      <c r="B10252" s="9"/>
    </row>
    <row r="10253">
      <c r="A10253" s="9"/>
      <c r="B10253" s="9"/>
    </row>
    <row r="10254">
      <c r="A10254" s="9"/>
      <c r="B10254" s="9"/>
    </row>
    <row r="10255">
      <c r="A10255" s="9"/>
      <c r="B10255" s="9"/>
    </row>
    <row r="10256">
      <c r="A10256" s="9"/>
      <c r="B10256" s="9"/>
    </row>
    <row r="10257">
      <c r="A10257" s="9"/>
      <c r="B10257" s="9"/>
    </row>
    <row r="10258">
      <c r="A10258" s="9"/>
      <c r="B10258" s="9"/>
    </row>
    <row r="10259">
      <c r="A10259" s="9"/>
      <c r="B10259" s="9"/>
    </row>
    <row r="10260">
      <c r="A10260" s="9"/>
      <c r="B10260" s="9"/>
    </row>
    <row r="10261">
      <c r="A10261" s="9"/>
      <c r="B10261" s="9"/>
    </row>
    <row r="10262">
      <c r="A10262" s="9"/>
      <c r="B10262" s="9"/>
    </row>
    <row r="10263">
      <c r="A10263" s="9"/>
      <c r="B10263" s="9"/>
    </row>
    <row r="10264">
      <c r="A10264" s="9"/>
      <c r="B10264" s="9"/>
    </row>
    <row r="10265">
      <c r="A10265" s="9"/>
      <c r="B10265" s="9"/>
    </row>
    <row r="10266">
      <c r="A10266" s="9"/>
      <c r="B10266" s="9"/>
    </row>
    <row r="10267">
      <c r="A10267" s="9"/>
      <c r="B10267" s="9"/>
    </row>
    <row r="10268">
      <c r="A10268" s="9"/>
      <c r="B10268" s="9"/>
    </row>
    <row r="10269">
      <c r="A10269" s="9"/>
      <c r="B10269" s="9"/>
    </row>
    <row r="10270">
      <c r="A10270" s="9"/>
      <c r="B10270" s="9"/>
    </row>
    <row r="10271">
      <c r="A10271" s="9"/>
      <c r="B10271" s="9"/>
    </row>
    <row r="10272">
      <c r="A10272" s="9"/>
      <c r="B10272" s="9"/>
    </row>
    <row r="10273">
      <c r="A10273" s="9"/>
      <c r="B10273" s="9"/>
    </row>
    <row r="10274">
      <c r="A10274" s="9"/>
      <c r="B10274" s="9"/>
    </row>
    <row r="10275">
      <c r="A10275" s="9"/>
      <c r="B10275" s="9"/>
    </row>
    <row r="10276">
      <c r="A10276" s="9"/>
      <c r="B10276" s="9"/>
    </row>
    <row r="10277">
      <c r="A10277" s="9"/>
      <c r="B10277" s="9"/>
    </row>
    <row r="10278">
      <c r="A10278" s="9"/>
      <c r="B10278" s="9"/>
    </row>
    <row r="10279">
      <c r="A10279" s="9"/>
      <c r="B10279" s="9"/>
    </row>
    <row r="10280">
      <c r="A10280" s="9"/>
      <c r="B10280" s="9"/>
    </row>
    <row r="10281">
      <c r="A10281" s="9"/>
      <c r="B10281" s="9"/>
    </row>
    <row r="10282">
      <c r="A10282" s="9"/>
      <c r="B10282" s="9"/>
    </row>
    <row r="10283">
      <c r="A10283" s="9"/>
      <c r="B10283" s="9"/>
    </row>
    <row r="10284">
      <c r="A10284" s="9"/>
      <c r="B10284" s="9"/>
    </row>
    <row r="10285">
      <c r="A10285" s="9"/>
      <c r="B10285" s="9"/>
    </row>
    <row r="10286">
      <c r="A10286" s="9"/>
      <c r="B10286" s="9"/>
    </row>
    <row r="10287">
      <c r="A10287" s="9"/>
      <c r="B10287" s="9"/>
    </row>
    <row r="10288">
      <c r="A10288" s="9"/>
      <c r="B10288" s="9"/>
    </row>
    <row r="10289">
      <c r="A10289" s="9"/>
      <c r="B10289" s="9"/>
    </row>
    <row r="10290">
      <c r="A10290" s="9"/>
      <c r="B10290" s="9"/>
    </row>
    <row r="10291">
      <c r="A10291" s="9"/>
      <c r="B10291" s="9"/>
    </row>
    <row r="10292">
      <c r="A10292" s="9"/>
      <c r="B10292" s="9"/>
    </row>
    <row r="10293">
      <c r="A10293" s="9"/>
      <c r="B10293" s="9"/>
    </row>
    <row r="10294">
      <c r="A10294" s="9"/>
      <c r="B10294" s="9"/>
    </row>
    <row r="10295">
      <c r="A10295" s="9"/>
      <c r="B10295" s="9"/>
    </row>
    <row r="10296">
      <c r="A10296" s="9"/>
      <c r="B10296" s="9"/>
    </row>
    <row r="10297">
      <c r="A10297" s="9"/>
      <c r="B10297" s="9"/>
    </row>
    <row r="10298">
      <c r="A10298" s="9"/>
      <c r="B10298" s="9"/>
    </row>
    <row r="10299">
      <c r="A10299" s="9"/>
      <c r="B10299" s="9"/>
    </row>
    <row r="10300">
      <c r="A10300" s="9"/>
      <c r="B10300" s="9"/>
    </row>
    <row r="10301">
      <c r="A10301" s="9"/>
      <c r="B10301" s="9"/>
    </row>
    <row r="10302">
      <c r="A10302" s="9"/>
      <c r="B10302" s="9"/>
    </row>
    <row r="10303">
      <c r="A10303" s="9"/>
      <c r="B10303" s="9"/>
    </row>
    <row r="10304">
      <c r="A10304" s="9"/>
      <c r="B10304" s="9"/>
    </row>
    <row r="10305">
      <c r="A10305" s="9"/>
      <c r="B10305" s="9"/>
    </row>
    <row r="10306">
      <c r="A10306" s="9"/>
      <c r="B10306" s="9"/>
    </row>
    <row r="10307">
      <c r="A10307" s="9"/>
      <c r="B10307" s="9"/>
    </row>
    <row r="10308">
      <c r="A10308" s="9"/>
      <c r="B10308" s="9"/>
    </row>
    <row r="10309">
      <c r="A10309" s="9"/>
      <c r="B10309" s="9"/>
    </row>
    <row r="10310">
      <c r="A10310" s="9"/>
      <c r="B10310" s="9"/>
    </row>
    <row r="10311">
      <c r="A10311" s="9"/>
      <c r="B10311" s="9"/>
    </row>
    <row r="10312">
      <c r="A10312" s="9"/>
      <c r="B10312" s="9"/>
    </row>
    <row r="10313">
      <c r="A10313" s="9"/>
      <c r="B10313" s="9"/>
    </row>
    <row r="10314">
      <c r="A10314" s="9"/>
      <c r="B10314" s="9"/>
    </row>
    <row r="10315">
      <c r="A10315" s="9"/>
      <c r="B10315" s="9"/>
    </row>
    <row r="10316">
      <c r="A10316" s="9"/>
      <c r="B10316" s="9"/>
    </row>
    <row r="10317">
      <c r="A10317" s="9"/>
      <c r="B10317" s="9"/>
    </row>
    <row r="10318">
      <c r="A10318" s="9"/>
      <c r="B10318" s="9"/>
    </row>
    <row r="10319">
      <c r="A10319" s="9"/>
      <c r="B10319" s="9"/>
    </row>
    <row r="10320">
      <c r="A10320" s="9"/>
      <c r="B10320" s="9"/>
    </row>
    <row r="10321">
      <c r="A10321" s="9"/>
      <c r="B10321" s="9"/>
    </row>
    <row r="10322">
      <c r="A10322" s="9"/>
      <c r="B10322" s="9"/>
    </row>
    <row r="10323">
      <c r="A10323" s="9"/>
      <c r="B10323" s="9"/>
    </row>
    <row r="10324">
      <c r="A10324" s="9"/>
      <c r="B10324" s="9"/>
    </row>
    <row r="10325">
      <c r="A10325" s="9"/>
      <c r="B10325" s="9"/>
    </row>
    <row r="10326">
      <c r="A10326" s="9"/>
      <c r="B10326" s="9"/>
    </row>
    <row r="10327">
      <c r="A10327" s="9"/>
      <c r="B10327" s="9"/>
    </row>
    <row r="10328">
      <c r="A10328" s="9"/>
      <c r="B10328" s="9"/>
    </row>
    <row r="10329">
      <c r="A10329" s="9"/>
      <c r="B10329" s="9"/>
    </row>
    <row r="10330">
      <c r="A10330" s="9"/>
      <c r="B10330" s="9"/>
    </row>
    <row r="10331">
      <c r="A10331" s="9"/>
      <c r="B10331" s="9"/>
    </row>
    <row r="10332">
      <c r="A10332" s="9"/>
      <c r="B10332" s="9"/>
    </row>
    <row r="10333">
      <c r="A10333" s="9"/>
      <c r="B10333" s="9"/>
    </row>
    <row r="10334">
      <c r="A10334" s="9"/>
      <c r="B10334" s="9"/>
    </row>
    <row r="10335">
      <c r="A10335" s="9"/>
      <c r="B10335" s="9"/>
    </row>
    <row r="10336">
      <c r="A10336" s="9"/>
      <c r="B10336" s="9"/>
    </row>
    <row r="10337">
      <c r="A10337" s="9"/>
      <c r="B10337" s="9"/>
    </row>
    <row r="10338">
      <c r="A10338" s="9"/>
      <c r="B10338" s="9"/>
    </row>
    <row r="10339">
      <c r="A10339" s="9"/>
      <c r="B10339" s="9"/>
    </row>
    <row r="10340">
      <c r="A10340" s="9"/>
      <c r="B10340" s="9"/>
    </row>
    <row r="10341">
      <c r="A10341" s="9"/>
      <c r="B10341" s="9"/>
    </row>
    <row r="10342">
      <c r="A10342" s="9"/>
      <c r="B10342" s="9"/>
    </row>
    <row r="10343">
      <c r="A10343" s="9"/>
      <c r="B10343" s="9"/>
    </row>
    <row r="10344">
      <c r="A10344" s="9"/>
      <c r="B10344" s="9"/>
    </row>
    <row r="10345">
      <c r="A10345" s="9"/>
      <c r="B10345" s="9"/>
    </row>
    <row r="10346">
      <c r="A10346" s="9"/>
      <c r="B10346" s="9"/>
    </row>
    <row r="10347">
      <c r="A10347" s="9"/>
      <c r="B10347" s="9"/>
    </row>
    <row r="10348">
      <c r="A10348" s="9"/>
      <c r="B10348" s="9"/>
    </row>
    <row r="10349">
      <c r="A10349" s="9"/>
      <c r="B10349" s="9"/>
    </row>
    <row r="10350">
      <c r="A10350" s="9"/>
      <c r="B10350" s="9"/>
    </row>
    <row r="10351">
      <c r="A10351" s="9"/>
      <c r="B10351" s="9"/>
    </row>
    <row r="10352">
      <c r="A10352" s="9"/>
      <c r="B10352" s="9"/>
    </row>
    <row r="10353">
      <c r="A10353" s="9"/>
      <c r="B10353" s="9"/>
    </row>
    <row r="10354">
      <c r="A10354" s="9"/>
      <c r="B10354" s="9"/>
    </row>
    <row r="10355">
      <c r="A10355" s="9"/>
      <c r="B10355" s="9"/>
    </row>
    <row r="10356">
      <c r="A10356" s="9"/>
      <c r="B10356" s="9"/>
    </row>
    <row r="10357">
      <c r="A10357" s="9"/>
      <c r="B10357" s="9"/>
    </row>
    <row r="10358">
      <c r="A10358" s="9"/>
      <c r="B10358" s="9"/>
    </row>
    <row r="10359">
      <c r="A10359" s="9"/>
      <c r="B10359" s="9"/>
    </row>
    <row r="10360">
      <c r="A10360" s="9"/>
      <c r="B10360" s="9"/>
    </row>
    <row r="10361">
      <c r="A10361" s="9"/>
      <c r="B10361" s="9"/>
    </row>
    <row r="10362">
      <c r="A10362" s="9"/>
      <c r="B10362" s="9"/>
    </row>
    <row r="10363">
      <c r="A10363" s="9"/>
      <c r="B10363" s="9"/>
    </row>
    <row r="10364">
      <c r="A10364" s="9"/>
      <c r="B10364" s="9"/>
    </row>
    <row r="10365">
      <c r="A10365" s="9"/>
      <c r="B10365" s="9"/>
    </row>
    <row r="10366">
      <c r="A10366" s="9"/>
      <c r="B10366" s="9"/>
    </row>
    <row r="10367">
      <c r="A10367" s="9"/>
      <c r="B10367" s="9"/>
    </row>
    <row r="10368">
      <c r="A10368" s="9"/>
      <c r="B10368" s="9"/>
    </row>
    <row r="10369">
      <c r="A10369" s="9"/>
      <c r="B10369" s="9"/>
    </row>
    <row r="10370">
      <c r="A10370" s="9"/>
      <c r="B10370" s="9"/>
    </row>
    <row r="10371">
      <c r="A10371" s="9"/>
      <c r="B10371" s="9"/>
    </row>
    <row r="10372">
      <c r="A10372" s="9"/>
      <c r="B10372" s="9"/>
    </row>
    <row r="10373">
      <c r="A10373" s="9"/>
      <c r="B10373" s="9"/>
    </row>
    <row r="10374">
      <c r="A10374" s="9"/>
      <c r="B10374" s="9"/>
    </row>
    <row r="10375">
      <c r="A10375" s="9"/>
      <c r="B10375" s="9"/>
    </row>
    <row r="10376">
      <c r="A10376" s="9"/>
      <c r="B10376" s="9"/>
    </row>
    <row r="10377">
      <c r="A10377" s="9"/>
      <c r="B10377" s="9"/>
    </row>
    <row r="10378">
      <c r="A10378" s="9"/>
      <c r="B10378" s="9"/>
    </row>
    <row r="10379">
      <c r="A10379" s="9"/>
      <c r="B10379" s="9"/>
    </row>
    <row r="10380">
      <c r="A10380" s="9"/>
      <c r="B10380" s="9"/>
    </row>
    <row r="10381">
      <c r="A10381" s="9"/>
      <c r="B10381" s="9"/>
    </row>
    <row r="10382">
      <c r="A10382" s="9"/>
      <c r="B10382" s="9"/>
    </row>
    <row r="10383">
      <c r="A10383" s="9"/>
      <c r="B10383" s="9"/>
    </row>
    <row r="10384">
      <c r="A10384" s="9"/>
      <c r="B10384" s="9"/>
    </row>
    <row r="10385">
      <c r="A10385" s="9"/>
      <c r="B10385" s="9"/>
    </row>
    <row r="10386">
      <c r="A10386" s="9"/>
      <c r="B10386" s="9"/>
    </row>
    <row r="10387">
      <c r="A10387" s="9"/>
      <c r="B10387" s="9"/>
    </row>
    <row r="10388">
      <c r="A10388" s="9"/>
      <c r="B10388" s="9"/>
    </row>
    <row r="10389">
      <c r="A10389" s="9"/>
      <c r="B10389" s="9"/>
    </row>
    <row r="10390">
      <c r="A10390" s="9"/>
      <c r="B10390" s="9"/>
    </row>
    <row r="10391">
      <c r="A10391" s="9"/>
      <c r="B10391" s="9"/>
    </row>
    <row r="10392">
      <c r="A10392" s="9"/>
      <c r="B10392" s="9"/>
    </row>
    <row r="10393">
      <c r="A10393" s="9"/>
      <c r="B10393" s="9"/>
    </row>
    <row r="10394">
      <c r="A10394" s="9"/>
      <c r="B10394" s="9"/>
    </row>
    <row r="10395">
      <c r="A10395" s="9"/>
      <c r="B10395" s="9"/>
    </row>
    <row r="10396">
      <c r="A10396" s="9"/>
      <c r="B10396" s="9"/>
    </row>
    <row r="10397">
      <c r="A10397" s="9"/>
      <c r="B10397" s="9"/>
    </row>
    <row r="10398">
      <c r="A10398" s="9"/>
      <c r="B10398" s="9"/>
    </row>
    <row r="10399">
      <c r="A10399" s="9"/>
      <c r="B10399" s="9"/>
    </row>
    <row r="10400">
      <c r="A10400" s="9"/>
      <c r="B10400" s="9"/>
    </row>
    <row r="10401">
      <c r="A10401" s="9"/>
      <c r="B10401" s="9"/>
    </row>
    <row r="10402">
      <c r="A10402" s="9"/>
      <c r="B10402" s="9"/>
    </row>
    <row r="10403">
      <c r="A10403" s="9"/>
      <c r="B10403" s="9"/>
    </row>
    <row r="10404">
      <c r="A10404" s="9"/>
      <c r="B10404" s="9"/>
    </row>
    <row r="10405">
      <c r="A10405" s="9"/>
      <c r="B10405" s="9"/>
    </row>
    <row r="10406">
      <c r="A10406" s="9"/>
      <c r="B10406" s="9"/>
    </row>
    <row r="10407">
      <c r="A10407" s="9"/>
      <c r="B10407" s="9"/>
    </row>
    <row r="10408">
      <c r="A10408" s="9"/>
      <c r="B10408" s="9"/>
    </row>
    <row r="10409">
      <c r="A10409" s="9"/>
      <c r="B10409" s="9"/>
    </row>
    <row r="10410">
      <c r="A10410" s="9"/>
      <c r="B10410" s="9"/>
    </row>
    <row r="10411">
      <c r="A10411" s="9"/>
      <c r="B10411" s="9"/>
    </row>
    <row r="10412">
      <c r="A10412" s="9"/>
      <c r="B10412" s="9"/>
    </row>
    <row r="10413">
      <c r="A10413" s="9"/>
      <c r="B10413" s="9"/>
    </row>
    <row r="10414">
      <c r="A10414" s="9"/>
      <c r="B10414" s="9"/>
    </row>
    <row r="10415">
      <c r="A10415" s="9"/>
      <c r="B10415" s="9"/>
    </row>
    <row r="10416">
      <c r="A10416" s="9"/>
      <c r="B10416" s="9"/>
    </row>
    <row r="10417">
      <c r="A10417" s="9"/>
      <c r="B10417" s="9"/>
    </row>
    <row r="10418">
      <c r="A10418" s="9"/>
      <c r="B10418" s="9"/>
    </row>
    <row r="10419">
      <c r="A10419" s="9"/>
      <c r="B10419" s="9"/>
    </row>
    <row r="10420">
      <c r="A10420" s="9"/>
      <c r="B10420" s="9"/>
    </row>
    <row r="10421">
      <c r="A10421" s="9"/>
      <c r="B10421" s="9"/>
    </row>
    <row r="10422">
      <c r="A10422" s="9"/>
      <c r="B10422" s="9"/>
    </row>
    <row r="10423">
      <c r="A10423" s="9"/>
      <c r="B10423" s="9"/>
    </row>
    <row r="10424">
      <c r="A10424" s="9"/>
      <c r="B10424" s="9"/>
    </row>
    <row r="10425">
      <c r="A10425" s="9"/>
      <c r="B10425" s="9"/>
    </row>
    <row r="10426">
      <c r="A10426" s="9"/>
      <c r="B10426" s="9"/>
    </row>
    <row r="10427">
      <c r="A10427" s="9"/>
      <c r="B10427" s="9"/>
    </row>
    <row r="10428">
      <c r="A10428" s="9"/>
      <c r="B10428" s="9"/>
    </row>
    <row r="10429">
      <c r="A10429" s="9"/>
      <c r="B10429" s="9"/>
    </row>
    <row r="10430">
      <c r="A10430" s="9"/>
      <c r="B10430" s="9"/>
    </row>
    <row r="10431">
      <c r="A10431" s="9"/>
      <c r="B10431" s="9"/>
    </row>
    <row r="10432">
      <c r="A10432" s="9"/>
      <c r="B10432" s="9"/>
    </row>
    <row r="10433">
      <c r="A10433" s="9"/>
      <c r="B10433" s="9"/>
    </row>
    <row r="10434">
      <c r="A10434" s="9"/>
      <c r="B10434" s="9"/>
    </row>
    <row r="10435">
      <c r="A10435" s="9"/>
      <c r="B10435" s="9"/>
    </row>
    <row r="10436">
      <c r="A10436" s="9"/>
      <c r="B10436" s="9"/>
    </row>
    <row r="10437">
      <c r="A10437" s="9"/>
      <c r="B10437" s="9"/>
    </row>
    <row r="10438">
      <c r="A10438" s="9"/>
      <c r="B10438" s="9"/>
    </row>
    <row r="10439">
      <c r="A10439" s="9"/>
      <c r="B10439" s="9"/>
    </row>
    <row r="10440">
      <c r="A10440" s="9"/>
      <c r="B10440" s="9"/>
    </row>
    <row r="10441">
      <c r="A10441" s="9"/>
      <c r="B10441" s="9"/>
    </row>
    <row r="10442">
      <c r="A10442" s="9"/>
      <c r="B10442" s="9"/>
    </row>
    <row r="10443">
      <c r="A10443" s="9"/>
      <c r="B10443" s="9"/>
    </row>
    <row r="10444">
      <c r="A10444" s="9"/>
      <c r="B10444" s="9"/>
    </row>
    <row r="10445">
      <c r="A10445" s="9"/>
      <c r="B10445" s="9"/>
    </row>
    <row r="10446">
      <c r="A10446" s="9"/>
      <c r="B10446" s="9"/>
    </row>
    <row r="10447">
      <c r="A10447" s="9"/>
      <c r="B10447" s="9"/>
    </row>
    <row r="10448">
      <c r="A10448" s="9"/>
      <c r="B10448" s="9"/>
    </row>
    <row r="10449">
      <c r="A10449" s="9"/>
      <c r="B10449" s="9"/>
    </row>
    <row r="10450">
      <c r="A10450" s="9"/>
      <c r="B10450" s="9"/>
    </row>
    <row r="10451">
      <c r="A10451" s="9"/>
      <c r="B10451" s="9"/>
    </row>
    <row r="10452">
      <c r="A10452" s="9"/>
      <c r="B10452" s="9"/>
    </row>
    <row r="10453">
      <c r="A10453" s="9"/>
      <c r="B10453" s="9"/>
    </row>
    <row r="10454">
      <c r="A10454" s="9"/>
      <c r="B10454" s="9"/>
    </row>
    <row r="10455">
      <c r="A10455" s="9"/>
      <c r="B10455" s="9"/>
    </row>
    <row r="10456">
      <c r="A10456" s="9"/>
      <c r="B10456" s="9"/>
    </row>
    <row r="10457">
      <c r="A10457" s="9"/>
      <c r="B10457" s="9"/>
    </row>
    <row r="10458">
      <c r="A10458" s="9"/>
      <c r="B10458" s="9"/>
    </row>
    <row r="10459">
      <c r="A10459" s="9"/>
      <c r="B10459" s="9"/>
    </row>
    <row r="10460">
      <c r="A10460" s="9"/>
      <c r="B10460" s="9"/>
    </row>
    <row r="10461">
      <c r="A10461" s="9"/>
      <c r="B10461" s="9"/>
    </row>
    <row r="10462">
      <c r="A10462" s="9"/>
      <c r="B10462" s="9"/>
    </row>
    <row r="10463">
      <c r="A10463" s="9"/>
      <c r="B10463" s="9"/>
    </row>
    <row r="10464">
      <c r="A10464" s="9"/>
      <c r="B10464" s="9"/>
    </row>
    <row r="10465">
      <c r="A10465" s="9"/>
      <c r="B10465" s="9"/>
    </row>
    <row r="10466">
      <c r="A10466" s="9"/>
      <c r="B10466" s="9"/>
    </row>
    <row r="10467">
      <c r="A10467" s="9"/>
      <c r="B10467" s="9"/>
    </row>
    <row r="10468">
      <c r="A10468" s="9"/>
      <c r="B10468" s="9"/>
    </row>
    <row r="10469">
      <c r="A10469" s="9"/>
      <c r="B10469" s="9"/>
    </row>
    <row r="10470">
      <c r="A10470" s="9"/>
      <c r="B10470" s="9"/>
    </row>
    <row r="10471">
      <c r="A10471" s="9"/>
      <c r="B10471" s="9"/>
    </row>
    <row r="10472">
      <c r="A10472" s="9"/>
      <c r="B10472" s="9"/>
    </row>
    <row r="10473">
      <c r="A10473" s="9"/>
      <c r="B10473" s="9"/>
    </row>
    <row r="10474">
      <c r="A10474" s="9"/>
      <c r="B10474" s="9"/>
    </row>
    <row r="10475">
      <c r="A10475" s="9"/>
      <c r="B10475" s="9"/>
    </row>
    <row r="10476">
      <c r="A10476" s="9"/>
      <c r="B10476" s="9"/>
    </row>
    <row r="10477">
      <c r="A10477" s="9"/>
      <c r="B10477" s="9"/>
    </row>
    <row r="10478">
      <c r="A10478" s="9"/>
      <c r="B10478" s="9"/>
    </row>
    <row r="10479">
      <c r="A10479" s="9"/>
      <c r="B10479" s="9"/>
    </row>
    <row r="10480">
      <c r="A10480" s="9"/>
      <c r="B10480" s="9"/>
    </row>
    <row r="10481">
      <c r="A10481" s="9"/>
      <c r="B10481" s="9"/>
    </row>
    <row r="10482">
      <c r="A10482" s="9"/>
      <c r="B10482" s="9"/>
    </row>
    <row r="10483">
      <c r="A10483" s="9"/>
      <c r="B10483" s="9"/>
    </row>
    <row r="10484">
      <c r="A10484" s="9"/>
      <c r="B10484" s="9"/>
    </row>
    <row r="10485">
      <c r="A10485" s="9"/>
      <c r="B10485" s="9"/>
    </row>
    <row r="10486">
      <c r="A10486" s="9"/>
      <c r="B10486" s="9"/>
    </row>
    <row r="10487">
      <c r="A10487" s="9"/>
      <c r="B10487" s="9"/>
    </row>
    <row r="10488">
      <c r="A10488" s="9"/>
      <c r="B10488" s="9"/>
    </row>
    <row r="10489">
      <c r="A10489" s="9"/>
      <c r="B10489" s="9"/>
    </row>
    <row r="10490">
      <c r="A10490" s="9"/>
      <c r="B10490" s="9"/>
    </row>
    <row r="10491">
      <c r="A10491" s="9"/>
      <c r="B10491" s="9"/>
    </row>
    <row r="10492">
      <c r="A10492" s="9"/>
      <c r="B10492" s="9"/>
    </row>
    <row r="10493">
      <c r="A10493" s="9"/>
      <c r="B10493" s="9"/>
    </row>
    <row r="10494">
      <c r="A10494" s="9"/>
      <c r="B10494" s="9"/>
    </row>
    <row r="10495">
      <c r="A10495" s="9"/>
      <c r="B10495" s="9"/>
    </row>
    <row r="10496">
      <c r="A10496" s="9"/>
      <c r="B10496" s="9"/>
    </row>
    <row r="10497">
      <c r="A10497" s="9"/>
      <c r="B10497" s="9"/>
    </row>
    <row r="10498">
      <c r="A10498" s="9"/>
      <c r="B10498" s="9"/>
    </row>
    <row r="10499">
      <c r="A10499" s="9"/>
      <c r="B10499" s="9"/>
    </row>
    <row r="10500">
      <c r="A10500" s="9"/>
      <c r="B10500" s="9"/>
    </row>
    <row r="10501">
      <c r="A10501" s="9"/>
      <c r="B10501" s="9"/>
    </row>
    <row r="10502">
      <c r="A10502" s="9"/>
      <c r="B10502" s="9"/>
    </row>
    <row r="10503">
      <c r="A10503" s="9"/>
      <c r="B10503" s="9"/>
    </row>
    <row r="10504">
      <c r="A10504" s="9"/>
      <c r="B10504" s="9"/>
    </row>
    <row r="10505">
      <c r="A10505" s="9"/>
      <c r="B10505" s="9"/>
    </row>
    <row r="10506">
      <c r="A10506" s="9"/>
      <c r="B10506" s="9"/>
    </row>
    <row r="10507">
      <c r="A10507" s="9"/>
      <c r="B10507" s="9"/>
    </row>
    <row r="10508">
      <c r="A10508" s="9"/>
      <c r="B10508" s="9"/>
    </row>
    <row r="10509">
      <c r="A10509" s="9"/>
      <c r="B10509" s="9"/>
    </row>
    <row r="10510">
      <c r="A10510" s="9"/>
      <c r="B10510" s="9"/>
    </row>
    <row r="10511">
      <c r="A10511" s="9"/>
      <c r="B10511" s="9"/>
    </row>
    <row r="10512">
      <c r="A10512" s="9"/>
      <c r="B10512" s="9"/>
    </row>
    <row r="10513">
      <c r="A10513" s="9"/>
      <c r="B10513" s="9"/>
    </row>
    <row r="10514">
      <c r="A10514" s="9"/>
      <c r="B10514" s="9"/>
    </row>
    <row r="10515">
      <c r="A10515" s="9"/>
      <c r="B10515" s="9"/>
    </row>
    <row r="10516">
      <c r="A10516" s="9"/>
      <c r="B10516" s="9"/>
    </row>
    <row r="10517">
      <c r="A10517" s="9"/>
      <c r="B10517" s="9"/>
    </row>
    <row r="10518">
      <c r="A10518" s="9"/>
      <c r="B10518" s="9"/>
    </row>
    <row r="10519">
      <c r="A10519" s="9"/>
      <c r="B10519" s="9"/>
    </row>
    <row r="10520">
      <c r="A10520" s="9"/>
      <c r="B10520" s="9"/>
    </row>
    <row r="10521">
      <c r="A10521" s="9"/>
      <c r="B10521" s="9"/>
    </row>
    <row r="10522">
      <c r="A10522" s="9"/>
      <c r="B10522" s="9"/>
    </row>
    <row r="10523">
      <c r="A10523" s="9"/>
      <c r="B10523" s="9"/>
    </row>
    <row r="10524">
      <c r="A10524" s="9"/>
      <c r="B10524" s="9"/>
    </row>
    <row r="10525">
      <c r="A10525" s="9"/>
      <c r="B10525" s="9"/>
    </row>
    <row r="10526">
      <c r="A10526" s="9"/>
      <c r="B10526" s="9"/>
    </row>
    <row r="10527">
      <c r="A10527" s="9"/>
      <c r="B10527" s="9"/>
    </row>
    <row r="10528">
      <c r="A10528" s="9"/>
      <c r="B10528" s="9"/>
    </row>
    <row r="10529">
      <c r="A10529" s="9"/>
      <c r="B10529" s="9"/>
    </row>
    <row r="10530">
      <c r="A10530" s="9"/>
      <c r="B10530" s="9"/>
    </row>
    <row r="10531">
      <c r="A10531" s="9"/>
      <c r="B10531" s="9"/>
    </row>
    <row r="10532">
      <c r="A10532" s="9"/>
      <c r="B10532" s="9"/>
    </row>
    <row r="10533">
      <c r="A10533" s="9"/>
      <c r="B10533" s="9"/>
    </row>
    <row r="10534">
      <c r="A10534" s="9"/>
      <c r="B10534" s="9"/>
    </row>
    <row r="10535">
      <c r="A10535" s="9"/>
      <c r="B10535" s="9"/>
    </row>
    <row r="10536">
      <c r="A10536" s="9"/>
      <c r="B10536" s="9"/>
    </row>
    <row r="10537">
      <c r="A10537" s="9"/>
      <c r="B10537" s="9"/>
    </row>
    <row r="10538">
      <c r="A10538" s="9"/>
      <c r="B10538" s="9"/>
    </row>
    <row r="10539">
      <c r="A10539" s="9"/>
      <c r="B10539" s="9"/>
    </row>
    <row r="10540">
      <c r="A10540" s="9"/>
      <c r="B10540" s="9"/>
    </row>
    <row r="10541">
      <c r="A10541" s="9"/>
      <c r="B10541" s="9"/>
    </row>
    <row r="10542">
      <c r="A10542" s="9"/>
      <c r="B10542" s="9"/>
    </row>
    <row r="10543">
      <c r="A10543" s="9"/>
      <c r="B10543" s="9"/>
    </row>
    <row r="10544">
      <c r="A10544" s="9"/>
      <c r="B10544" s="9"/>
    </row>
    <row r="10545">
      <c r="A10545" s="9"/>
      <c r="B10545" s="9"/>
    </row>
    <row r="10546">
      <c r="A10546" s="9"/>
      <c r="B10546" s="9"/>
    </row>
    <row r="10547">
      <c r="A10547" s="9"/>
      <c r="B10547" s="9"/>
    </row>
    <row r="10548">
      <c r="A10548" s="9"/>
      <c r="B10548" s="9"/>
    </row>
    <row r="10549">
      <c r="A10549" s="9"/>
      <c r="B10549" s="9"/>
    </row>
    <row r="10550">
      <c r="A10550" s="9"/>
      <c r="B10550" s="9"/>
    </row>
    <row r="10551">
      <c r="A10551" s="9"/>
      <c r="B10551" s="9"/>
    </row>
    <row r="10552">
      <c r="A10552" s="9"/>
      <c r="B10552" s="9"/>
    </row>
    <row r="10553">
      <c r="A10553" s="9"/>
      <c r="B10553" s="9"/>
    </row>
    <row r="10554">
      <c r="A10554" s="9"/>
      <c r="B10554" s="9"/>
    </row>
    <row r="10555">
      <c r="A10555" s="9"/>
      <c r="B10555" s="9"/>
    </row>
    <row r="10556">
      <c r="A10556" s="9"/>
      <c r="B10556" s="9"/>
    </row>
    <row r="10557">
      <c r="A10557" s="9"/>
      <c r="B10557" s="9"/>
    </row>
    <row r="10558">
      <c r="A10558" s="9"/>
      <c r="B10558" s="9"/>
    </row>
    <row r="10559">
      <c r="A10559" s="9"/>
      <c r="B10559" s="9"/>
    </row>
    <row r="10560">
      <c r="A10560" s="9"/>
      <c r="B10560" s="9"/>
    </row>
    <row r="10561">
      <c r="A10561" s="9"/>
      <c r="B10561" s="9"/>
    </row>
    <row r="10562">
      <c r="A10562" s="9"/>
      <c r="B10562" s="9"/>
    </row>
    <row r="10563">
      <c r="A10563" s="9"/>
      <c r="B10563" s="9"/>
    </row>
    <row r="10564">
      <c r="A10564" s="9"/>
      <c r="B10564" s="9"/>
    </row>
    <row r="10565">
      <c r="A10565" s="9"/>
      <c r="B10565" s="9"/>
    </row>
    <row r="10566">
      <c r="A10566" s="9"/>
      <c r="B10566" s="9"/>
    </row>
    <row r="10567">
      <c r="A10567" s="9"/>
      <c r="B10567" s="9"/>
    </row>
    <row r="10568">
      <c r="A10568" s="9"/>
      <c r="B10568" s="9"/>
    </row>
    <row r="10569">
      <c r="A10569" s="9"/>
      <c r="B10569" s="9"/>
    </row>
    <row r="10570">
      <c r="A10570" s="9"/>
      <c r="B10570" s="9"/>
    </row>
    <row r="10571">
      <c r="A10571" s="9"/>
      <c r="B10571" s="9"/>
    </row>
    <row r="10572">
      <c r="A10572" s="9"/>
      <c r="B10572" s="9"/>
    </row>
    <row r="10573">
      <c r="A10573" s="9"/>
      <c r="B10573" s="9"/>
    </row>
    <row r="10574">
      <c r="A10574" s="9"/>
      <c r="B10574" s="9"/>
    </row>
    <row r="10575">
      <c r="A10575" s="9"/>
      <c r="B10575" s="9"/>
    </row>
    <row r="10576">
      <c r="A10576" s="9"/>
      <c r="B10576" s="9"/>
    </row>
    <row r="10577">
      <c r="A10577" s="9"/>
      <c r="B10577" s="9"/>
    </row>
    <row r="10578">
      <c r="A10578" s="9"/>
      <c r="B10578" s="9"/>
    </row>
    <row r="10579">
      <c r="A10579" s="9"/>
      <c r="B10579" s="9"/>
    </row>
    <row r="10580">
      <c r="A10580" s="9"/>
      <c r="B10580" s="9"/>
    </row>
    <row r="10581">
      <c r="A10581" s="9"/>
      <c r="B10581" s="9"/>
    </row>
    <row r="10582">
      <c r="A10582" s="9"/>
      <c r="B10582" s="9"/>
    </row>
    <row r="10583">
      <c r="A10583" s="9"/>
      <c r="B10583" s="9"/>
    </row>
    <row r="10584">
      <c r="A10584" s="9"/>
      <c r="B10584" s="9"/>
    </row>
    <row r="10585">
      <c r="A10585" s="9"/>
      <c r="B10585" s="9"/>
    </row>
    <row r="10586">
      <c r="A10586" s="9"/>
      <c r="B10586" s="9"/>
    </row>
    <row r="10587">
      <c r="A10587" s="9"/>
      <c r="B10587" s="9"/>
    </row>
    <row r="10588">
      <c r="A10588" s="9"/>
      <c r="B10588" s="9"/>
    </row>
    <row r="10589">
      <c r="A10589" s="9"/>
      <c r="B10589" s="9"/>
    </row>
    <row r="10590">
      <c r="A10590" s="9"/>
      <c r="B10590" s="9"/>
    </row>
    <row r="10591">
      <c r="A10591" s="9"/>
      <c r="B10591" s="9"/>
    </row>
    <row r="10592">
      <c r="A10592" s="9"/>
      <c r="B10592" s="9"/>
    </row>
    <row r="10593">
      <c r="A10593" s="9"/>
      <c r="B10593" s="9"/>
    </row>
    <row r="10594">
      <c r="A10594" s="9"/>
      <c r="B10594" s="9"/>
    </row>
    <row r="10595">
      <c r="A10595" s="9"/>
      <c r="B10595" s="9"/>
    </row>
    <row r="10596">
      <c r="A10596" s="9"/>
      <c r="B10596" s="9"/>
    </row>
    <row r="10597">
      <c r="A10597" s="9"/>
      <c r="B10597" s="9"/>
    </row>
    <row r="10598">
      <c r="A10598" s="9"/>
      <c r="B10598" s="9"/>
    </row>
    <row r="10599">
      <c r="A10599" s="9"/>
      <c r="B10599" s="9"/>
    </row>
    <row r="10600">
      <c r="A10600" s="9"/>
      <c r="B10600" s="9"/>
    </row>
    <row r="10601">
      <c r="A10601" s="9"/>
      <c r="B10601" s="9"/>
    </row>
    <row r="10602">
      <c r="A10602" s="9"/>
      <c r="B10602" s="9"/>
    </row>
    <row r="10603">
      <c r="A10603" s="9"/>
      <c r="B10603" s="9"/>
    </row>
    <row r="10604">
      <c r="A10604" s="9"/>
      <c r="B10604" s="9"/>
    </row>
    <row r="10605">
      <c r="A10605" s="9"/>
      <c r="B10605" s="9"/>
    </row>
    <row r="10606">
      <c r="A10606" s="9"/>
      <c r="B10606" s="9"/>
    </row>
    <row r="10607">
      <c r="A10607" s="9"/>
      <c r="B10607" s="9"/>
    </row>
    <row r="10608">
      <c r="A10608" s="9"/>
      <c r="B10608" s="9"/>
    </row>
    <row r="10609">
      <c r="A10609" s="9"/>
      <c r="B10609" s="9"/>
    </row>
    <row r="10610">
      <c r="A10610" s="9"/>
      <c r="B10610" s="9"/>
    </row>
    <row r="10611">
      <c r="A10611" s="9"/>
      <c r="B10611" s="9"/>
    </row>
    <row r="10612">
      <c r="A10612" s="9"/>
      <c r="B10612" s="9"/>
    </row>
    <row r="10613">
      <c r="A10613" s="9"/>
      <c r="B10613" s="9"/>
    </row>
    <row r="10614">
      <c r="A10614" s="9"/>
      <c r="B10614" s="9"/>
    </row>
    <row r="10615">
      <c r="A10615" s="9"/>
      <c r="B10615" s="9"/>
    </row>
    <row r="10616">
      <c r="A10616" s="9"/>
      <c r="B10616" s="9"/>
    </row>
    <row r="10617">
      <c r="A10617" s="9"/>
      <c r="B10617" s="9"/>
    </row>
    <row r="10618">
      <c r="A10618" s="9"/>
      <c r="B10618" s="9"/>
    </row>
    <row r="10619">
      <c r="A10619" s="9"/>
      <c r="B10619" s="9"/>
    </row>
    <row r="10620">
      <c r="A10620" s="9"/>
      <c r="B10620" s="9"/>
    </row>
    <row r="10621">
      <c r="A10621" s="9"/>
      <c r="B10621" s="9"/>
    </row>
    <row r="10622">
      <c r="A10622" s="9"/>
      <c r="B10622" s="9"/>
    </row>
    <row r="10623">
      <c r="A10623" s="9"/>
      <c r="B10623" s="9"/>
    </row>
    <row r="10624">
      <c r="A10624" s="9"/>
      <c r="B10624" s="9"/>
    </row>
    <row r="10625">
      <c r="A10625" s="9"/>
      <c r="B10625" s="9"/>
    </row>
    <row r="10626">
      <c r="A10626" s="9"/>
      <c r="B10626" s="9"/>
    </row>
    <row r="10627">
      <c r="A10627" s="9"/>
      <c r="B10627" s="9"/>
    </row>
    <row r="10628">
      <c r="A10628" s="9"/>
      <c r="B10628" s="9"/>
    </row>
    <row r="10629">
      <c r="A10629" s="9"/>
      <c r="B10629" s="9"/>
    </row>
    <row r="10630">
      <c r="A10630" s="9"/>
      <c r="B10630" s="9"/>
    </row>
    <row r="10631">
      <c r="A10631" s="9"/>
      <c r="B10631" s="9"/>
    </row>
    <row r="10632">
      <c r="A10632" s="9"/>
      <c r="B10632" s="9"/>
    </row>
    <row r="10633">
      <c r="A10633" s="9"/>
      <c r="B10633" s="9"/>
    </row>
    <row r="10634">
      <c r="A10634" s="9"/>
      <c r="B10634" s="9"/>
    </row>
    <row r="10635">
      <c r="A10635" s="9"/>
      <c r="B10635" s="9"/>
    </row>
    <row r="10636">
      <c r="A10636" s="9"/>
      <c r="B10636" s="9"/>
    </row>
    <row r="10637">
      <c r="A10637" s="9"/>
      <c r="B10637" s="9"/>
    </row>
    <row r="10638">
      <c r="A10638" s="9"/>
      <c r="B10638" s="9"/>
    </row>
    <row r="10639">
      <c r="A10639" s="9"/>
      <c r="B10639" s="9"/>
    </row>
    <row r="10640">
      <c r="A10640" s="9"/>
      <c r="B10640" s="9"/>
    </row>
    <row r="10641">
      <c r="A10641" s="9"/>
      <c r="B10641" s="9"/>
    </row>
    <row r="10642">
      <c r="A10642" s="9"/>
      <c r="B10642" s="9"/>
    </row>
    <row r="10643">
      <c r="A10643" s="9"/>
      <c r="B10643" s="9"/>
    </row>
    <row r="10644">
      <c r="A10644" s="9"/>
      <c r="B10644" s="9"/>
    </row>
    <row r="10645">
      <c r="A10645" s="9"/>
      <c r="B10645" s="9"/>
    </row>
    <row r="10646">
      <c r="A10646" s="9"/>
      <c r="B10646" s="9"/>
    </row>
    <row r="10647">
      <c r="A10647" s="9"/>
      <c r="B10647" s="9"/>
    </row>
    <row r="10648">
      <c r="A10648" s="9"/>
      <c r="B10648" s="9"/>
    </row>
    <row r="10649">
      <c r="A10649" s="9"/>
      <c r="B10649" s="9"/>
    </row>
    <row r="10650">
      <c r="A10650" s="9"/>
      <c r="B10650" s="9"/>
    </row>
    <row r="10651">
      <c r="A10651" s="9"/>
      <c r="B10651" s="9"/>
    </row>
    <row r="10652">
      <c r="A10652" s="9"/>
      <c r="B10652" s="9"/>
    </row>
    <row r="10653">
      <c r="A10653" s="9"/>
      <c r="B10653" s="9"/>
    </row>
    <row r="10654">
      <c r="A10654" s="9"/>
      <c r="B10654" s="9"/>
    </row>
    <row r="10655">
      <c r="A10655" s="9"/>
      <c r="B10655" s="9"/>
    </row>
    <row r="10656">
      <c r="A10656" s="9"/>
      <c r="B10656" s="9"/>
    </row>
    <row r="10657">
      <c r="A10657" s="9"/>
      <c r="B10657" s="9"/>
    </row>
    <row r="10658">
      <c r="A10658" s="9"/>
      <c r="B10658" s="9"/>
    </row>
    <row r="10659">
      <c r="A10659" s="9"/>
      <c r="B10659" s="9"/>
    </row>
    <row r="10660">
      <c r="A10660" s="9"/>
      <c r="B10660" s="9"/>
    </row>
    <row r="10661">
      <c r="A10661" s="9"/>
      <c r="B10661" s="9"/>
    </row>
    <row r="10662">
      <c r="A10662" s="9"/>
      <c r="B10662" s="9"/>
    </row>
    <row r="10663">
      <c r="A10663" s="9"/>
      <c r="B10663" s="9"/>
    </row>
    <row r="10664">
      <c r="A10664" s="9"/>
      <c r="B10664" s="9"/>
    </row>
    <row r="10665">
      <c r="A10665" s="9"/>
      <c r="B10665" s="9"/>
    </row>
    <row r="10666">
      <c r="A10666" s="9"/>
      <c r="B10666" s="9"/>
    </row>
    <row r="10667">
      <c r="A10667" s="9"/>
      <c r="B10667" s="9"/>
    </row>
    <row r="10668">
      <c r="A10668" s="9"/>
      <c r="B10668" s="9"/>
    </row>
    <row r="10669">
      <c r="A10669" s="9"/>
      <c r="B10669" s="9"/>
    </row>
    <row r="10670">
      <c r="A10670" s="9"/>
      <c r="B10670" s="9"/>
    </row>
    <row r="10671">
      <c r="A10671" s="9"/>
      <c r="B10671" s="9"/>
    </row>
    <row r="10672">
      <c r="A10672" s="9"/>
      <c r="B10672" s="9"/>
    </row>
    <row r="10673">
      <c r="A10673" s="9"/>
      <c r="B10673" s="9"/>
    </row>
    <row r="10674">
      <c r="A10674" s="9"/>
      <c r="B10674" s="9"/>
    </row>
    <row r="10675">
      <c r="A10675" s="9"/>
      <c r="B10675" s="9"/>
    </row>
    <row r="10676">
      <c r="A10676" s="9"/>
      <c r="B10676" s="9"/>
    </row>
    <row r="10677">
      <c r="A10677" s="9"/>
      <c r="B10677" s="9"/>
    </row>
    <row r="10678">
      <c r="A10678" s="9"/>
      <c r="B10678" s="9"/>
    </row>
    <row r="10679">
      <c r="A10679" s="9"/>
      <c r="B10679" s="9"/>
    </row>
    <row r="10680">
      <c r="A10680" s="9"/>
      <c r="B10680" s="9"/>
    </row>
    <row r="10681">
      <c r="A10681" s="9"/>
      <c r="B10681" s="9"/>
    </row>
    <row r="10682">
      <c r="A10682" s="9"/>
      <c r="B10682" s="9"/>
    </row>
    <row r="10683">
      <c r="A10683" s="9"/>
      <c r="B10683" s="9"/>
    </row>
    <row r="10684">
      <c r="A10684" s="9"/>
      <c r="B10684" s="9"/>
    </row>
    <row r="10685">
      <c r="A10685" s="9"/>
      <c r="B10685" s="9"/>
    </row>
    <row r="10686">
      <c r="A10686" s="9"/>
      <c r="B10686" s="9"/>
    </row>
    <row r="10687">
      <c r="A10687" s="9"/>
      <c r="B10687" s="9"/>
    </row>
    <row r="10688">
      <c r="A10688" s="9"/>
      <c r="B10688" s="9"/>
    </row>
    <row r="10689">
      <c r="A10689" s="9"/>
      <c r="B10689" s="9"/>
    </row>
    <row r="10690">
      <c r="A10690" s="9"/>
      <c r="B10690" s="9"/>
    </row>
    <row r="10691">
      <c r="A10691" s="9"/>
      <c r="B10691" s="9"/>
    </row>
    <row r="10692">
      <c r="A10692" s="9"/>
      <c r="B10692" s="9"/>
    </row>
    <row r="10693">
      <c r="A10693" s="9"/>
      <c r="B10693" s="9"/>
    </row>
    <row r="10694">
      <c r="A10694" s="9"/>
      <c r="B10694" s="9"/>
    </row>
    <row r="10695">
      <c r="A10695" s="9"/>
      <c r="B10695" s="9"/>
    </row>
    <row r="10696">
      <c r="A10696" s="9"/>
      <c r="B10696" s="9"/>
    </row>
    <row r="10697">
      <c r="A10697" s="9"/>
      <c r="B10697" s="9"/>
    </row>
    <row r="10698">
      <c r="A10698" s="9"/>
      <c r="B10698" s="9"/>
    </row>
    <row r="10699">
      <c r="A10699" s="9"/>
      <c r="B10699" s="9"/>
    </row>
    <row r="10700">
      <c r="A10700" s="9"/>
      <c r="B10700" s="9"/>
    </row>
    <row r="10701">
      <c r="A10701" s="9"/>
      <c r="B10701" s="9"/>
    </row>
    <row r="10702">
      <c r="A10702" s="9"/>
      <c r="B10702" s="9"/>
    </row>
    <row r="10703">
      <c r="A10703" s="9"/>
      <c r="B10703" s="9"/>
    </row>
    <row r="10704">
      <c r="A10704" s="9"/>
      <c r="B10704" s="9"/>
    </row>
    <row r="10705">
      <c r="A10705" s="9"/>
      <c r="B10705" s="9"/>
    </row>
    <row r="10706">
      <c r="A10706" s="9"/>
      <c r="B10706" s="9"/>
    </row>
    <row r="10707">
      <c r="A10707" s="9"/>
      <c r="B10707" s="9"/>
    </row>
    <row r="10708">
      <c r="A10708" s="9"/>
      <c r="B10708" s="9"/>
    </row>
    <row r="10709">
      <c r="A10709" s="9"/>
      <c r="B10709" s="9"/>
    </row>
    <row r="10710">
      <c r="A10710" s="9"/>
      <c r="B10710" s="9"/>
    </row>
    <row r="10711">
      <c r="A10711" s="9"/>
      <c r="B10711" s="9"/>
    </row>
    <row r="10712">
      <c r="A10712" s="9"/>
      <c r="B10712" s="9"/>
    </row>
    <row r="10713">
      <c r="A10713" s="9"/>
      <c r="B10713" s="9"/>
    </row>
    <row r="10714">
      <c r="A10714" s="9"/>
      <c r="B10714" s="9"/>
    </row>
    <row r="10715">
      <c r="A10715" s="9"/>
      <c r="B10715" s="9"/>
    </row>
    <row r="10716">
      <c r="A10716" s="9"/>
      <c r="B10716" s="9"/>
    </row>
    <row r="10717">
      <c r="A10717" s="9"/>
      <c r="B10717" s="9"/>
    </row>
    <row r="10718">
      <c r="A10718" s="9"/>
      <c r="B10718" s="9"/>
    </row>
    <row r="10719">
      <c r="A10719" s="9"/>
      <c r="B10719" s="9"/>
    </row>
    <row r="10720">
      <c r="A10720" s="9"/>
      <c r="B10720" s="9"/>
    </row>
    <row r="10721">
      <c r="A10721" s="9"/>
      <c r="B10721" s="9"/>
    </row>
    <row r="10722">
      <c r="A10722" s="9"/>
      <c r="B10722" s="9"/>
    </row>
    <row r="10723">
      <c r="A10723" s="9"/>
      <c r="B10723" s="9"/>
    </row>
    <row r="10724">
      <c r="A10724" s="9"/>
      <c r="B10724" s="9"/>
    </row>
    <row r="10725">
      <c r="A10725" s="9"/>
      <c r="B10725" s="9"/>
    </row>
    <row r="10726">
      <c r="A10726" s="9"/>
      <c r="B10726" s="9"/>
    </row>
    <row r="10727">
      <c r="A10727" s="9"/>
      <c r="B10727" s="9"/>
    </row>
    <row r="10728">
      <c r="A10728" s="9"/>
      <c r="B10728" s="9"/>
    </row>
    <row r="10729">
      <c r="A10729" s="9"/>
      <c r="B10729" s="9"/>
    </row>
    <row r="10730">
      <c r="A10730" s="9"/>
      <c r="B10730" s="9"/>
    </row>
    <row r="10731">
      <c r="A10731" s="9"/>
      <c r="B10731" s="9"/>
    </row>
    <row r="10732">
      <c r="A10732" s="9"/>
      <c r="B10732" s="9"/>
    </row>
    <row r="10733">
      <c r="A10733" s="9"/>
      <c r="B10733" s="9"/>
    </row>
    <row r="10734">
      <c r="A10734" s="9"/>
      <c r="B10734" s="9"/>
    </row>
    <row r="10735">
      <c r="A10735" s="9"/>
      <c r="B10735" s="9"/>
    </row>
    <row r="10736">
      <c r="A10736" s="9"/>
      <c r="B10736" s="9"/>
    </row>
    <row r="10737">
      <c r="A10737" s="9"/>
      <c r="B10737" s="9"/>
    </row>
    <row r="10738">
      <c r="A10738" s="9"/>
      <c r="B10738" s="9"/>
    </row>
    <row r="10739">
      <c r="A10739" s="9"/>
      <c r="B10739" s="9"/>
    </row>
    <row r="10740">
      <c r="A10740" s="9"/>
      <c r="B10740" s="9"/>
    </row>
    <row r="10741">
      <c r="A10741" s="9"/>
      <c r="B10741" s="9"/>
    </row>
    <row r="10742">
      <c r="A10742" s="9"/>
      <c r="B10742" s="9"/>
    </row>
    <row r="10743">
      <c r="A10743" s="9"/>
      <c r="B10743" s="9"/>
    </row>
    <row r="10744">
      <c r="A10744" s="9"/>
      <c r="B10744" s="9"/>
    </row>
    <row r="10745">
      <c r="A10745" s="9"/>
      <c r="B10745" s="9"/>
    </row>
    <row r="10746">
      <c r="A10746" s="9"/>
      <c r="B10746" s="9"/>
    </row>
    <row r="10747">
      <c r="A10747" s="9"/>
      <c r="B10747" s="9"/>
    </row>
    <row r="10748">
      <c r="A10748" s="9"/>
      <c r="B10748" s="9"/>
    </row>
    <row r="10749">
      <c r="A10749" s="9"/>
      <c r="B10749" s="9"/>
    </row>
    <row r="10750">
      <c r="A10750" s="9"/>
      <c r="B10750" s="9"/>
    </row>
    <row r="10751">
      <c r="A10751" s="9"/>
      <c r="B10751" s="9"/>
    </row>
    <row r="10752">
      <c r="A10752" s="9"/>
      <c r="B10752" s="9"/>
    </row>
    <row r="10753">
      <c r="A10753" s="9"/>
      <c r="B10753" s="9"/>
    </row>
    <row r="10754">
      <c r="A10754" s="9"/>
      <c r="B10754" s="9"/>
    </row>
    <row r="10755">
      <c r="A10755" s="9"/>
      <c r="B10755" s="9"/>
    </row>
    <row r="10756">
      <c r="A10756" s="9"/>
      <c r="B10756" s="9"/>
    </row>
    <row r="10757">
      <c r="A10757" s="9"/>
      <c r="B10757" s="9"/>
    </row>
    <row r="10758">
      <c r="A10758" s="9"/>
      <c r="B10758" s="9"/>
    </row>
    <row r="10759">
      <c r="A10759" s="9"/>
      <c r="B10759" s="9"/>
    </row>
    <row r="10760">
      <c r="A10760" s="9"/>
      <c r="B10760" s="9"/>
    </row>
    <row r="10761">
      <c r="A10761" s="9"/>
      <c r="B10761" s="9"/>
    </row>
    <row r="10762">
      <c r="A10762" s="9"/>
      <c r="B10762" s="9"/>
    </row>
    <row r="10763">
      <c r="A10763" s="9"/>
      <c r="B10763" s="9"/>
    </row>
    <row r="10764">
      <c r="A10764" s="9"/>
      <c r="B10764" s="9"/>
    </row>
    <row r="10765">
      <c r="A10765" s="9"/>
      <c r="B10765" s="9"/>
    </row>
    <row r="10766">
      <c r="A10766" s="9"/>
      <c r="B10766" s="9"/>
    </row>
    <row r="10767">
      <c r="A10767" s="9"/>
      <c r="B10767" s="9"/>
    </row>
    <row r="10768">
      <c r="A10768" s="9"/>
      <c r="B10768" s="9"/>
    </row>
    <row r="10769">
      <c r="A10769" s="9"/>
      <c r="B10769" s="9"/>
    </row>
    <row r="10770">
      <c r="A10770" s="9"/>
      <c r="B10770" s="9"/>
    </row>
    <row r="10771">
      <c r="A10771" s="9"/>
      <c r="B10771" s="9"/>
    </row>
    <row r="10772">
      <c r="A10772" s="9"/>
      <c r="B10772" s="9"/>
    </row>
    <row r="10773">
      <c r="A10773" s="9"/>
      <c r="B10773" s="9"/>
    </row>
    <row r="10774">
      <c r="A10774" s="9"/>
      <c r="B10774" s="9"/>
    </row>
    <row r="10775">
      <c r="A10775" s="9"/>
      <c r="B10775" s="9"/>
    </row>
    <row r="10776">
      <c r="A10776" s="9"/>
      <c r="B10776" s="9"/>
    </row>
    <row r="10777">
      <c r="A10777" s="9"/>
      <c r="B10777" s="9"/>
    </row>
    <row r="10778">
      <c r="A10778" s="9"/>
      <c r="B10778" s="9"/>
    </row>
    <row r="10779">
      <c r="A10779" s="9"/>
      <c r="B10779" s="9"/>
    </row>
    <row r="10780">
      <c r="A10780" s="9"/>
      <c r="B10780" s="9"/>
    </row>
    <row r="10781">
      <c r="A10781" s="9"/>
      <c r="B10781" s="9"/>
    </row>
    <row r="10782">
      <c r="A10782" s="9"/>
      <c r="B10782" s="9"/>
    </row>
    <row r="10783">
      <c r="A10783" s="9"/>
      <c r="B10783" s="9"/>
    </row>
    <row r="10784">
      <c r="A10784" s="9"/>
      <c r="B10784" s="9"/>
    </row>
    <row r="10785">
      <c r="A10785" s="9"/>
      <c r="B10785" s="9"/>
    </row>
    <row r="10786">
      <c r="A10786" s="9"/>
      <c r="B10786" s="9"/>
    </row>
    <row r="10787">
      <c r="A10787" s="9"/>
      <c r="B10787" s="9"/>
    </row>
    <row r="10788">
      <c r="A10788" s="9"/>
      <c r="B10788" s="9"/>
    </row>
    <row r="10789">
      <c r="A10789" s="9"/>
      <c r="B10789" s="9"/>
    </row>
    <row r="10790">
      <c r="A10790" s="9"/>
      <c r="B10790" s="9"/>
    </row>
    <row r="10791">
      <c r="A10791" s="9"/>
      <c r="B10791" s="9"/>
    </row>
    <row r="10792">
      <c r="A10792" s="9"/>
      <c r="B10792" s="9"/>
    </row>
    <row r="10793">
      <c r="A10793" s="9"/>
      <c r="B10793" s="9"/>
    </row>
    <row r="10794">
      <c r="A10794" s="9"/>
      <c r="B10794" s="9"/>
    </row>
    <row r="10795">
      <c r="A10795" s="9"/>
      <c r="B10795" s="9"/>
    </row>
    <row r="10796">
      <c r="A10796" s="9"/>
      <c r="B10796" s="9"/>
    </row>
    <row r="10797">
      <c r="A10797" s="9"/>
      <c r="B10797" s="9"/>
    </row>
    <row r="10798">
      <c r="A10798" s="9"/>
      <c r="B10798" s="9"/>
    </row>
    <row r="10799">
      <c r="A10799" s="9"/>
      <c r="B10799" s="9"/>
    </row>
    <row r="10800">
      <c r="A10800" s="9"/>
      <c r="B10800" s="9"/>
    </row>
    <row r="10801">
      <c r="A10801" s="9"/>
      <c r="B10801" s="9"/>
    </row>
    <row r="10802">
      <c r="A10802" s="9"/>
      <c r="B10802" s="9"/>
    </row>
    <row r="10803">
      <c r="A10803" s="9"/>
      <c r="B10803" s="9"/>
    </row>
    <row r="10804">
      <c r="A10804" s="9"/>
      <c r="B10804" s="9"/>
    </row>
    <row r="10805">
      <c r="A10805" s="9"/>
      <c r="B10805" s="9"/>
    </row>
    <row r="10806">
      <c r="A10806" s="9"/>
      <c r="B10806" s="9"/>
    </row>
    <row r="10807">
      <c r="A10807" s="9"/>
      <c r="B10807" s="9"/>
    </row>
    <row r="10808">
      <c r="A10808" s="9"/>
      <c r="B10808" s="9"/>
    </row>
    <row r="10809">
      <c r="A10809" s="9"/>
      <c r="B10809" s="9"/>
    </row>
    <row r="10810">
      <c r="A10810" s="9"/>
      <c r="B10810" s="9"/>
    </row>
    <row r="10811">
      <c r="A10811" s="9"/>
      <c r="B10811" s="9"/>
    </row>
    <row r="10812">
      <c r="A10812" s="9"/>
      <c r="B10812" s="9"/>
    </row>
    <row r="10813">
      <c r="A10813" s="9"/>
      <c r="B10813" s="9"/>
    </row>
    <row r="10814">
      <c r="A10814" s="9"/>
      <c r="B10814" s="9"/>
    </row>
    <row r="10815">
      <c r="A10815" s="9"/>
      <c r="B10815" s="9"/>
    </row>
    <row r="10816">
      <c r="A10816" s="9"/>
      <c r="B10816" s="9"/>
    </row>
    <row r="10817">
      <c r="A10817" s="9"/>
      <c r="B10817" s="9"/>
    </row>
    <row r="10818">
      <c r="A10818" s="9"/>
      <c r="B10818" s="9"/>
    </row>
    <row r="10819">
      <c r="A10819" s="9"/>
      <c r="B10819" s="9"/>
    </row>
    <row r="10820">
      <c r="A10820" s="9"/>
      <c r="B10820" s="9"/>
    </row>
    <row r="10821">
      <c r="A10821" s="9"/>
      <c r="B10821" s="9"/>
    </row>
    <row r="10822">
      <c r="A10822" s="9"/>
      <c r="B10822" s="9"/>
    </row>
    <row r="10823">
      <c r="A10823" s="9"/>
      <c r="B10823" s="9"/>
    </row>
    <row r="10824">
      <c r="A10824" s="9"/>
      <c r="B10824" s="9"/>
    </row>
    <row r="10825">
      <c r="A10825" s="9"/>
      <c r="B10825" s="9"/>
    </row>
    <row r="10826">
      <c r="A10826" s="9"/>
      <c r="B10826" s="9"/>
    </row>
    <row r="10827">
      <c r="A10827" s="9"/>
      <c r="B10827" s="9"/>
    </row>
    <row r="10828">
      <c r="A10828" s="9"/>
      <c r="B10828" s="9"/>
    </row>
    <row r="10829">
      <c r="A10829" s="9"/>
      <c r="B10829" s="9"/>
    </row>
    <row r="10830">
      <c r="A10830" s="9"/>
      <c r="B10830" s="9"/>
    </row>
    <row r="10831">
      <c r="A10831" s="9"/>
      <c r="B10831" s="9"/>
    </row>
    <row r="10832">
      <c r="A10832" s="9"/>
      <c r="B10832" s="9"/>
    </row>
    <row r="10833">
      <c r="A10833" s="9"/>
      <c r="B10833" s="9"/>
    </row>
    <row r="10834">
      <c r="A10834" s="9"/>
      <c r="B10834" s="9"/>
    </row>
    <row r="10835">
      <c r="A10835" s="9"/>
      <c r="B10835" s="9"/>
    </row>
    <row r="10836">
      <c r="A10836" s="9"/>
      <c r="B10836" s="9"/>
    </row>
    <row r="10837">
      <c r="A10837" s="9"/>
      <c r="B10837" s="9"/>
    </row>
    <row r="10838">
      <c r="A10838" s="9"/>
      <c r="B10838" s="9"/>
    </row>
    <row r="10839">
      <c r="A10839" s="9"/>
      <c r="B10839" s="9"/>
    </row>
    <row r="10840">
      <c r="A10840" s="9"/>
      <c r="B10840" s="9"/>
    </row>
    <row r="10841">
      <c r="A10841" s="9"/>
      <c r="B10841" s="9"/>
    </row>
    <row r="10842">
      <c r="A10842" s="9"/>
      <c r="B10842" s="9"/>
    </row>
    <row r="10843">
      <c r="A10843" s="9"/>
      <c r="B10843" s="9"/>
    </row>
    <row r="10844">
      <c r="A10844" s="9"/>
      <c r="B10844" s="9"/>
    </row>
    <row r="10845">
      <c r="A10845" s="9"/>
      <c r="B10845" s="9"/>
    </row>
    <row r="10846">
      <c r="A10846" s="9"/>
      <c r="B10846" s="9"/>
    </row>
    <row r="10847">
      <c r="A10847" s="9"/>
      <c r="B10847" s="9"/>
    </row>
    <row r="10848">
      <c r="A10848" s="9"/>
      <c r="B10848" s="9"/>
    </row>
    <row r="10849">
      <c r="A10849" s="9"/>
      <c r="B10849" s="9"/>
    </row>
    <row r="10850">
      <c r="A10850" s="9"/>
      <c r="B10850" s="9"/>
    </row>
    <row r="10851">
      <c r="A10851" s="9"/>
      <c r="B10851" s="9"/>
    </row>
    <row r="10852">
      <c r="A10852" s="9"/>
      <c r="B10852" s="9"/>
    </row>
    <row r="10853">
      <c r="A10853" s="9"/>
      <c r="B10853" s="9"/>
    </row>
    <row r="10854">
      <c r="A10854" s="9"/>
      <c r="B10854" s="9"/>
    </row>
    <row r="10855">
      <c r="A10855" s="9"/>
      <c r="B10855" s="9"/>
    </row>
    <row r="10856">
      <c r="A10856" s="9"/>
      <c r="B10856" s="9"/>
    </row>
    <row r="10857">
      <c r="A10857" s="9"/>
      <c r="B10857" s="9"/>
    </row>
    <row r="10858">
      <c r="A10858" s="9"/>
      <c r="B10858" s="9"/>
    </row>
    <row r="10859">
      <c r="A10859" s="9"/>
      <c r="B10859" s="9"/>
    </row>
    <row r="10860">
      <c r="A10860" s="9"/>
      <c r="B10860" s="9"/>
    </row>
    <row r="10861">
      <c r="A10861" s="9"/>
      <c r="B10861" s="9"/>
    </row>
    <row r="10862">
      <c r="A10862" s="9"/>
      <c r="B10862" s="9"/>
    </row>
    <row r="10863">
      <c r="A10863" s="9"/>
      <c r="B10863" s="9"/>
    </row>
    <row r="10864">
      <c r="A10864" s="9"/>
      <c r="B10864" s="9"/>
    </row>
    <row r="10865">
      <c r="A10865" s="9"/>
      <c r="B10865" s="9"/>
    </row>
    <row r="10866">
      <c r="A10866" s="9"/>
      <c r="B10866" s="9"/>
    </row>
    <row r="10867">
      <c r="A10867" s="9"/>
      <c r="B10867" s="9"/>
    </row>
    <row r="10868">
      <c r="A10868" s="9"/>
      <c r="B10868" s="9"/>
    </row>
    <row r="10869">
      <c r="A10869" s="9"/>
      <c r="B10869" s="9"/>
    </row>
    <row r="10870">
      <c r="A10870" s="9"/>
      <c r="B10870" s="9"/>
    </row>
    <row r="10871">
      <c r="A10871" s="9"/>
      <c r="B10871" s="9"/>
    </row>
    <row r="10872">
      <c r="A10872" s="9"/>
      <c r="B10872" s="9"/>
    </row>
    <row r="10873">
      <c r="A10873" s="9"/>
      <c r="B10873" s="9"/>
    </row>
    <row r="10874">
      <c r="A10874" s="9"/>
      <c r="B10874" s="9"/>
    </row>
    <row r="10875">
      <c r="A10875" s="9"/>
      <c r="B10875" s="9"/>
    </row>
    <row r="10876">
      <c r="A10876" s="9"/>
      <c r="B10876" s="9"/>
    </row>
    <row r="10877">
      <c r="A10877" s="9"/>
      <c r="B10877" s="9"/>
    </row>
    <row r="10878">
      <c r="A10878" s="9"/>
      <c r="B10878" s="9"/>
    </row>
    <row r="10879">
      <c r="A10879" s="9"/>
      <c r="B10879" s="9"/>
    </row>
    <row r="10880">
      <c r="A10880" s="9"/>
      <c r="B10880" s="9"/>
    </row>
    <row r="10881">
      <c r="A10881" s="9"/>
      <c r="B10881" s="9"/>
    </row>
    <row r="10882">
      <c r="A10882" s="9"/>
      <c r="B10882" s="9"/>
    </row>
    <row r="10883">
      <c r="A10883" s="9"/>
      <c r="B10883" s="9"/>
    </row>
    <row r="10884">
      <c r="A10884" s="9"/>
      <c r="B10884" s="9"/>
    </row>
    <row r="10885">
      <c r="A10885" s="9"/>
      <c r="B10885" s="9"/>
    </row>
    <row r="10886">
      <c r="A10886" s="9"/>
      <c r="B10886" s="9"/>
    </row>
    <row r="10887">
      <c r="A10887" s="9"/>
      <c r="B10887" s="9"/>
    </row>
    <row r="10888">
      <c r="A10888" s="9"/>
      <c r="B10888" s="9"/>
    </row>
    <row r="10889">
      <c r="A10889" s="9"/>
      <c r="B10889" s="9"/>
    </row>
    <row r="10890">
      <c r="A10890" s="9"/>
      <c r="B10890" s="9"/>
    </row>
    <row r="10891">
      <c r="A10891" s="9"/>
      <c r="B10891" s="9"/>
    </row>
    <row r="10892">
      <c r="A10892" s="9"/>
      <c r="B10892" s="9"/>
    </row>
    <row r="10893">
      <c r="A10893" s="9"/>
      <c r="B10893" s="9"/>
    </row>
    <row r="10894">
      <c r="A10894" s="9"/>
      <c r="B10894" s="9"/>
    </row>
    <row r="10895">
      <c r="A10895" s="9"/>
      <c r="B10895" s="9"/>
    </row>
    <row r="10896">
      <c r="A10896" s="9"/>
      <c r="B10896" s="9"/>
    </row>
    <row r="10897">
      <c r="A10897" s="9"/>
      <c r="B10897" s="9"/>
    </row>
    <row r="10898">
      <c r="A10898" s="9"/>
      <c r="B10898" s="9"/>
    </row>
    <row r="10899">
      <c r="A10899" s="9"/>
      <c r="B10899" s="9"/>
    </row>
    <row r="10900">
      <c r="A10900" s="9"/>
      <c r="B10900" s="9"/>
    </row>
    <row r="10901">
      <c r="A10901" s="9"/>
      <c r="B10901" s="9"/>
    </row>
    <row r="10902">
      <c r="A10902" s="9"/>
      <c r="B10902" s="9"/>
    </row>
    <row r="10903">
      <c r="A10903" s="9"/>
      <c r="B10903" s="9"/>
    </row>
    <row r="10904">
      <c r="A10904" s="9"/>
      <c r="B10904" s="9"/>
    </row>
    <row r="10905">
      <c r="A10905" s="9"/>
      <c r="B10905" s="9"/>
    </row>
    <row r="10906">
      <c r="A10906" s="9"/>
      <c r="B10906" s="9"/>
    </row>
    <row r="10907">
      <c r="A10907" s="9"/>
      <c r="B10907" s="9"/>
    </row>
    <row r="10908">
      <c r="A10908" s="9"/>
      <c r="B10908" s="9"/>
    </row>
    <row r="10909">
      <c r="A10909" s="9"/>
      <c r="B10909" s="9"/>
    </row>
    <row r="10910">
      <c r="A10910" s="9"/>
      <c r="B10910" s="9"/>
    </row>
    <row r="10911">
      <c r="A10911" s="9"/>
      <c r="B10911" s="9"/>
    </row>
    <row r="10912">
      <c r="A10912" s="9"/>
      <c r="B10912" s="9"/>
    </row>
    <row r="10913">
      <c r="A10913" s="9"/>
      <c r="B10913" s="9"/>
    </row>
    <row r="10914">
      <c r="A10914" s="9"/>
      <c r="B10914" s="9"/>
    </row>
    <row r="10915">
      <c r="A10915" s="9"/>
      <c r="B10915" s="9"/>
    </row>
    <row r="10916">
      <c r="A10916" s="9"/>
      <c r="B10916" s="9"/>
    </row>
    <row r="10917">
      <c r="A10917" s="9"/>
      <c r="B10917" s="9"/>
    </row>
    <row r="10918">
      <c r="A10918" s="9"/>
      <c r="B10918" s="9"/>
    </row>
    <row r="10919">
      <c r="A10919" s="9"/>
      <c r="B10919" s="9"/>
    </row>
    <row r="10920">
      <c r="A10920" s="9"/>
      <c r="B10920" s="9"/>
    </row>
    <row r="10921">
      <c r="A10921" s="9"/>
      <c r="B10921" s="9"/>
    </row>
    <row r="10922">
      <c r="A10922" s="9"/>
      <c r="B10922" s="9"/>
    </row>
    <row r="10923">
      <c r="A10923" s="9"/>
      <c r="B10923" s="9"/>
    </row>
    <row r="10924">
      <c r="A10924" s="9"/>
      <c r="B10924" s="9"/>
    </row>
    <row r="10925">
      <c r="A10925" s="9"/>
      <c r="B10925" s="9"/>
    </row>
    <row r="10926">
      <c r="A10926" s="9"/>
      <c r="B10926" s="9"/>
    </row>
    <row r="10927">
      <c r="A10927" s="9"/>
      <c r="B10927" s="9"/>
    </row>
    <row r="10928">
      <c r="A10928" s="9"/>
      <c r="B10928" s="9"/>
    </row>
    <row r="10929">
      <c r="A10929" s="9"/>
      <c r="B10929" s="9"/>
    </row>
    <row r="10930">
      <c r="A10930" s="9"/>
      <c r="B10930" s="9"/>
    </row>
    <row r="10931">
      <c r="A10931" s="9"/>
      <c r="B10931" s="9"/>
    </row>
    <row r="10932">
      <c r="A10932" s="9"/>
      <c r="B10932" s="9"/>
    </row>
    <row r="10933">
      <c r="A10933" s="9"/>
      <c r="B10933" s="9"/>
    </row>
    <row r="10934">
      <c r="A10934" s="9"/>
      <c r="B10934" s="9"/>
    </row>
    <row r="10935">
      <c r="A10935" s="9"/>
      <c r="B10935" s="9"/>
    </row>
    <row r="10936">
      <c r="A10936" s="9"/>
      <c r="B10936" s="9"/>
    </row>
    <row r="10937">
      <c r="A10937" s="9"/>
      <c r="B10937" s="9"/>
    </row>
    <row r="10938">
      <c r="A10938" s="9"/>
      <c r="B10938" s="9"/>
    </row>
    <row r="10939">
      <c r="A10939" s="9"/>
      <c r="B10939" s="9"/>
    </row>
    <row r="10940">
      <c r="A10940" s="9"/>
      <c r="B10940" s="9"/>
    </row>
    <row r="10941">
      <c r="A10941" s="9"/>
      <c r="B10941" s="9"/>
    </row>
    <row r="10942">
      <c r="A10942" s="9"/>
      <c r="B10942" s="9"/>
    </row>
    <row r="10943">
      <c r="A10943" s="9"/>
      <c r="B10943" s="9"/>
    </row>
    <row r="10944">
      <c r="A10944" s="9"/>
      <c r="B10944" s="9"/>
    </row>
    <row r="10945">
      <c r="A10945" s="9"/>
      <c r="B10945" s="9"/>
    </row>
    <row r="10946">
      <c r="A10946" s="9"/>
      <c r="B10946" s="9"/>
    </row>
    <row r="10947">
      <c r="A10947" s="9"/>
      <c r="B10947" s="9"/>
    </row>
    <row r="10948">
      <c r="A10948" s="9"/>
      <c r="B10948" s="9"/>
    </row>
    <row r="10949">
      <c r="A10949" s="9"/>
      <c r="B10949" s="9"/>
    </row>
    <row r="10950">
      <c r="A10950" s="9"/>
      <c r="B10950" s="9"/>
    </row>
    <row r="10951">
      <c r="A10951" s="9"/>
      <c r="B10951" s="9"/>
    </row>
    <row r="10952">
      <c r="A10952" s="9"/>
      <c r="B10952" s="9"/>
    </row>
    <row r="10953">
      <c r="A10953" s="9"/>
      <c r="B10953" s="9"/>
    </row>
    <row r="10954">
      <c r="A10954" s="9"/>
      <c r="B10954" s="9"/>
    </row>
    <row r="10955">
      <c r="A10955" s="9"/>
      <c r="B10955" s="9"/>
    </row>
    <row r="10956">
      <c r="A10956" s="9"/>
      <c r="B10956" s="9"/>
    </row>
    <row r="10957">
      <c r="A10957" s="9"/>
      <c r="B10957" s="9"/>
    </row>
    <row r="10958">
      <c r="A10958" s="9"/>
      <c r="B10958" s="9"/>
    </row>
    <row r="10959">
      <c r="A10959" s="9"/>
      <c r="B10959" s="9"/>
    </row>
    <row r="10960">
      <c r="A10960" s="9"/>
      <c r="B10960" s="9"/>
    </row>
    <row r="10961">
      <c r="A10961" s="9"/>
      <c r="B10961" s="9"/>
    </row>
    <row r="10962">
      <c r="A10962" s="9"/>
      <c r="B10962" s="9"/>
    </row>
    <row r="10963">
      <c r="A10963" s="9"/>
      <c r="B10963" s="9"/>
    </row>
    <row r="10964">
      <c r="A10964" s="9"/>
      <c r="B10964" s="9"/>
    </row>
    <row r="10965">
      <c r="A10965" s="9"/>
      <c r="B10965" s="9"/>
    </row>
    <row r="10966">
      <c r="A10966" s="9"/>
      <c r="B10966" s="9"/>
    </row>
    <row r="10967">
      <c r="A10967" s="9"/>
      <c r="B10967" s="9"/>
    </row>
    <row r="10968">
      <c r="A10968" s="9"/>
      <c r="B10968" s="9"/>
    </row>
    <row r="10969">
      <c r="A10969" s="9"/>
      <c r="B10969" s="9"/>
    </row>
    <row r="10970">
      <c r="A10970" s="9"/>
      <c r="B10970" s="9"/>
    </row>
    <row r="10971">
      <c r="A10971" s="9"/>
      <c r="B10971" s="9"/>
    </row>
    <row r="10972">
      <c r="A10972" s="9"/>
      <c r="B10972" s="9"/>
    </row>
    <row r="10973">
      <c r="A10973" s="9"/>
      <c r="B10973" s="9"/>
    </row>
    <row r="10974">
      <c r="A10974" s="9"/>
      <c r="B10974" s="9"/>
    </row>
    <row r="10975">
      <c r="A10975" s="9"/>
      <c r="B10975" s="9"/>
    </row>
    <row r="10976">
      <c r="A10976" s="9"/>
      <c r="B10976" s="9"/>
    </row>
    <row r="10977">
      <c r="A10977" s="9"/>
      <c r="B10977" s="9"/>
    </row>
    <row r="10978">
      <c r="A10978" s="9"/>
      <c r="B10978" s="9"/>
    </row>
    <row r="10979">
      <c r="A10979" s="9"/>
      <c r="B10979" s="9"/>
    </row>
    <row r="10980">
      <c r="A10980" s="9"/>
      <c r="B10980" s="9"/>
    </row>
    <row r="10981">
      <c r="A10981" s="9"/>
      <c r="B10981" s="9"/>
    </row>
    <row r="10982">
      <c r="A10982" s="9"/>
      <c r="B10982" s="9"/>
    </row>
    <row r="10983">
      <c r="A10983" s="9"/>
      <c r="B10983" s="9"/>
    </row>
    <row r="10984">
      <c r="A10984" s="9"/>
      <c r="B10984" s="9"/>
    </row>
    <row r="10985">
      <c r="A10985" s="9"/>
      <c r="B10985" s="9"/>
    </row>
    <row r="10986">
      <c r="A10986" s="9"/>
      <c r="B10986" s="9"/>
    </row>
    <row r="10987">
      <c r="A10987" s="9"/>
      <c r="B10987" s="9"/>
    </row>
    <row r="10988">
      <c r="A10988" s="9"/>
      <c r="B10988" s="9"/>
    </row>
    <row r="10989">
      <c r="A10989" s="9"/>
      <c r="B10989" s="9"/>
    </row>
    <row r="10990">
      <c r="A10990" s="9"/>
      <c r="B10990" s="9"/>
    </row>
    <row r="10991">
      <c r="A10991" s="9"/>
      <c r="B10991" s="9"/>
    </row>
    <row r="10992">
      <c r="A10992" s="9"/>
      <c r="B10992" s="9"/>
    </row>
    <row r="10993">
      <c r="A10993" s="9"/>
      <c r="B10993" s="9"/>
    </row>
    <row r="10994">
      <c r="A10994" s="9"/>
      <c r="B10994" s="9"/>
    </row>
    <row r="10995">
      <c r="A10995" s="9"/>
      <c r="B10995" s="9"/>
    </row>
    <row r="10996">
      <c r="A10996" s="9"/>
      <c r="B10996" s="9"/>
    </row>
    <row r="10997">
      <c r="A10997" s="9"/>
      <c r="B10997" s="9"/>
    </row>
    <row r="10998">
      <c r="A10998" s="9"/>
      <c r="B10998" s="9"/>
    </row>
    <row r="10999">
      <c r="A10999" s="9"/>
      <c r="B10999" s="9"/>
    </row>
    <row r="11000">
      <c r="A11000" s="9"/>
      <c r="B11000" s="9"/>
    </row>
    <row r="11001">
      <c r="A11001" s="9"/>
      <c r="B11001" s="9"/>
    </row>
    <row r="11002">
      <c r="A11002" s="9"/>
      <c r="B11002" s="9"/>
    </row>
    <row r="11003">
      <c r="A11003" s="9"/>
      <c r="B11003" s="9"/>
    </row>
    <row r="11004">
      <c r="A11004" s="9"/>
      <c r="B11004" s="9"/>
    </row>
    <row r="11005">
      <c r="A11005" s="9"/>
      <c r="B11005" s="9"/>
    </row>
    <row r="11006">
      <c r="A11006" s="9"/>
      <c r="B11006" s="9"/>
    </row>
    <row r="11007">
      <c r="A11007" s="9"/>
      <c r="B11007" s="9"/>
    </row>
    <row r="11008">
      <c r="A11008" s="9"/>
      <c r="B11008" s="9"/>
    </row>
    <row r="11009">
      <c r="A11009" s="9"/>
      <c r="B11009" s="9"/>
    </row>
    <row r="11010">
      <c r="A11010" s="9"/>
      <c r="B11010" s="9"/>
    </row>
    <row r="11011">
      <c r="A11011" s="9"/>
      <c r="B11011" s="9"/>
    </row>
    <row r="11012">
      <c r="A11012" s="9"/>
      <c r="B11012" s="9"/>
    </row>
    <row r="11013">
      <c r="A11013" s="9"/>
      <c r="B11013" s="9"/>
    </row>
    <row r="11014">
      <c r="A11014" s="9"/>
      <c r="B11014" s="9"/>
    </row>
    <row r="11015">
      <c r="A11015" s="9"/>
      <c r="B11015" s="9"/>
    </row>
    <row r="11016">
      <c r="A11016" s="9"/>
      <c r="B11016" s="9"/>
    </row>
    <row r="11017">
      <c r="A11017" s="9"/>
      <c r="B11017" s="9"/>
    </row>
    <row r="11018">
      <c r="A11018" s="9"/>
      <c r="B11018" s="9"/>
    </row>
    <row r="11019">
      <c r="A11019" s="9"/>
      <c r="B11019" s="9"/>
    </row>
    <row r="11020">
      <c r="A11020" s="9"/>
      <c r="B11020" s="9"/>
    </row>
    <row r="11021">
      <c r="A11021" s="9"/>
      <c r="B11021" s="9"/>
    </row>
    <row r="11022">
      <c r="A11022" s="9"/>
      <c r="B11022" s="9"/>
    </row>
    <row r="11023">
      <c r="A11023" s="9"/>
      <c r="B11023" s="9"/>
    </row>
    <row r="11024">
      <c r="A11024" s="9"/>
      <c r="B11024" s="9"/>
    </row>
    <row r="11025">
      <c r="A11025" s="9"/>
      <c r="B11025" s="9"/>
    </row>
    <row r="11026">
      <c r="A11026" s="9"/>
      <c r="B11026" s="9"/>
    </row>
    <row r="11027">
      <c r="A11027" s="9"/>
      <c r="B11027" s="9"/>
    </row>
    <row r="11028">
      <c r="A11028" s="9"/>
      <c r="B11028" s="9"/>
    </row>
    <row r="11029">
      <c r="A11029" s="9"/>
      <c r="B11029" s="9"/>
    </row>
    <row r="11030">
      <c r="A11030" s="9"/>
      <c r="B11030" s="9"/>
    </row>
    <row r="11031">
      <c r="A11031" s="9"/>
      <c r="B11031" s="9"/>
    </row>
    <row r="11032">
      <c r="A11032" s="9"/>
      <c r="B11032" s="9"/>
    </row>
    <row r="11033">
      <c r="A11033" s="9"/>
      <c r="B11033" s="9"/>
    </row>
    <row r="11034">
      <c r="A11034" s="9"/>
      <c r="B11034" s="9"/>
    </row>
    <row r="11035">
      <c r="A11035" s="9"/>
      <c r="B11035" s="9"/>
    </row>
    <row r="11036">
      <c r="A11036" s="9"/>
      <c r="B11036" s="9"/>
    </row>
    <row r="11037">
      <c r="A11037" s="9"/>
      <c r="B11037" s="9"/>
    </row>
    <row r="11038">
      <c r="A11038" s="9"/>
      <c r="B11038" s="9"/>
    </row>
    <row r="11039">
      <c r="A11039" s="9"/>
      <c r="B11039" s="9"/>
    </row>
    <row r="11040">
      <c r="A11040" s="9"/>
      <c r="B11040" s="9"/>
    </row>
    <row r="11041">
      <c r="A11041" s="9"/>
      <c r="B11041" s="9"/>
    </row>
    <row r="11042">
      <c r="A11042" s="9"/>
      <c r="B11042" s="9"/>
    </row>
    <row r="11043">
      <c r="A11043" s="9"/>
      <c r="B11043" s="9"/>
    </row>
    <row r="11044">
      <c r="A11044" s="9"/>
      <c r="B11044" s="9"/>
    </row>
    <row r="11045">
      <c r="A11045" s="9"/>
      <c r="B11045" s="9"/>
    </row>
    <row r="11046">
      <c r="A11046" s="9"/>
      <c r="B11046" s="9"/>
    </row>
    <row r="11047">
      <c r="A11047" s="9"/>
      <c r="B11047" s="9"/>
    </row>
    <row r="11048">
      <c r="A11048" s="9"/>
      <c r="B11048" s="9"/>
    </row>
    <row r="11049">
      <c r="A11049" s="9"/>
      <c r="B11049" s="9"/>
    </row>
    <row r="11050">
      <c r="A11050" s="9"/>
      <c r="B11050" s="9"/>
    </row>
    <row r="11051">
      <c r="A11051" s="9"/>
      <c r="B11051" s="9"/>
    </row>
    <row r="11052">
      <c r="A11052" s="9"/>
      <c r="B11052" s="9"/>
    </row>
    <row r="11053">
      <c r="A11053" s="9"/>
      <c r="B11053" s="9"/>
    </row>
    <row r="11054">
      <c r="A11054" s="9"/>
      <c r="B11054" s="9"/>
    </row>
    <row r="11055">
      <c r="A11055" s="9"/>
      <c r="B11055" s="9"/>
    </row>
    <row r="11056">
      <c r="A11056" s="9"/>
      <c r="B11056" s="9"/>
    </row>
    <row r="11057">
      <c r="A11057" s="9"/>
      <c r="B11057" s="9"/>
    </row>
    <row r="11058">
      <c r="A11058" s="9"/>
      <c r="B11058" s="9"/>
    </row>
    <row r="11059">
      <c r="A11059" s="9"/>
      <c r="B11059" s="9"/>
    </row>
    <row r="11060">
      <c r="A11060" s="9"/>
      <c r="B11060" s="9"/>
    </row>
    <row r="11061">
      <c r="A11061" s="9"/>
      <c r="B11061" s="9"/>
    </row>
    <row r="11062">
      <c r="A11062" s="9"/>
      <c r="B11062" s="9"/>
    </row>
    <row r="11063">
      <c r="A11063" s="9"/>
      <c r="B11063" s="9"/>
    </row>
    <row r="11064">
      <c r="A11064" s="9"/>
      <c r="B11064" s="9"/>
    </row>
    <row r="11065">
      <c r="A11065" s="9"/>
      <c r="B11065" s="9"/>
    </row>
    <row r="11066">
      <c r="A11066" s="9"/>
      <c r="B11066" s="9"/>
    </row>
    <row r="11067">
      <c r="A11067" s="9"/>
      <c r="B11067" s="9"/>
    </row>
    <row r="11068">
      <c r="A11068" s="9"/>
      <c r="B11068" s="9"/>
    </row>
    <row r="11069">
      <c r="A11069" s="9"/>
      <c r="B11069" s="9"/>
    </row>
    <row r="11070">
      <c r="A11070" s="9"/>
      <c r="B11070" s="9"/>
    </row>
    <row r="11071">
      <c r="A11071" s="9"/>
      <c r="B11071" s="9"/>
    </row>
    <row r="11072">
      <c r="A11072" s="9"/>
      <c r="B11072" s="9"/>
    </row>
    <row r="11073">
      <c r="A11073" s="9"/>
      <c r="B11073" s="9"/>
    </row>
    <row r="11074">
      <c r="A11074" s="9"/>
      <c r="B11074" s="9"/>
    </row>
    <row r="11075">
      <c r="A11075" s="9"/>
      <c r="B11075" s="9"/>
    </row>
    <row r="11076">
      <c r="A11076" s="9"/>
      <c r="B11076" s="9"/>
    </row>
    <row r="11077">
      <c r="A11077" s="9"/>
      <c r="B11077" s="9"/>
    </row>
    <row r="11078">
      <c r="A11078" s="9"/>
      <c r="B11078" s="9"/>
    </row>
    <row r="11079">
      <c r="A11079" s="9"/>
      <c r="B11079" s="9"/>
    </row>
    <row r="11080">
      <c r="A11080" s="9"/>
      <c r="B11080" s="9"/>
    </row>
    <row r="11081">
      <c r="A11081" s="9"/>
      <c r="B11081" s="9"/>
    </row>
    <row r="11082">
      <c r="A11082" s="9"/>
      <c r="B11082" s="9"/>
    </row>
    <row r="11083">
      <c r="A11083" s="9"/>
      <c r="B11083" s="9"/>
    </row>
    <row r="11084">
      <c r="A11084" s="9"/>
      <c r="B11084" s="9"/>
    </row>
    <row r="11085">
      <c r="A11085" s="9"/>
      <c r="B11085" s="9"/>
    </row>
    <row r="11086">
      <c r="A11086" s="9"/>
      <c r="B11086" s="9"/>
    </row>
    <row r="11087">
      <c r="A11087" s="9"/>
      <c r="B11087" s="9"/>
    </row>
    <row r="11088">
      <c r="A11088" s="9"/>
      <c r="B11088" s="9"/>
    </row>
    <row r="11089">
      <c r="A11089" s="9"/>
      <c r="B11089" s="9"/>
    </row>
    <row r="11090">
      <c r="A11090" s="9"/>
      <c r="B11090" s="9"/>
    </row>
    <row r="11091">
      <c r="A11091" s="9"/>
      <c r="B11091" s="9"/>
    </row>
    <row r="11092">
      <c r="A11092" s="9"/>
      <c r="B11092" s="9"/>
    </row>
    <row r="11093">
      <c r="A11093" s="9"/>
      <c r="B11093" s="9"/>
    </row>
    <row r="11094">
      <c r="A11094" s="9"/>
      <c r="B11094" s="9"/>
    </row>
    <row r="11095">
      <c r="A11095" s="9"/>
      <c r="B11095" s="9"/>
    </row>
    <row r="11096">
      <c r="A11096" s="9"/>
      <c r="B11096" s="9"/>
    </row>
    <row r="11097">
      <c r="A11097" s="9"/>
      <c r="B11097" s="9"/>
    </row>
    <row r="11098">
      <c r="A11098" s="9"/>
      <c r="B11098" s="9"/>
    </row>
    <row r="11099">
      <c r="A11099" s="9"/>
      <c r="B11099" s="9"/>
    </row>
    <row r="11100">
      <c r="A11100" s="9"/>
      <c r="B11100" s="9"/>
    </row>
    <row r="11101">
      <c r="A11101" s="9"/>
      <c r="B11101" s="9"/>
    </row>
    <row r="11102">
      <c r="A11102" s="9"/>
      <c r="B11102" s="9"/>
    </row>
    <row r="11103">
      <c r="A11103" s="9"/>
      <c r="B11103" s="9"/>
    </row>
    <row r="11104">
      <c r="A11104" s="9"/>
      <c r="B11104" s="9"/>
    </row>
    <row r="11105">
      <c r="A11105" s="9"/>
      <c r="B11105" s="9"/>
    </row>
    <row r="11106">
      <c r="A11106" s="9"/>
      <c r="B11106" s="9"/>
    </row>
    <row r="11107">
      <c r="A11107" s="9"/>
      <c r="B11107" s="9"/>
    </row>
    <row r="11108">
      <c r="A11108" s="9"/>
      <c r="B11108" s="9"/>
    </row>
    <row r="11109">
      <c r="A11109" s="9"/>
      <c r="B11109" s="9"/>
    </row>
    <row r="11110">
      <c r="A11110" s="9"/>
      <c r="B11110" s="9"/>
    </row>
    <row r="11111">
      <c r="A11111" s="9"/>
      <c r="B11111" s="9"/>
    </row>
    <row r="11112">
      <c r="A11112" s="9"/>
      <c r="B11112" s="9"/>
    </row>
    <row r="11113">
      <c r="A11113" s="9"/>
      <c r="B11113" s="9"/>
    </row>
    <row r="11114">
      <c r="A11114" s="9"/>
      <c r="B11114" s="9"/>
    </row>
    <row r="11115">
      <c r="A11115" s="9"/>
      <c r="B11115" s="9"/>
    </row>
    <row r="11116">
      <c r="A11116" s="9"/>
      <c r="B11116" s="9"/>
    </row>
    <row r="11117">
      <c r="A11117" s="9"/>
      <c r="B11117" s="9"/>
    </row>
    <row r="11118">
      <c r="A11118" s="9"/>
      <c r="B11118" s="9"/>
    </row>
    <row r="11119">
      <c r="A11119" s="9"/>
      <c r="B11119" s="9"/>
    </row>
    <row r="11120">
      <c r="A11120" s="9"/>
      <c r="B11120" s="9"/>
    </row>
    <row r="11121">
      <c r="A11121" s="9"/>
      <c r="B11121" s="9"/>
    </row>
    <row r="11122">
      <c r="A11122" s="9"/>
      <c r="B11122" s="9"/>
    </row>
    <row r="11123">
      <c r="A11123" s="9"/>
      <c r="B11123" s="9"/>
    </row>
    <row r="11124">
      <c r="A11124" s="9"/>
      <c r="B11124" s="9"/>
    </row>
    <row r="11125">
      <c r="A11125" s="9"/>
      <c r="B11125" s="9"/>
    </row>
    <row r="11126">
      <c r="A11126" s="9"/>
      <c r="B11126" s="9"/>
    </row>
    <row r="11127">
      <c r="A11127" s="9"/>
      <c r="B11127" s="9"/>
    </row>
    <row r="11128">
      <c r="A11128" s="9"/>
      <c r="B11128" s="9"/>
    </row>
    <row r="11129">
      <c r="A11129" s="9"/>
      <c r="B11129" s="9"/>
    </row>
    <row r="11130">
      <c r="A11130" s="9"/>
      <c r="B11130" s="9"/>
    </row>
    <row r="11131">
      <c r="A11131" s="9"/>
      <c r="B11131" s="9"/>
    </row>
    <row r="11132">
      <c r="A11132" s="9"/>
      <c r="B11132" s="9"/>
    </row>
    <row r="11133">
      <c r="A11133" s="9"/>
      <c r="B11133" s="9"/>
    </row>
    <row r="11134">
      <c r="A11134" s="9"/>
      <c r="B11134" s="9"/>
    </row>
    <row r="11135">
      <c r="A11135" s="9"/>
      <c r="B11135" s="9"/>
    </row>
    <row r="11136">
      <c r="A11136" s="9"/>
      <c r="B11136" s="9"/>
    </row>
    <row r="11137">
      <c r="A11137" s="9"/>
      <c r="B11137" s="9"/>
    </row>
    <row r="11138">
      <c r="A11138" s="9"/>
      <c r="B11138" s="9"/>
    </row>
    <row r="11139">
      <c r="A11139" s="9"/>
      <c r="B11139" s="9"/>
    </row>
    <row r="11140">
      <c r="A11140" s="9"/>
      <c r="B11140" s="9"/>
    </row>
    <row r="11141">
      <c r="A11141" s="9"/>
      <c r="B11141" s="9"/>
    </row>
    <row r="11142">
      <c r="A11142" s="9"/>
      <c r="B11142" s="9"/>
    </row>
    <row r="11143">
      <c r="A11143" s="9"/>
      <c r="B11143" s="9"/>
    </row>
    <row r="11144">
      <c r="A11144" s="9"/>
      <c r="B11144" s="9"/>
    </row>
    <row r="11145">
      <c r="A11145" s="9"/>
      <c r="B11145" s="9"/>
    </row>
    <row r="11146">
      <c r="A11146" s="9"/>
      <c r="B11146" s="9"/>
    </row>
    <row r="11147">
      <c r="A11147" s="9"/>
      <c r="B11147" s="9"/>
    </row>
    <row r="11148">
      <c r="A11148" s="9"/>
      <c r="B11148" s="9"/>
    </row>
    <row r="11149">
      <c r="A11149" s="9"/>
      <c r="B11149" s="9"/>
    </row>
    <row r="11150">
      <c r="A11150" s="9"/>
      <c r="B11150" s="9"/>
    </row>
    <row r="11151">
      <c r="A11151" s="9"/>
      <c r="B11151" s="9"/>
    </row>
    <row r="11152">
      <c r="A11152" s="9"/>
      <c r="B11152" s="9"/>
    </row>
    <row r="11153">
      <c r="A11153" s="9"/>
      <c r="B11153" s="9"/>
    </row>
    <row r="11154">
      <c r="A11154" s="9"/>
      <c r="B11154" s="9"/>
    </row>
    <row r="11155">
      <c r="A11155" s="9"/>
      <c r="B11155" s="9"/>
    </row>
    <row r="11156">
      <c r="A11156" s="9"/>
      <c r="B11156" s="9"/>
    </row>
    <row r="11157">
      <c r="A11157" s="9"/>
      <c r="B11157" s="9"/>
    </row>
    <row r="11158">
      <c r="A11158" s="9"/>
      <c r="B11158" s="9"/>
    </row>
    <row r="11159">
      <c r="A11159" s="9"/>
      <c r="B11159" s="9"/>
    </row>
    <row r="11160">
      <c r="A11160" s="9"/>
      <c r="B11160" s="9"/>
    </row>
    <row r="11161">
      <c r="A11161" s="9"/>
      <c r="B11161" s="9"/>
    </row>
    <row r="11162">
      <c r="A11162" s="9"/>
      <c r="B11162" s="9"/>
    </row>
    <row r="11163">
      <c r="A11163" s="9"/>
      <c r="B11163" s="9"/>
    </row>
    <row r="11164">
      <c r="A11164" s="9"/>
      <c r="B11164" s="9"/>
    </row>
    <row r="11165">
      <c r="A11165" s="9"/>
      <c r="B11165" s="9"/>
    </row>
    <row r="11166">
      <c r="A11166" s="9"/>
      <c r="B11166" s="9"/>
    </row>
    <row r="11167">
      <c r="A11167" s="9"/>
      <c r="B11167" s="9"/>
    </row>
    <row r="11168">
      <c r="A11168" s="9"/>
      <c r="B11168" s="9"/>
    </row>
    <row r="11169">
      <c r="A11169" s="9"/>
      <c r="B11169" s="9"/>
    </row>
    <row r="11170">
      <c r="A11170" s="9"/>
      <c r="B11170" s="9"/>
    </row>
    <row r="11171">
      <c r="A11171" s="9"/>
      <c r="B11171" s="9"/>
    </row>
    <row r="11172">
      <c r="A11172" s="9"/>
      <c r="B11172" s="9"/>
    </row>
    <row r="11173">
      <c r="A11173" s="9"/>
      <c r="B11173" s="9"/>
    </row>
    <row r="11174">
      <c r="A11174" s="9"/>
      <c r="B11174" s="9"/>
    </row>
    <row r="11175">
      <c r="A11175" s="9"/>
      <c r="B11175" s="9"/>
    </row>
    <row r="11176">
      <c r="A11176" s="9"/>
      <c r="B11176" s="9"/>
    </row>
    <row r="11177">
      <c r="A11177" s="9"/>
      <c r="B11177" s="9"/>
    </row>
    <row r="11178">
      <c r="A11178" s="9"/>
      <c r="B11178" s="9"/>
    </row>
    <row r="11179">
      <c r="A11179" s="9"/>
      <c r="B11179" s="9"/>
    </row>
    <row r="11180">
      <c r="A11180" s="9"/>
      <c r="B11180" s="9"/>
    </row>
    <row r="11181">
      <c r="A11181" s="9"/>
      <c r="B11181" s="9"/>
    </row>
    <row r="11182">
      <c r="A11182" s="9"/>
      <c r="B11182" s="9"/>
    </row>
    <row r="11183">
      <c r="A11183" s="9"/>
      <c r="B11183" s="9"/>
    </row>
    <row r="11184">
      <c r="A11184" s="9"/>
      <c r="B11184" s="9"/>
    </row>
    <row r="11185">
      <c r="A11185" s="9"/>
      <c r="B11185" s="9"/>
    </row>
    <row r="11186">
      <c r="A11186" s="9"/>
      <c r="B11186" s="9"/>
    </row>
    <row r="11187">
      <c r="A11187" s="9"/>
      <c r="B11187" s="9"/>
    </row>
    <row r="11188">
      <c r="A11188" s="9"/>
      <c r="B11188" s="9"/>
    </row>
    <row r="11189">
      <c r="A11189" s="9"/>
      <c r="B11189" s="9"/>
    </row>
    <row r="11190">
      <c r="A11190" s="9"/>
      <c r="B11190" s="9"/>
    </row>
    <row r="11191">
      <c r="A11191" s="9"/>
      <c r="B11191" s="9"/>
    </row>
    <row r="11192">
      <c r="A11192" s="9"/>
      <c r="B11192" s="9"/>
    </row>
    <row r="11193">
      <c r="A11193" s="9"/>
      <c r="B11193" s="9"/>
    </row>
    <row r="11194">
      <c r="A11194" s="9"/>
      <c r="B11194" s="9"/>
    </row>
    <row r="11195">
      <c r="A11195" s="9"/>
      <c r="B11195" s="9"/>
    </row>
    <row r="11196">
      <c r="A11196" s="9"/>
      <c r="B11196" s="9"/>
    </row>
    <row r="11197">
      <c r="A11197" s="9"/>
      <c r="B11197" s="9"/>
    </row>
    <row r="11198">
      <c r="A11198" s="9"/>
      <c r="B11198" s="9"/>
    </row>
    <row r="11199">
      <c r="A11199" s="9"/>
      <c r="B11199" s="9"/>
    </row>
    <row r="11200">
      <c r="A11200" s="9"/>
      <c r="B11200" s="9"/>
    </row>
    <row r="11201">
      <c r="A11201" s="9"/>
      <c r="B11201" s="9"/>
    </row>
    <row r="11202">
      <c r="A11202" s="9"/>
      <c r="B11202" s="9"/>
    </row>
    <row r="11203">
      <c r="A11203" s="9"/>
      <c r="B11203" s="9"/>
    </row>
    <row r="11204">
      <c r="A11204" s="9"/>
      <c r="B11204" s="9"/>
    </row>
    <row r="11205">
      <c r="A11205" s="9"/>
      <c r="B11205" s="9"/>
    </row>
    <row r="11206">
      <c r="A11206" s="9"/>
      <c r="B11206" s="9"/>
    </row>
    <row r="11207">
      <c r="A11207" s="9"/>
      <c r="B11207" s="9"/>
    </row>
    <row r="11208">
      <c r="A11208" s="9"/>
      <c r="B11208" s="9"/>
    </row>
    <row r="11209">
      <c r="A11209" s="9"/>
      <c r="B11209" s="9"/>
    </row>
    <row r="11210">
      <c r="A11210" s="9"/>
      <c r="B11210" s="9"/>
    </row>
    <row r="11211">
      <c r="A11211" s="9"/>
      <c r="B11211" s="9"/>
    </row>
    <row r="11212">
      <c r="A11212" s="9"/>
      <c r="B11212" s="9"/>
    </row>
    <row r="11213">
      <c r="A11213" s="9"/>
      <c r="B11213" s="9"/>
    </row>
    <row r="11214">
      <c r="A11214" s="9"/>
      <c r="B11214" s="9"/>
    </row>
    <row r="11215">
      <c r="A11215" s="9"/>
      <c r="B11215" s="9"/>
    </row>
    <row r="11216">
      <c r="A11216" s="9"/>
      <c r="B11216" s="9"/>
    </row>
    <row r="11217">
      <c r="A11217" s="9"/>
      <c r="B11217" s="9"/>
    </row>
    <row r="11218">
      <c r="A11218" s="9"/>
      <c r="B11218" s="9"/>
    </row>
    <row r="11219">
      <c r="A11219" s="9"/>
      <c r="B11219" s="9"/>
    </row>
    <row r="11220">
      <c r="A11220" s="9"/>
      <c r="B11220" s="9"/>
    </row>
    <row r="11221">
      <c r="A11221" s="9"/>
      <c r="B11221" s="9"/>
    </row>
    <row r="11222">
      <c r="A11222" s="9"/>
      <c r="B11222" s="9"/>
    </row>
    <row r="11223">
      <c r="A11223" s="9"/>
      <c r="B11223" s="9"/>
    </row>
    <row r="11224">
      <c r="A11224" s="9"/>
      <c r="B11224" s="9"/>
    </row>
    <row r="11225">
      <c r="A11225" s="9"/>
      <c r="B11225" s="9"/>
    </row>
    <row r="11226">
      <c r="A11226" s="9"/>
      <c r="B11226" s="9"/>
    </row>
    <row r="11227">
      <c r="A11227" s="9"/>
      <c r="B11227" s="9"/>
    </row>
    <row r="11228">
      <c r="A11228" s="9"/>
      <c r="B11228" s="9"/>
    </row>
    <row r="11229">
      <c r="A11229" s="9"/>
      <c r="B11229" s="9"/>
    </row>
    <row r="11230">
      <c r="A11230" s="9"/>
      <c r="B11230" s="9"/>
    </row>
    <row r="11231">
      <c r="A11231" s="9"/>
      <c r="B11231" s="9"/>
    </row>
    <row r="11232">
      <c r="A11232" s="9"/>
      <c r="B11232" s="9"/>
    </row>
    <row r="11233">
      <c r="A11233" s="9"/>
      <c r="B11233" s="9"/>
    </row>
    <row r="11234">
      <c r="A11234" s="9"/>
      <c r="B11234" s="9"/>
    </row>
    <row r="11235">
      <c r="A11235" s="9"/>
      <c r="B11235" s="9"/>
    </row>
    <row r="11236">
      <c r="A11236" s="9"/>
      <c r="B11236" s="9"/>
    </row>
    <row r="11237">
      <c r="A11237" s="9"/>
      <c r="B11237" s="9"/>
    </row>
    <row r="11238">
      <c r="A11238" s="9"/>
      <c r="B11238" s="9"/>
    </row>
    <row r="11239">
      <c r="A11239" s="9"/>
      <c r="B11239" s="9"/>
    </row>
    <row r="11240">
      <c r="A11240" s="9"/>
      <c r="B11240" s="9"/>
    </row>
    <row r="11241">
      <c r="A11241" s="9"/>
      <c r="B11241" s="9"/>
    </row>
    <row r="11242">
      <c r="A11242" s="9"/>
      <c r="B11242" s="9"/>
    </row>
    <row r="11243">
      <c r="A11243" s="9"/>
      <c r="B11243" s="9"/>
    </row>
    <row r="11244">
      <c r="A11244" s="9"/>
      <c r="B11244" s="9"/>
    </row>
    <row r="11245">
      <c r="A11245" s="9"/>
      <c r="B11245" s="9"/>
    </row>
    <row r="11246">
      <c r="A11246" s="9"/>
      <c r="B11246" s="9"/>
    </row>
    <row r="11247">
      <c r="A11247" s="9"/>
      <c r="B11247" s="9"/>
    </row>
    <row r="11248">
      <c r="A11248" s="9"/>
      <c r="B11248" s="9"/>
    </row>
    <row r="11249">
      <c r="A11249" s="9"/>
      <c r="B11249" s="9"/>
    </row>
    <row r="11250">
      <c r="A11250" s="9"/>
      <c r="B11250" s="9"/>
    </row>
    <row r="11251">
      <c r="A11251" s="9"/>
      <c r="B11251" s="9"/>
    </row>
    <row r="11252">
      <c r="A11252" s="9"/>
      <c r="B11252" s="9"/>
    </row>
    <row r="11253">
      <c r="A11253" s="9"/>
      <c r="B11253" s="9"/>
    </row>
    <row r="11254">
      <c r="A11254" s="9"/>
      <c r="B11254" s="9"/>
    </row>
    <row r="11255">
      <c r="A11255" s="9"/>
      <c r="B11255" s="9"/>
    </row>
    <row r="11256">
      <c r="A11256" s="9"/>
      <c r="B11256" s="9"/>
    </row>
    <row r="11257">
      <c r="A11257" s="9"/>
      <c r="B11257" s="9"/>
    </row>
    <row r="11258">
      <c r="A11258" s="9"/>
      <c r="B11258" s="9"/>
    </row>
    <row r="11259">
      <c r="A11259" s="9"/>
      <c r="B11259" s="9"/>
    </row>
    <row r="11260">
      <c r="A11260" s="9"/>
      <c r="B11260" s="9"/>
    </row>
    <row r="11261">
      <c r="A11261" s="9"/>
      <c r="B11261" s="9"/>
    </row>
    <row r="11262">
      <c r="A11262" s="9"/>
      <c r="B11262" s="9"/>
    </row>
    <row r="11263">
      <c r="A11263" s="9"/>
      <c r="B11263" s="9"/>
    </row>
    <row r="11264">
      <c r="A11264" s="9"/>
      <c r="B11264" s="9"/>
    </row>
    <row r="11265">
      <c r="A11265" s="9"/>
      <c r="B11265" s="9"/>
    </row>
    <row r="11266">
      <c r="A11266" s="9"/>
      <c r="B11266" s="9"/>
    </row>
    <row r="11267">
      <c r="A11267" s="9"/>
      <c r="B11267" s="9"/>
    </row>
    <row r="11268">
      <c r="A11268" s="9"/>
      <c r="B11268" s="9"/>
    </row>
    <row r="11269">
      <c r="A11269" s="9"/>
      <c r="B11269" s="9"/>
    </row>
    <row r="11270">
      <c r="A11270" s="9"/>
      <c r="B11270" s="9"/>
    </row>
    <row r="11271">
      <c r="A11271" s="9"/>
      <c r="B11271" s="9"/>
    </row>
    <row r="11272">
      <c r="A11272" s="9"/>
      <c r="B11272" s="9"/>
    </row>
    <row r="11273">
      <c r="A11273" s="9"/>
      <c r="B11273" s="9"/>
    </row>
    <row r="11274">
      <c r="A11274" s="9"/>
      <c r="B11274" s="9"/>
    </row>
    <row r="11275">
      <c r="A11275" s="9"/>
      <c r="B11275" s="9"/>
    </row>
    <row r="11276">
      <c r="A11276" s="9"/>
      <c r="B11276" s="9"/>
    </row>
    <row r="11277">
      <c r="A11277" s="9"/>
      <c r="B11277" s="9"/>
    </row>
    <row r="11278">
      <c r="A11278" s="9"/>
      <c r="B11278" s="9"/>
    </row>
    <row r="11279">
      <c r="A11279" s="9"/>
      <c r="B11279" s="9"/>
    </row>
    <row r="11280">
      <c r="A11280" s="9"/>
      <c r="B11280" s="9"/>
    </row>
    <row r="11281">
      <c r="A11281" s="9"/>
      <c r="B11281" s="9"/>
    </row>
    <row r="11282">
      <c r="A11282" s="9"/>
      <c r="B11282" s="9"/>
    </row>
    <row r="11283">
      <c r="A11283" s="9"/>
      <c r="B11283" s="9"/>
    </row>
    <row r="11284">
      <c r="A11284" s="9"/>
      <c r="B11284" s="9"/>
    </row>
    <row r="11285">
      <c r="A11285" s="9"/>
      <c r="B11285" s="9"/>
    </row>
    <row r="11286">
      <c r="A11286" s="9"/>
      <c r="B11286" s="9"/>
    </row>
    <row r="11287">
      <c r="A11287" s="9"/>
      <c r="B11287" s="9"/>
    </row>
    <row r="11288">
      <c r="A11288" s="9"/>
      <c r="B11288" s="9"/>
    </row>
    <row r="11289">
      <c r="A11289" s="9"/>
      <c r="B11289" s="9"/>
    </row>
    <row r="11290">
      <c r="A11290" s="9"/>
      <c r="B11290" s="9"/>
    </row>
    <row r="11291">
      <c r="A11291" s="9"/>
      <c r="B11291" s="9"/>
    </row>
    <row r="11292">
      <c r="A11292" s="9"/>
      <c r="B11292" s="9"/>
    </row>
    <row r="11293">
      <c r="A11293" s="9"/>
      <c r="B11293" s="9"/>
    </row>
    <row r="11294">
      <c r="A11294" s="9"/>
      <c r="B11294" s="9"/>
    </row>
    <row r="11295">
      <c r="A11295" s="9"/>
      <c r="B11295" s="9"/>
    </row>
    <row r="11296">
      <c r="A11296" s="9"/>
      <c r="B11296" s="9"/>
    </row>
    <row r="11297">
      <c r="A11297" s="9"/>
      <c r="B11297" s="9"/>
    </row>
    <row r="11298">
      <c r="A11298" s="9"/>
      <c r="B11298" s="9"/>
    </row>
    <row r="11299">
      <c r="A11299" s="9"/>
      <c r="B11299" s="9"/>
    </row>
    <row r="11300">
      <c r="A11300" s="9"/>
      <c r="B11300" s="9"/>
    </row>
    <row r="11301">
      <c r="A11301" s="9"/>
      <c r="B11301" s="9"/>
    </row>
    <row r="11302">
      <c r="A11302" s="9"/>
      <c r="B11302" s="9"/>
    </row>
    <row r="11303">
      <c r="A11303" s="9"/>
      <c r="B11303" s="9"/>
    </row>
    <row r="11304">
      <c r="A11304" s="9"/>
      <c r="B11304" s="9"/>
    </row>
    <row r="11305">
      <c r="A11305" s="9"/>
      <c r="B11305" s="9"/>
    </row>
    <row r="11306">
      <c r="A11306" s="9"/>
      <c r="B11306" s="9"/>
    </row>
    <row r="11307">
      <c r="A11307" s="9"/>
      <c r="B11307" s="9"/>
    </row>
    <row r="11308">
      <c r="A11308" s="9"/>
      <c r="B11308" s="9"/>
    </row>
    <row r="11309">
      <c r="A11309" s="9"/>
      <c r="B11309" s="9"/>
    </row>
    <row r="11310">
      <c r="A11310" s="9"/>
      <c r="B11310" s="9"/>
    </row>
    <row r="11311">
      <c r="A11311" s="9"/>
      <c r="B11311" s="9"/>
    </row>
    <row r="11312">
      <c r="A11312" s="9"/>
      <c r="B11312" s="9"/>
    </row>
    <row r="11313">
      <c r="A11313" s="9"/>
      <c r="B11313" s="9"/>
    </row>
    <row r="11314">
      <c r="A11314" s="9"/>
      <c r="B11314" s="9"/>
    </row>
    <row r="11315">
      <c r="A11315" s="9"/>
      <c r="B11315" s="9"/>
    </row>
    <row r="11316">
      <c r="A11316" s="9"/>
      <c r="B11316" s="9"/>
    </row>
    <row r="11317">
      <c r="A11317" s="9"/>
      <c r="B11317" s="9"/>
    </row>
    <row r="11318">
      <c r="A11318" s="9"/>
      <c r="B11318" s="9"/>
    </row>
    <row r="11319">
      <c r="A11319" s="9"/>
      <c r="B11319" s="9"/>
    </row>
    <row r="11320">
      <c r="A11320" s="9"/>
      <c r="B11320" s="9"/>
    </row>
    <row r="11321">
      <c r="A11321" s="9"/>
      <c r="B11321" s="9"/>
    </row>
    <row r="11322">
      <c r="A11322" s="9"/>
      <c r="B11322" s="9"/>
    </row>
    <row r="11323">
      <c r="A11323" s="9"/>
      <c r="B11323" s="9"/>
    </row>
    <row r="11324">
      <c r="A11324" s="9"/>
      <c r="B11324" s="9"/>
    </row>
    <row r="11325">
      <c r="A11325" s="9"/>
      <c r="B11325" s="9"/>
    </row>
    <row r="11326">
      <c r="A11326" s="9"/>
      <c r="B11326" s="9"/>
    </row>
    <row r="11327">
      <c r="A11327" s="9"/>
      <c r="B11327" s="9"/>
    </row>
    <row r="11328">
      <c r="A11328" s="9"/>
      <c r="B11328" s="9"/>
    </row>
    <row r="11329">
      <c r="A11329" s="9"/>
      <c r="B11329" s="9"/>
    </row>
    <row r="11330">
      <c r="A11330" s="9"/>
      <c r="B11330" s="9"/>
    </row>
    <row r="11331">
      <c r="A11331" s="9"/>
      <c r="B11331" s="9"/>
    </row>
    <row r="11332">
      <c r="A11332" s="9"/>
      <c r="B11332" s="9"/>
    </row>
    <row r="11333">
      <c r="A11333" s="9"/>
      <c r="B11333" s="9"/>
    </row>
    <row r="11334">
      <c r="A11334" s="9"/>
      <c r="B11334" s="9"/>
    </row>
    <row r="11335">
      <c r="A11335" s="9"/>
      <c r="B11335" s="9"/>
    </row>
    <row r="11336">
      <c r="A11336" s="9"/>
      <c r="B11336" s="9"/>
    </row>
    <row r="11337">
      <c r="A11337" s="9"/>
      <c r="B11337" s="9"/>
    </row>
    <row r="11338">
      <c r="A11338" s="9"/>
      <c r="B11338" s="9"/>
    </row>
    <row r="11339">
      <c r="A11339" s="9"/>
      <c r="B11339" s="9"/>
    </row>
    <row r="11340">
      <c r="A11340" s="9"/>
      <c r="B11340" s="9"/>
    </row>
    <row r="11341">
      <c r="A11341" s="9"/>
      <c r="B11341" s="9"/>
    </row>
    <row r="11342">
      <c r="A11342" s="9"/>
      <c r="B11342" s="9"/>
    </row>
    <row r="11343">
      <c r="A11343" s="9"/>
      <c r="B11343" s="9"/>
    </row>
    <row r="11344">
      <c r="A11344" s="9"/>
      <c r="B11344" s="9"/>
    </row>
    <row r="11345">
      <c r="A11345" s="9"/>
      <c r="B11345" s="9"/>
    </row>
    <row r="11346">
      <c r="A11346" s="9"/>
      <c r="B11346" s="9"/>
    </row>
    <row r="11347">
      <c r="A11347" s="9"/>
      <c r="B11347" s="9"/>
    </row>
    <row r="11348">
      <c r="A11348" s="9"/>
      <c r="B11348" s="9"/>
    </row>
    <row r="11349">
      <c r="A11349" s="9"/>
      <c r="B11349" s="9"/>
    </row>
    <row r="11350">
      <c r="A11350" s="9"/>
      <c r="B11350" s="9"/>
    </row>
    <row r="11351">
      <c r="A11351" s="9"/>
      <c r="B11351" s="9"/>
    </row>
    <row r="11352">
      <c r="A11352" s="9"/>
      <c r="B11352" s="9"/>
    </row>
    <row r="11353">
      <c r="A11353" s="9"/>
      <c r="B11353" s="9"/>
    </row>
    <row r="11354">
      <c r="A11354" s="9"/>
      <c r="B11354" s="9"/>
    </row>
    <row r="11355">
      <c r="A11355" s="9"/>
      <c r="B11355" s="9"/>
    </row>
    <row r="11356">
      <c r="A11356" s="9"/>
      <c r="B11356" s="9"/>
    </row>
    <row r="11357">
      <c r="A11357" s="9"/>
      <c r="B11357" s="9"/>
    </row>
    <row r="11358">
      <c r="A11358" s="9"/>
      <c r="B11358" s="9"/>
    </row>
    <row r="11359">
      <c r="A11359" s="9"/>
      <c r="B11359" s="9"/>
    </row>
    <row r="11360">
      <c r="A11360" s="9"/>
      <c r="B11360" s="9"/>
    </row>
    <row r="11361">
      <c r="A11361" s="9"/>
      <c r="B11361" s="9"/>
    </row>
    <row r="11362">
      <c r="A11362" s="9"/>
      <c r="B11362" s="9"/>
    </row>
    <row r="11363">
      <c r="A11363" s="9"/>
      <c r="B11363" s="9"/>
    </row>
    <row r="11364">
      <c r="A11364" s="9"/>
      <c r="B11364" s="9"/>
    </row>
    <row r="11365">
      <c r="A11365" s="9"/>
      <c r="B11365" s="9"/>
    </row>
    <row r="11366">
      <c r="A11366" s="9"/>
      <c r="B11366" s="9"/>
    </row>
    <row r="11367">
      <c r="A11367" s="9"/>
      <c r="B11367" s="9"/>
    </row>
    <row r="11368">
      <c r="A11368" s="9"/>
      <c r="B11368" s="9"/>
    </row>
    <row r="11369">
      <c r="A11369" s="9"/>
      <c r="B11369" s="9"/>
    </row>
    <row r="11370">
      <c r="A11370" s="9"/>
      <c r="B11370" s="9"/>
    </row>
    <row r="11371">
      <c r="A11371" s="9"/>
      <c r="B11371" s="9"/>
    </row>
    <row r="11372">
      <c r="A11372" s="9"/>
      <c r="B11372" s="9"/>
    </row>
    <row r="11373">
      <c r="A11373" s="9"/>
      <c r="B11373" s="9"/>
    </row>
    <row r="11374">
      <c r="A11374" s="9"/>
      <c r="B11374" s="9"/>
    </row>
    <row r="11375">
      <c r="A11375" s="9"/>
      <c r="B11375" s="9"/>
    </row>
    <row r="11376">
      <c r="A11376" s="9"/>
      <c r="B11376" s="9"/>
    </row>
    <row r="11377">
      <c r="A11377" s="9"/>
      <c r="B11377" s="9"/>
    </row>
    <row r="11378">
      <c r="A11378" s="9"/>
      <c r="B11378" s="9"/>
    </row>
    <row r="11379">
      <c r="A11379" s="9"/>
      <c r="B11379" s="9"/>
    </row>
    <row r="11380">
      <c r="A11380" s="9"/>
      <c r="B11380" s="9"/>
    </row>
    <row r="11381">
      <c r="A11381" s="9"/>
      <c r="B11381" s="9"/>
    </row>
    <row r="11382">
      <c r="A11382" s="9"/>
      <c r="B11382" s="9"/>
    </row>
    <row r="11383">
      <c r="A11383" s="9"/>
      <c r="B11383" s="9"/>
    </row>
    <row r="11384">
      <c r="A11384" s="9"/>
      <c r="B11384" s="9"/>
    </row>
    <row r="11385">
      <c r="A11385" s="9"/>
      <c r="B11385" s="9"/>
    </row>
    <row r="11386">
      <c r="A11386" s="9"/>
      <c r="B11386" s="9"/>
    </row>
    <row r="11387">
      <c r="A11387" s="9"/>
      <c r="B11387" s="9"/>
    </row>
    <row r="11388">
      <c r="A11388" s="9"/>
      <c r="B11388" s="9"/>
    </row>
    <row r="11389">
      <c r="A11389" s="9"/>
      <c r="B11389" s="9"/>
    </row>
    <row r="11390">
      <c r="A11390" s="9"/>
      <c r="B11390" s="9"/>
    </row>
    <row r="11391">
      <c r="A11391" s="9"/>
      <c r="B11391" s="9"/>
    </row>
    <row r="11392">
      <c r="A11392" s="9"/>
      <c r="B11392" s="9"/>
    </row>
    <row r="11393">
      <c r="A11393" s="9"/>
      <c r="B11393" s="9"/>
    </row>
    <row r="11394">
      <c r="A11394" s="9"/>
      <c r="B11394" s="9"/>
    </row>
    <row r="11395">
      <c r="A11395" s="9"/>
      <c r="B11395" s="9"/>
    </row>
    <row r="11396">
      <c r="A11396" s="9"/>
      <c r="B11396" s="9"/>
    </row>
    <row r="11397">
      <c r="A11397" s="9"/>
      <c r="B11397" s="9"/>
    </row>
    <row r="11398">
      <c r="A11398" s="9"/>
      <c r="B11398" s="9"/>
    </row>
    <row r="11399">
      <c r="A11399" s="9"/>
      <c r="B11399" s="9"/>
    </row>
    <row r="11400">
      <c r="A11400" s="9"/>
      <c r="B11400" s="9"/>
    </row>
    <row r="11401">
      <c r="A11401" s="9"/>
      <c r="B11401" s="9"/>
    </row>
    <row r="11402">
      <c r="A11402" s="9"/>
      <c r="B11402" s="9"/>
    </row>
    <row r="11403">
      <c r="A11403" s="9"/>
      <c r="B11403" s="9"/>
    </row>
    <row r="11404">
      <c r="A11404" s="9"/>
      <c r="B11404" s="9"/>
    </row>
    <row r="11405">
      <c r="A11405" s="9"/>
      <c r="B11405" s="9"/>
    </row>
    <row r="11406">
      <c r="A11406" s="9"/>
      <c r="B11406" s="9"/>
    </row>
    <row r="11407">
      <c r="A11407" s="9"/>
      <c r="B11407" s="9"/>
    </row>
    <row r="11408">
      <c r="A11408" s="9"/>
      <c r="B11408" s="9"/>
    </row>
    <row r="11409">
      <c r="A11409" s="9"/>
      <c r="B11409" s="9"/>
    </row>
    <row r="11410">
      <c r="A11410" s="9"/>
      <c r="B11410" s="9"/>
    </row>
    <row r="11411">
      <c r="A11411" s="9"/>
      <c r="B11411" s="9"/>
    </row>
    <row r="11412">
      <c r="A11412" s="9"/>
      <c r="B11412" s="9"/>
    </row>
    <row r="11413">
      <c r="A11413" s="9"/>
      <c r="B11413" s="9"/>
    </row>
    <row r="11414">
      <c r="A11414" s="9"/>
      <c r="B11414" s="9"/>
    </row>
    <row r="11415">
      <c r="A11415" s="9"/>
      <c r="B11415" s="9"/>
    </row>
    <row r="11416">
      <c r="A11416" s="9"/>
      <c r="B11416" s="9"/>
    </row>
    <row r="11417">
      <c r="A11417" s="9"/>
      <c r="B11417" s="9"/>
    </row>
    <row r="11418">
      <c r="A11418" s="9"/>
      <c r="B11418" s="9"/>
    </row>
    <row r="11419">
      <c r="A11419" s="9"/>
      <c r="B11419" s="9"/>
    </row>
    <row r="11420">
      <c r="A11420" s="9"/>
      <c r="B11420" s="9"/>
    </row>
    <row r="11421">
      <c r="A11421" s="9"/>
      <c r="B11421" s="9"/>
    </row>
    <row r="11422">
      <c r="A11422" s="9"/>
      <c r="B11422" s="9"/>
    </row>
    <row r="11423">
      <c r="A11423" s="9"/>
      <c r="B11423" s="9"/>
    </row>
    <row r="11424">
      <c r="A11424" s="9"/>
      <c r="B11424" s="9"/>
    </row>
    <row r="11425">
      <c r="A11425" s="9"/>
      <c r="B11425" s="9"/>
    </row>
    <row r="11426">
      <c r="A11426" s="9"/>
      <c r="B11426" s="9"/>
    </row>
    <row r="11427">
      <c r="A11427" s="9"/>
      <c r="B11427" s="9"/>
    </row>
    <row r="11428">
      <c r="A11428" s="9"/>
      <c r="B11428" s="9"/>
    </row>
    <row r="11429">
      <c r="A11429" s="9"/>
      <c r="B11429" s="9"/>
    </row>
    <row r="11430">
      <c r="A11430" s="9"/>
      <c r="B11430" s="9"/>
    </row>
    <row r="11431">
      <c r="A11431" s="9"/>
      <c r="B11431" s="9"/>
    </row>
    <row r="11432">
      <c r="A11432" s="9"/>
      <c r="B11432" s="9"/>
    </row>
    <row r="11433">
      <c r="A11433" s="9"/>
      <c r="B11433" s="9"/>
    </row>
    <row r="11434">
      <c r="A11434" s="9"/>
      <c r="B11434" s="9"/>
    </row>
    <row r="11435">
      <c r="A11435" s="9"/>
      <c r="B11435" s="9"/>
    </row>
    <row r="11436">
      <c r="A11436" s="9"/>
      <c r="B11436" s="9"/>
    </row>
    <row r="11437">
      <c r="A11437" s="9"/>
      <c r="B11437" s="9"/>
    </row>
    <row r="11438">
      <c r="A11438" s="9"/>
      <c r="B11438" s="9"/>
    </row>
    <row r="11439">
      <c r="A11439" s="9"/>
      <c r="B11439" s="9"/>
    </row>
    <row r="11440">
      <c r="A11440" s="9"/>
      <c r="B11440" s="9"/>
    </row>
    <row r="11441">
      <c r="A11441" s="9"/>
      <c r="B11441" s="9"/>
    </row>
    <row r="11442">
      <c r="A11442" s="9"/>
      <c r="B11442" s="9"/>
    </row>
    <row r="11443">
      <c r="A11443" s="9"/>
      <c r="B11443" s="9"/>
    </row>
    <row r="11444">
      <c r="A11444" s="9"/>
      <c r="B11444" s="9"/>
    </row>
    <row r="11445">
      <c r="A11445" s="9"/>
      <c r="B11445" s="9"/>
    </row>
    <row r="11446">
      <c r="A11446" s="9"/>
      <c r="B11446" s="9"/>
    </row>
    <row r="11447">
      <c r="A11447" s="9"/>
      <c r="B11447" s="9"/>
    </row>
    <row r="11448">
      <c r="A11448" s="9"/>
      <c r="B11448" s="9"/>
    </row>
    <row r="11449">
      <c r="A11449" s="9"/>
      <c r="B11449" s="9"/>
    </row>
    <row r="11450">
      <c r="A11450" s="9"/>
      <c r="B11450" s="9"/>
    </row>
    <row r="11451">
      <c r="A11451" s="9"/>
      <c r="B11451" s="9"/>
    </row>
    <row r="11452">
      <c r="A11452" s="9"/>
      <c r="B11452" s="9"/>
    </row>
    <row r="11453">
      <c r="A11453" s="9"/>
      <c r="B11453" s="9"/>
    </row>
    <row r="11454">
      <c r="A11454" s="9"/>
      <c r="B11454" s="9"/>
    </row>
    <row r="11455">
      <c r="A11455" s="9"/>
      <c r="B11455" s="9"/>
    </row>
    <row r="11456">
      <c r="A11456" s="9"/>
      <c r="B11456" s="9"/>
    </row>
    <row r="11457">
      <c r="A11457" s="9"/>
      <c r="B11457" s="9"/>
    </row>
    <row r="11458">
      <c r="A11458" s="9"/>
      <c r="B11458" s="9"/>
    </row>
    <row r="11459">
      <c r="A11459" s="9"/>
      <c r="B11459" s="9"/>
    </row>
    <row r="11460">
      <c r="A11460" s="9"/>
      <c r="B11460" s="9"/>
    </row>
    <row r="11461">
      <c r="A11461" s="9"/>
      <c r="B11461" s="9"/>
    </row>
    <row r="11462">
      <c r="A11462" s="9"/>
      <c r="B11462" s="9"/>
    </row>
    <row r="11463">
      <c r="A11463" s="9"/>
      <c r="B11463" s="9"/>
    </row>
    <row r="11464">
      <c r="A11464" s="9"/>
      <c r="B11464" s="9"/>
    </row>
    <row r="11465">
      <c r="A11465" s="9"/>
      <c r="B11465" s="9"/>
    </row>
    <row r="11466">
      <c r="A11466" s="9"/>
      <c r="B11466" s="9"/>
    </row>
    <row r="11467">
      <c r="A11467" s="9"/>
      <c r="B11467" s="9"/>
    </row>
    <row r="11468">
      <c r="A11468" s="9"/>
      <c r="B11468" s="9"/>
    </row>
    <row r="11469">
      <c r="A11469" s="9"/>
      <c r="B11469" s="9"/>
    </row>
    <row r="11470">
      <c r="A11470" s="9"/>
      <c r="B11470" s="9"/>
    </row>
    <row r="11471">
      <c r="A11471" s="9"/>
      <c r="B11471" s="9"/>
    </row>
    <row r="11472">
      <c r="A11472" s="9"/>
      <c r="B11472" s="9"/>
    </row>
    <row r="11473">
      <c r="A11473" s="9"/>
      <c r="B11473" s="9"/>
    </row>
    <row r="11474">
      <c r="A11474" s="9"/>
      <c r="B11474" s="9"/>
    </row>
    <row r="11475">
      <c r="A11475" s="9"/>
      <c r="B11475" s="9"/>
    </row>
    <row r="11476">
      <c r="A11476" s="9"/>
      <c r="B11476" s="9"/>
    </row>
    <row r="11477">
      <c r="A11477" s="9"/>
      <c r="B11477" s="9"/>
    </row>
    <row r="11478">
      <c r="A11478" s="9"/>
      <c r="B11478" s="9"/>
    </row>
    <row r="11479">
      <c r="A11479" s="9"/>
      <c r="B11479" s="9"/>
    </row>
    <row r="11480">
      <c r="A11480" s="9"/>
      <c r="B11480" s="9"/>
    </row>
    <row r="11481">
      <c r="A11481" s="9"/>
      <c r="B11481" s="9"/>
    </row>
    <row r="11482">
      <c r="A11482" s="9"/>
      <c r="B11482" s="9"/>
    </row>
    <row r="11483">
      <c r="A11483" s="9"/>
      <c r="B11483" s="9"/>
    </row>
    <row r="11484">
      <c r="A11484" s="9"/>
      <c r="B11484" s="9"/>
    </row>
    <row r="11485">
      <c r="A11485" s="9"/>
      <c r="B11485" s="9"/>
    </row>
    <row r="11486">
      <c r="A11486" s="9"/>
      <c r="B11486" s="9"/>
    </row>
    <row r="11487">
      <c r="A11487" s="9"/>
      <c r="B11487" s="9"/>
    </row>
    <row r="11488">
      <c r="A11488" s="9"/>
      <c r="B11488" s="9"/>
    </row>
    <row r="11489">
      <c r="A11489" s="9"/>
      <c r="B11489" s="9"/>
    </row>
    <row r="11490">
      <c r="A11490" s="9"/>
      <c r="B11490" s="9"/>
    </row>
    <row r="11491">
      <c r="A11491" s="9"/>
      <c r="B11491" s="9"/>
    </row>
    <row r="11492">
      <c r="A11492" s="9"/>
      <c r="B11492" s="9"/>
    </row>
    <row r="11493">
      <c r="A11493" s="9"/>
      <c r="B11493" s="9"/>
    </row>
    <row r="11494">
      <c r="A11494" s="9"/>
      <c r="B11494" s="9"/>
    </row>
    <row r="11495">
      <c r="A11495" s="9"/>
      <c r="B11495" s="9"/>
    </row>
    <row r="11496">
      <c r="A11496" s="9"/>
      <c r="B11496" s="9"/>
    </row>
    <row r="11497">
      <c r="A11497" s="9"/>
      <c r="B11497" s="9"/>
    </row>
    <row r="11498">
      <c r="A11498" s="9"/>
      <c r="B11498" s="9"/>
    </row>
    <row r="11499">
      <c r="A11499" s="9"/>
      <c r="B11499" s="9"/>
    </row>
    <row r="11500">
      <c r="A11500" s="9"/>
      <c r="B11500" s="9"/>
    </row>
    <row r="11501">
      <c r="A11501" s="9"/>
      <c r="B11501" s="9"/>
    </row>
    <row r="11502">
      <c r="A11502" s="9"/>
      <c r="B11502" s="9"/>
    </row>
    <row r="11503">
      <c r="A11503" s="9"/>
      <c r="B11503" s="9"/>
    </row>
    <row r="11504">
      <c r="A11504" s="9"/>
      <c r="B11504" s="9"/>
    </row>
    <row r="11505">
      <c r="A11505" s="9"/>
      <c r="B11505" s="9"/>
    </row>
    <row r="11506">
      <c r="A11506" s="9"/>
      <c r="B11506" s="9"/>
    </row>
    <row r="11507">
      <c r="A11507" s="9"/>
      <c r="B11507" s="9"/>
    </row>
    <row r="11508">
      <c r="A11508" s="9"/>
      <c r="B11508" s="9"/>
    </row>
    <row r="11509">
      <c r="A11509" s="9"/>
      <c r="B11509" s="9"/>
    </row>
    <row r="11510">
      <c r="A11510" s="9"/>
      <c r="B11510" s="9"/>
    </row>
    <row r="11511">
      <c r="A11511" s="9"/>
      <c r="B11511" s="9"/>
    </row>
    <row r="11512">
      <c r="A11512" s="9"/>
      <c r="B11512" s="9"/>
    </row>
    <row r="11513">
      <c r="A11513" s="9"/>
      <c r="B11513" s="9"/>
    </row>
    <row r="11514">
      <c r="A11514" s="9"/>
      <c r="B11514" s="9"/>
    </row>
    <row r="11515">
      <c r="A11515" s="9"/>
      <c r="B11515" s="9"/>
    </row>
    <row r="11516">
      <c r="A11516" s="9"/>
      <c r="B11516" s="9"/>
    </row>
    <row r="11517">
      <c r="A11517" s="9"/>
      <c r="B11517" s="9"/>
    </row>
    <row r="11518">
      <c r="A11518" s="9"/>
      <c r="B11518" s="9"/>
    </row>
    <row r="11519">
      <c r="A11519" s="9"/>
      <c r="B11519" s="9"/>
    </row>
    <row r="11520">
      <c r="A11520" s="9"/>
      <c r="B11520" s="9"/>
    </row>
    <row r="11521">
      <c r="A11521" s="9"/>
      <c r="B11521" s="9"/>
    </row>
    <row r="11522">
      <c r="A11522" s="9"/>
      <c r="B11522" s="9"/>
    </row>
    <row r="11523">
      <c r="A11523" s="9"/>
      <c r="B11523" s="9"/>
    </row>
    <row r="11524">
      <c r="A11524" s="9"/>
      <c r="B11524" s="9"/>
    </row>
    <row r="11525">
      <c r="A11525" s="9"/>
      <c r="B11525" s="9"/>
    </row>
    <row r="11526">
      <c r="A11526" s="9"/>
      <c r="B11526" s="9"/>
    </row>
    <row r="11527">
      <c r="A11527" s="9"/>
      <c r="B11527" s="9"/>
    </row>
    <row r="11528">
      <c r="A11528" s="9"/>
      <c r="B11528" s="9"/>
    </row>
    <row r="11529">
      <c r="A11529" s="9"/>
      <c r="B11529" s="9"/>
    </row>
    <row r="11530">
      <c r="A11530" s="9"/>
      <c r="B11530" s="9"/>
    </row>
    <row r="11531">
      <c r="A11531" s="9"/>
      <c r="B11531" s="9"/>
    </row>
    <row r="11532">
      <c r="A11532" s="9"/>
      <c r="B11532" s="9"/>
    </row>
    <row r="11533">
      <c r="A11533" s="9"/>
      <c r="B11533" s="9"/>
    </row>
    <row r="11534">
      <c r="A11534" s="9"/>
      <c r="B11534" s="9"/>
    </row>
    <row r="11535">
      <c r="A11535" s="9"/>
      <c r="B11535" s="9"/>
    </row>
    <row r="11536">
      <c r="A11536" s="9"/>
      <c r="B11536" s="9"/>
    </row>
    <row r="11537">
      <c r="A11537" s="9"/>
      <c r="B11537" s="9"/>
    </row>
    <row r="11538">
      <c r="A11538" s="9"/>
      <c r="B11538" s="9"/>
    </row>
    <row r="11539">
      <c r="A11539" s="9"/>
      <c r="B11539" s="9"/>
    </row>
    <row r="11540">
      <c r="A11540" s="9"/>
      <c r="B11540" s="9"/>
    </row>
    <row r="11541">
      <c r="A11541" s="9"/>
      <c r="B11541" s="9"/>
    </row>
    <row r="11542">
      <c r="A11542" s="9"/>
      <c r="B11542" s="9"/>
    </row>
    <row r="11543">
      <c r="A11543" s="9"/>
      <c r="B11543" s="9"/>
    </row>
    <row r="11544">
      <c r="A11544" s="9"/>
      <c r="B11544" s="9"/>
    </row>
    <row r="11545">
      <c r="A11545" s="9"/>
      <c r="B11545" s="9"/>
    </row>
    <row r="11546">
      <c r="A11546" s="9"/>
      <c r="B11546" s="9"/>
    </row>
    <row r="11547">
      <c r="A11547" s="9"/>
      <c r="B11547" s="9"/>
    </row>
    <row r="11548">
      <c r="A11548" s="9"/>
      <c r="B11548" s="9"/>
    </row>
    <row r="11549">
      <c r="A11549" s="9"/>
      <c r="B11549" s="9"/>
    </row>
    <row r="11550">
      <c r="A11550" s="9"/>
      <c r="B11550" s="9"/>
    </row>
    <row r="11551">
      <c r="A11551" s="9"/>
      <c r="B11551" s="9"/>
    </row>
    <row r="11552">
      <c r="A11552" s="9"/>
      <c r="B11552" s="9"/>
    </row>
    <row r="11553">
      <c r="A11553" s="9"/>
      <c r="B11553" s="9"/>
    </row>
    <row r="11554">
      <c r="A11554" s="9"/>
      <c r="B11554" s="9"/>
    </row>
    <row r="11555">
      <c r="A11555" s="9"/>
      <c r="B11555" s="9"/>
    </row>
    <row r="11556">
      <c r="A11556" s="9"/>
      <c r="B11556" s="9"/>
    </row>
    <row r="11557">
      <c r="A11557" s="9"/>
      <c r="B11557" s="9"/>
    </row>
    <row r="11558">
      <c r="A11558" s="9"/>
      <c r="B11558" s="9"/>
    </row>
    <row r="11559">
      <c r="A11559" s="9"/>
      <c r="B11559" s="9"/>
    </row>
    <row r="11560">
      <c r="A11560" s="9"/>
      <c r="B11560" s="9"/>
    </row>
    <row r="11561">
      <c r="A11561" s="9"/>
      <c r="B11561" s="9"/>
    </row>
    <row r="11562">
      <c r="A11562" s="9"/>
      <c r="B11562" s="9"/>
    </row>
    <row r="11563">
      <c r="A11563" s="9"/>
      <c r="B11563" s="9"/>
    </row>
    <row r="11564">
      <c r="A11564" s="9"/>
      <c r="B11564" s="9"/>
    </row>
    <row r="11565">
      <c r="A11565" s="9"/>
      <c r="B11565" s="9"/>
    </row>
    <row r="11566">
      <c r="A11566" s="9"/>
      <c r="B11566" s="9"/>
    </row>
    <row r="11567">
      <c r="A11567" s="9"/>
      <c r="B11567" s="9"/>
    </row>
    <row r="11568">
      <c r="A11568" s="9"/>
      <c r="B11568" s="9"/>
    </row>
    <row r="11569">
      <c r="A11569" s="9"/>
      <c r="B11569" s="9"/>
    </row>
    <row r="11570">
      <c r="A11570" s="9"/>
      <c r="B11570" s="9"/>
    </row>
    <row r="11571">
      <c r="A11571" s="9"/>
      <c r="B11571" s="9"/>
    </row>
    <row r="11572">
      <c r="A11572" s="9"/>
      <c r="B11572" s="9"/>
    </row>
    <row r="11573">
      <c r="A11573" s="9"/>
      <c r="B11573" s="9"/>
    </row>
    <row r="11574">
      <c r="A11574" s="9"/>
      <c r="B11574" s="9"/>
    </row>
    <row r="11575">
      <c r="A11575" s="9"/>
      <c r="B11575" s="9"/>
    </row>
    <row r="11576">
      <c r="A11576" s="9"/>
      <c r="B11576" s="9"/>
    </row>
    <row r="11577">
      <c r="A11577" s="9"/>
      <c r="B11577" s="9"/>
    </row>
    <row r="11578">
      <c r="A11578" s="9"/>
      <c r="B11578" s="9"/>
    </row>
    <row r="11579">
      <c r="A11579" s="9"/>
      <c r="B11579" s="9"/>
    </row>
    <row r="11580">
      <c r="A11580" s="9"/>
      <c r="B11580" s="9"/>
    </row>
    <row r="11581">
      <c r="A11581" s="9"/>
      <c r="B11581" s="9"/>
    </row>
    <row r="11582">
      <c r="A11582" s="9"/>
      <c r="B11582" s="9"/>
    </row>
    <row r="11583">
      <c r="A11583" s="9"/>
      <c r="B11583" s="9"/>
    </row>
    <row r="11584">
      <c r="A11584" s="9"/>
      <c r="B11584" s="9"/>
    </row>
    <row r="11585">
      <c r="A11585" s="9"/>
      <c r="B11585" s="9"/>
    </row>
    <row r="11586">
      <c r="A11586" s="9"/>
      <c r="B11586" s="9"/>
    </row>
    <row r="11587">
      <c r="A11587" s="9"/>
      <c r="B11587" s="9"/>
    </row>
    <row r="11588">
      <c r="A11588" s="9"/>
      <c r="B11588" s="9"/>
    </row>
    <row r="11589">
      <c r="A11589" s="9"/>
      <c r="B11589" s="9"/>
    </row>
    <row r="11590">
      <c r="A11590" s="9"/>
      <c r="B11590" s="9"/>
    </row>
    <row r="11591">
      <c r="A11591" s="9"/>
      <c r="B11591" s="9"/>
    </row>
    <row r="11592">
      <c r="A11592" s="9"/>
      <c r="B11592" s="9"/>
    </row>
    <row r="11593">
      <c r="A11593" s="9"/>
      <c r="B11593" s="9"/>
    </row>
    <row r="11594">
      <c r="A11594" s="9"/>
      <c r="B11594" s="9"/>
    </row>
    <row r="11595">
      <c r="A11595" s="9"/>
      <c r="B11595" s="9"/>
    </row>
    <row r="11596">
      <c r="A11596" s="9"/>
      <c r="B11596" s="9"/>
    </row>
    <row r="11597">
      <c r="A11597" s="9"/>
      <c r="B11597" s="9"/>
    </row>
    <row r="11598">
      <c r="A11598" s="9"/>
      <c r="B11598" s="9"/>
    </row>
    <row r="11599">
      <c r="A11599" s="9"/>
      <c r="B11599" s="9"/>
    </row>
    <row r="11600">
      <c r="A11600" s="9"/>
      <c r="B11600" s="9"/>
    </row>
    <row r="11601">
      <c r="A11601" s="9"/>
      <c r="B11601" s="9"/>
    </row>
    <row r="11602">
      <c r="A11602" s="9"/>
      <c r="B11602" s="9"/>
    </row>
    <row r="11603">
      <c r="A11603" s="9"/>
      <c r="B11603" s="9"/>
    </row>
    <row r="11604">
      <c r="A11604" s="9"/>
      <c r="B11604" s="9"/>
    </row>
    <row r="11605">
      <c r="A11605" s="9"/>
      <c r="B11605" s="9"/>
    </row>
    <row r="11606">
      <c r="A11606" s="9"/>
      <c r="B11606" s="9"/>
    </row>
    <row r="11607">
      <c r="A11607" s="9"/>
      <c r="B11607" s="9"/>
    </row>
    <row r="11608">
      <c r="A11608" s="9"/>
      <c r="B11608" s="9"/>
    </row>
    <row r="11609">
      <c r="A11609" s="9"/>
      <c r="B11609" s="9"/>
    </row>
    <row r="11610">
      <c r="A11610" s="9"/>
      <c r="B11610" s="9"/>
    </row>
    <row r="11611">
      <c r="A11611" s="9"/>
      <c r="B11611" s="9"/>
    </row>
    <row r="11612">
      <c r="A11612" s="9"/>
      <c r="B11612" s="9"/>
    </row>
    <row r="11613">
      <c r="A11613" s="9"/>
      <c r="B11613" s="9"/>
    </row>
    <row r="11614">
      <c r="A11614" s="9"/>
      <c r="B11614" s="9"/>
    </row>
    <row r="11615">
      <c r="A11615" s="9"/>
      <c r="B11615" s="9"/>
    </row>
    <row r="11616">
      <c r="A11616" s="9"/>
      <c r="B11616" s="9"/>
    </row>
    <row r="11617">
      <c r="A11617" s="9"/>
      <c r="B11617" s="9"/>
    </row>
    <row r="11618">
      <c r="A11618" s="9"/>
      <c r="B11618" s="9"/>
    </row>
    <row r="11619">
      <c r="A11619" s="9"/>
      <c r="B11619" s="9"/>
    </row>
    <row r="11620">
      <c r="A11620" s="9"/>
      <c r="B11620" s="9"/>
    </row>
    <row r="11621">
      <c r="A11621" s="9"/>
      <c r="B11621" s="9"/>
    </row>
    <row r="11622">
      <c r="A11622" s="9"/>
      <c r="B11622" s="9"/>
    </row>
    <row r="11623">
      <c r="A11623" s="9"/>
      <c r="B11623" s="9"/>
    </row>
    <row r="11624">
      <c r="A11624" s="9"/>
      <c r="B11624" s="9"/>
    </row>
    <row r="11625">
      <c r="A11625" s="9"/>
      <c r="B11625" s="9"/>
    </row>
    <row r="11626">
      <c r="A11626" s="9"/>
      <c r="B11626" s="9"/>
    </row>
    <row r="11627">
      <c r="A11627" s="9"/>
      <c r="B11627" s="9"/>
    </row>
    <row r="11628">
      <c r="A11628" s="9"/>
      <c r="B11628" s="9"/>
    </row>
    <row r="11629">
      <c r="A11629" s="9"/>
      <c r="B11629" s="9"/>
    </row>
    <row r="11630">
      <c r="A11630" s="9"/>
      <c r="B11630" s="9"/>
    </row>
    <row r="11631">
      <c r="A11631" s="9"/>
      <c r="B11631" s="9"/>
    </row>
    <row r="11632">
      <c r="A11632" s="9"/>
      <c r="B11632" s="9"/>
    </row>
    <row r="11633">
      <c r="A11633" s="9"/>
      <c r="B11633" s="9"/>
    </row>
    <row r="11634">
      <c r="A11634" s="9"/>
      <c r="B11634" s="9"/>
    </row>
    <row r="11635">
      <c r="A11635" s="9"/>
      <c r="B11635" s="9"/>
    </row>
    <row r="11636">
      <c r="A11636" s="9"/>
      <c r="B11636" s="9"/>
    </row>
    <row r="11637">
      <c r="A11637" s="9"/>
      <c r="B11637" s="9"/>
    </row>
    <row r="11638">
      <c r="A11638" s="9"/>
      <c r="B11638" s="9"/>
    </row>
    <row r="11639">
      <c r="A11639" s="9"/>
      <c r="B11639" s="9"/>
    </row>
    <row r="11640">
      <c r="A11640" s="9"/>
      <c r="B11640" s="9"/>
    </row>
    <row r="11641">
      <c r="A11641" s="9"/>
      <c r="B11641" s="9"/>
    </row>
    <row r="11642">
      <c r="A11642" s="9"/>
      <c r="B11642" s="9"/>
    </row>
    <row r="11643">
      <c r="A11643" s="9"/>
      <c r="B11643" s="9"/>
    </row>
    <row r="11644">
      <c r="A11644" s="9"/>
      <c r="B11644" s="9"/>
    </row>
    <row r="11645">
      <c r="A11645" s="9"/>
      <c r="B11645" s="9"/>
    </row>
    <row r="11646">
      <c r="A11646" s="9"/>
      <c r="B11646" s="9"/>
    </row>
    <row r="11647">
      <c r="A11647" s="9"/>
      <c r="B11647" s="9"/>
    </row>
    <row r="11648">
      <c r="A11648" s="9"/>
      <c r="B11648" s="9"/>
    </row>
    <row r="11649">
      <c r="A11649" s="9"/>
      <c r="B11649" s="9"/>
    </row>
    <row r="11650">
      <c r="A11650" s="9"/>
      <c r="B11650" s="9"/>
    </row>
    <row r="11651">
      <c r="A11651" s="9"/>
      <c r="B11651" s="9"/>
    </row>
    <row r="11652">
      <c r="A11652" s="9"/>
      <c r="B11652" s="9"/>
    </row>
    <row r="11653">
      <c r="A11653" s="9"/>
      <c r="B11653" s="9"/>
    </row>
    <row r="11654">
      <c r="A11654" s="9"/>
      <c r="B11654" s="9"/>
    </row>
    <row r="11655">
      <c r="A11655" s="9"/>
      <c r="B11655" s="9"/>
    </row>
    <row r="11656">
      <c r="A11656" s="9"/>
      <c r="B11656" s="9"/>
    </row>
    <row r="11657">
      <c r="A11657" s="9"/>
      <c r="B11657" s="9"/>
    </row>
    <row r="11658">
      <c r="A11658" s="9"/>
      <c r="B11658" s="9"/>
    </row>
    <row r="11659">
      <c r="A11659" s="9"/>
      <c r="B11659" s="9"/>
    </row>
    <row r="11660">
      <c r="A11660" s="9"/>
      <c r="B11660" s="9"/>
    </row>
    <row r="11661">
      <c r="A11661" s="9"/>
      <c r="B11661" s="9"/>
    </row>
    <row r="11662">
      <c r="A11662" s="9"/>
      <c r="B11662" s="9"/>
    </row>
    <row r="11663">
      <c r="A11663" s="9"/>
      <c r="B11663" s="9"/>
    </row>
    <row r="11664">
      <c r="A11664" s="9"/>
      <c r="B11664" s="9"/>
    </row>
    <row r="11665">
      <c r="A11665" s="9"/>
      <c r="B11665" s="9"/>
    </row>
    <row r="11666">
      <c r="A11666" s="9"/>
      <c r="B11666" s="9"/>
    </row>
    <row r="11667">
      <c r="A11667" s="9"/>
      <c r="B11667" s="9"/>
    </row>
    <row r="11668">
      <c r="A11668" s="9"/>
      <c r="B11668" s="9"/>
    </row>
    <row r="11669">
      <c r="A11669" s="9"/>
      <c r="B11669" s="9"/>
    </row>
    <row r="11670">
      <c r="A11670" s="9"/>
      <c r="B11670" s="9"/>
    </row>
    <row r="11671">
      <c r="A11671" s="9"/>
      <c r="B11671" s="9"/>
    </row>
    <row r="11672">
      <c r="A11672" s="9"/>
      <c r="B11672" s="9"/>
    </row>
    <row r="11673">
      <c r="A11673" s="9"/>
      <c r="B11673" s="9"/>
    </row>
    <row r="11674">
      <c r="A11674" s="9"/>
      <c r="B11674" s="9"/>
    </row>
    <row r="11675">
      <c r="A11675" s="9"/>
      <c r="B11675" s="9"/>
    </row>
    <row r="11676">
      <c r="A11676" s="9"/>
      <c r="B11676" s="9"/>
    </row>
    <row r="11677">
      <c r="A11677" s="9"/>
      <c r="B11677" s="9"/>
    </row>
    <row r="11678">
      <c r="A11678" s="9"/>
      <c r="B11678" s="9"/>
    </row>
    <row r="11679">
      <c r="A11679" s="9"/>
      <c r="B11679" s="9"/>
    </row>
    <row r="11680">
      <c r="A11680" s="9"/>
      <c r="B11680" s="9"/>
    </row>
    <row r="11681">
      <c r="A11681" s="9"/>
      <c r="B11681" s="9"/>
    </row>
    <row r="11682">
      <c r="A11682" s="9"/>
      <c r="B11682" s="9"/>
    </row>
    <row r="11683">
      <c r="A11683" s="9"/>
      <c r="B11683" s="9"/>
    </row>
    <row r="11684">
      <c r="A11684" s="9"/>
      <c r="B11684" s="9"/>
    </row>
    <row r="11685">
      <c r="A11685" s="9"/>
      <c r="B11685" s="9"/>
    </row>
    <row r="11686">
      <c r="A11686" s="9"/>
      <c r="B11686" s="9"/>
    </row>
    <row r="11687">
      <c r="A11687" s="9"/>
      <c r="B11687" s="9"/>
    </row>
    <row r="11688">
      <c r="A11688" s="9"/>
      <c r="B11688" s="9"/>
    </row>
    <row r="11689">
      <c r="A11689" s="9"/>
      <c r="B11689" s="9"/>
    </row>
    <row r="11690">
      <c r="A11690" s="9"/>
      <c r="B11690" s="9"/>
    </row>
    <row r="11691">
      <c r="A11691" s="9"/>
      <c r="B11691" s="9"/>
    </row>
    <row r="11692">
      <c r="A11692" s="9"/>
      <c r="B11692" s="9"/>
    </row>
    <row r="11693">
      <c r="A11693" s="9"/>
      <c r="B11693" s="9"/>
    </row>
    <row r="11694">
      <c r="A11694" s="9"/>
      <c r="B11694" s="9"/>
    </row>
    <row r="11695">
      <c r="A11695" s="9"/>
      <c r="B11695" s="9"/>
    </row>
    <row r="11696">
      <c r="A11696" s="9"/>
      <c r="B11696" s="9"/>
    </row>
    <row r="11697">
      <c r="A11697" s="9"/>
      <c r="B11697" s="9"/>
    </row>
    <row r="11698">
      <c r="A11698" s="9"/>
      <c r="B11698" s="9"/>
    </row>
    <row r="11699">
      <c r="A11699" s="9"/>
      <c r="B11699" s="9"/>
    </row>
    <row r="11700">
      <c r="A11700" s="9"/>
      <c r="B11700" s="9"/>
    </row>
    <row r="11701">
      <c r="A11701" s="9"/>
      <c r="B11701" s="9"/>
    </row>
    <row r="11702">
      <c r="A11702" s="9"/>
      <c r="B11702" s="9"/>
    </row>
    <row r="11703">
      <c r="A11703" s="9"/>
      <c r="B11703" s="9"/>
    </row>
    <row r="11704">
      <c r="A11704" s="9"/>
      <c r="B11704" s="9"/>
    </row>
    <row r="11705">
      <c r="A11705" s="9"/>
      <c r="B11705" s="9"/>
    </row>
    <row r="11706">
      <c r="A11706" s="9"/>
      <c r="B11706" s="9"/>
    </row>
    <row r="11707">
      <c r="A11707" s="9"/>
      <c r="B11707" s="9"/>
    </row>
    <row r="11708">
      <c r="A11708" s="9"/>
      <c r="B11708" s="9"/>
    </row>
    <row r="11709">
      <c r="A11709" s="9"/>
      <c r="B11709" s="9"/>
    </row>
    <row r="11710">
      <c r="A11710" s="9"/>
      <c r="B11710" s="9"/>
    </row>
    <row r="11711">
      <c r="A11711" s="9"/>
      <c r="B11711" s="9"/>
    </row>
    <row r="11712">
      <c r="A11712" s="9"/>
      <c r="B11712" s="9"/>
    </row>
    <row r="11713">
      <c r="A11713" s="9"/>
      <c r="B11713" s="9"/>
    </row>
    <row r="11714">
      <c r="A11714" s="9"/>
      <c r="B11714" s="9"/>
    </row>
    <row r="11715">
      <c r="A11715" s="9"/>
      <c r="B11715" s="9"/>
    </row>
    <row r="11716">
      <c r="A11716" s="9"/>
      <c r="B11716" s="9"/>
    </row>
    <row r="11717">
      <c r="A11717" s="9"/>
      <c r="B11717" s="9"/>
    </row>
    <row r="11718">
      <c r="A11718" s="9"/>
      <c r="B11718" s="9"/>
    </row>
    <row r="11719">
      <c r="A11719" s="9"/>
      <c r="B11719" s="9"/>
    </row>
    <row r="11720">
      <c r="A11720" s="9"/>
      <c r="B11720" s="9"/>
    </row>
    <row r="11721">
      <c r="A11721" s="9"/>
      <c r="B11721" s="9"/>
    </row>
    <row r="11722">
      <c r="A11722" s="9"/>
      <c r="B11722" s="9"/>
    </row>
    <row r="11723">
      <c r="A11723" s="9"/>
      <c r="B11723" s="9"/>
    </row>
    <row r="11724">
      <c r="A11724" s="9"/>
      <c r="B11724" s="9"/>
    </row>
    <row r="11725">
      <c r="A11725" s="9"/>
      <c r="B11725" s="9"/>
    </row>
    <row r="11726">
      <c r="A11726" s="9"/>
      <c r="B11726" s="9"/>
    </row>
    <row r="11727">
      <c r="A11727" s="9"/>
      <c r="B11727" s="9"/>
    </row>
    <row r="11728">
      <c r="A11728" s="9"/>
      <c r="B11728" s="9"/>
    </row>
    <row r="11729">
      <c r="A11729" s="9"/>
      <c r="B11729" s="9"/>
    </row>
    <row r="11730">
      <c r="A11730" s="9"/>
      <c r="B11730" s="9"/>
    </row>
    <row r="11731">
      <c r="A11731" s="9"/>
      <c r="B11731" s="9"/>
    </row>
    <row r="11732">
      <c r="A11732" s="9"/>
      <c r="B11732" s="9"/>
    </row>
    <row r="11733">
      <c r="A11733" s="9"/>
      <c r="B11733" s="9"/>
    </row>
    <row r="11734">
      <c r="A11734" s="9"/>
      <c r="B11734" s="9"/>
    </row>
    <row r="11735">
      <c r="A11735" s="9"/>
      <c r="B11735" s="9"/>
    </row>
    <row r="11736">
      <c r="A11736" s="9"/>
      <c r="B11736" s="9"/>
    </row>
    <row r="11737">
      <c r="A11737" s="9"/>
      <c r="B11737" s="9"/>
    </row>
    <row r="11738">
      <c r="A11738" s="9"/>
      <c r="B11738" s="9"/>
    </row>
    <row r="11739">
      <c r="A11739" s="9"/>
      <c r="B11739" s="9"/>
    </row>
    <row r="11740">
      <c r="A11740" s="9"/>
      <c r="B11740" s="9"/>
    </row>
    <row r="11741">
      <c r="A11741" s="9"/>
      <c r="B11741" s="9"/>
    </row>
    <row r="11742">
      <c r="A11742" s="9"/>
      <c r="B11742" s="9"/>
    </row>
    <row r="11743">
      <c r="A11743" s="9"/>
      <c r="B11743" s="9"/>
    </row>
    <row r="11744">
      <c r="A11744" s="9"/>
      <c r="B11744" s="9"/>
    </row>
    <row r="11745">
      <c r="A11745" s="9"/>
      <c r="B11745" s="9"/>
    </row>
    <row r="11746">
      <c r="A11746" s="9"/>
      <c r="B11746" s="9"/>
    </row>
    <row r="11747">
      <c r="A11747" s="9"/>
      <c r="B11747" s="9"/>
    </row>
    <row r="11748">
      <c r="A11748" s="9"/>
      <c r="B11748" s="9"/>
    </row>
    <row r="11749">
      <c r="A11749" s="9"/>
      <c r="B11749" s="9"/>
    </row>
    <row r="11750">
      <c r="A11750" s="9"/>
      <c r="B11750" s="9"/>
    </row>
    <row r="11751">
      <c r="A11751" s="9"/>
      <c r="B11751" s="9"/>
    </row>
    <row r="11752">
      <c r="A11752" s="9"/>
      <c r="B11752" s="9"/>
    </row>
    <row r="11753">
      <c r="A11753" s="9"/>
      <c r="B11753" s="9"/>
    </row>
    <row r="11754">
      <c r="A11754" s="9"/>
      <c r="B11754" s="9"/>
    </row>
    <row r="11755">
      <c r="A11755" s="9"/>
      <c r="B11755" s="9"/>
    </row>
    <row r="11756">
      <c r="A11756" s="9"/>
      <c r="B11756" s="9"/>
    </row>
    <row r="11757">
      <c r="A11757" s="9"/>
      <c r="B11757" s="9"/>
    </row>
    <row r="11758">
      <c r="A11758" s="9"/>
      <c r="B11758" s="9"/>
    </row>
    <row r="11759">
      <c r="A11759" s="9"/>
      <c r="B11759" s="9"/>
    </row>
    <row r="11760">
      <c r="A11760" s="9"/>
      <c r="B11760" s="9"/>
    </row>
    <row r="11761">
      <c r="A11761" s="9"/>
      <c r="B11761" s="9"/>
    </row>
    <row r="11762">
      <c r="A11762" s="9"/>
      <c r="B11762" s="9"/>
    </row>
    <row r="11763">
      <c r="A11763" s="9"/>
      <c r="B11763" s="9"/>
    </row>
    <row r="11764">
      <c r="A11764" s="9"/>
      <c r="B11764" s="9"/>
    </row>
    <row r="11765">
      <c r="A11765" s="9"/>
      <c r="B11765" s="9"/>
    </row>
    <row r="11766">
      <c r="A11766" s="9"/>
      <c r="B11766" s="9"/>
    </row>
    <row r="11767">
      <c r="A11767" s="9"/>
      <c r="B11767" s="9"/>
    </row>
    <row r="11768">
      <c r="A11768" s="9"/>
      <c r="B11768" s="9"/>
    </row>
    <row r="11769">
      <c r="A11769" s="9"/>
      <c r="B11769" s="9"/>
    </row>
    <row r="11770">
      <c r="A11770" s="9"/>
      <c r="B11770" s="9"/>
    </row>
    <row r="11771">
      <c r="A11771" s="9"/>
      <c r="B11771" s="9"/>
    </row>
    <row r="11772">
      <c r="A11772" s="9"/>
      <c r="B11772" s="9"/>
    </row>
    <row r="11773">
      <c r="A11773" s="9"/>
      <c r="B11773" s="9"/>
    </row>
    <row r="11774">
      <c r="A11774" s="9"/>
      <c r="B11774" s="9"/>
    </row>
    <row r="11775">
      <c r="A11775" s="9"/>
      <c r="B11775" s="9"/>
    </row>
    <row r="11776">
      <c r="A11776" s="9"/>
      <c r="B11776" s="9"/>
    </row>
    <row r="11777">
      <c r="A11777" s="9"/>
      <c r="B11777" s="9"/>
    </row>
    <row r="11778">
      <c r="A11778" s="9"/>
      <c r="B11778" s="9"/>
    </row>
    <row r="11779">
      <c r="A11779" s="9"/>
      <c r="B11779" s="9"/>
    </row>
    <row r="11780">
      <c r="A11780" s="9"/>
      <c r="B11780" s="9"/>
    </row>
    <row r="11781">
      <c r="A11781" s="9"/>
      <c r="B11781" s="9"/>
    </row>
    <row r="11782">
      <c r="A11782" s="9"/>
      <c r="B11782" s="9"/>
    </row>
    <row r="11783">
      <c r="A11783" s="9"/>
      <c r="B11783" s="9"/>
    </row>
    <row r="11784">
      <c r="A11784" s="9"/>
      <c r="B11784" s="9"/>
    </row>
    <row r="11785">
      <c r="A11785" s="9"/>
      <c r="B11785" s="9"/>
    </row>
    <row r="11786">
      <c r="A11786" s="9"/>
      <c r="B11786" s="9"/>
    </row>
    <row r="11787">
      <c r="A11787" s="9"/>
      <c r="B11787" s="9"/>
    </row>
    <row r="11788">
      <c r="A11788" s="9"/>
      <c r="B11788" s="9"/>
    </row>
    <row r="11789">
      <c r="A11789" s="9"/>
      <c r="B11789" s="9"/>
    </row>
    <row r="11790">
      <c r="A11790" s="9"/>
      <c r="B11790" s="9"/>
    </row>
    <row r="11791">
      <c r="A11791" s="9"/>
      <c r="B11791" s="9"/>
    </row>
    <row r="11792">
      <c r="A11792" s="9"/>
      <c r="B11792" s="9"/>
    </row>
    <row r="11793">
      <c r="A11793" s="9"/>
      <c r="B11793" s="9"/>
    </row>
    <row r="11794">
      <c r="A11794" s="9"/>
      <c r="B11794" s="9"/>
    </row>
    <row r="11795">
      <c r="A11795" s="9"/>
      <c r="B11795" s="9"/>
    </row>
    <row r="11796">
      <c r="A11796" s="9"/>
      <c r="B11796" s="9"/>
    </row>
    <row r="11797">
      <c r="A11797" s="9"/>
      <c r="B11797" s="9"/>
    </row>
    <row r="11798">
      <c r="A11798" s="9"/>
      <c r="B11798" s="9"/>
    </row>
    <row r="11799">
      <c r="A11799" s="9"/>
      <c r="B11799" s="9"/>
    </row>
    <row r="11800">
      <c r="A11800" s="9"/>
      <c r="B11800" s="9"/>
    </row>
    <row r="11801">
      <c r="A11801" s="9"/>
      <c r="B11801" s="9"/>
    </row>
    <row r="11802">
      <c r="A11802" s="9"/>
      <c r="B11802" s="9"/>
    </row>
    <row r="11803">
      <c r="A11803" s="9"/>
      <c r="B11803" s="9"/>
    </row>
    <row r="11804">
      <c r="A11804" s="9"/>
      <c r="B11804" s="9"/>
    </row>
    <row r="11805">
      <c r="A11805" s="9"/>
      <c r="B11805" s="9"/>
    </row>
    <row r="11806">
      <c r="A11806" s="9"/>
      <c r="B11806" s="9"/>
    </row>
    <row r="11807">
      <c r="A11807" s="9"/>
      <c r="B11807" s="9"/>
    </row>
    <row r="11808">
      <c r="A11808" s="9"/>
      <c r="B11808" s="9"/>
    </row>
    <row r="11809">
      <c r="A11809" s="9"/>
      <c r="B11809" s="9"/>
    </row>
    <row r="11810">
      <c r="A11810" s="9"/>
      <c r="B11810" s="9"/>
    </row>
    <row r="11811">
      <c r="A11811" s="9"/>
      <c r="B11811" s="9"/>
    </row>
    <row r="11812">
      <c r="A11812" s="9"/>
      <c r="B11812" s="9"/>
    </row>
    <row r="11813">
      <c r="A11813" s="9"/>
      <c r="B11813" s="9"/>
    </row>
    <row r="11814">
      <c r="A11814" s="9"/>
      <c r="B11814" s="9"/>
    </row>
    <row r="11815">
      <c r="A11815" s="9"/>
      <c r="B11815" s="9"/>
    </row>
    <row r="11816">
      <c r="A11816" s="9"/>
      <c r="B11816" s="9"/>
    </row>
    <row r="11817">
      <c r="A11817" s="9"/>
      <c r="B11817" s="9"/>
    </row>
    <row r="11818">
      <c r="A11818" s="9"/>
      <c r="B11818" s="9"/>
    </row>
    <row r="11819">
      <c r="A11819" s="9"/>
      <c r="B11819" s="9"/>
    </row>
    <row r="11820">
      <c r="A11820" s="9"/>
      <c r="B11820" s="9"/>
    </row>
    <row r="11821">
      <c r="A11821" s="9"/>
      <c r="B11821" s="9"/>
    </row>
    <row r="11822">
      <c r="A11822" s="9"/>
      <c r="B11822" s="9"/>
    </row>
    <row r="11823">
      <c r="A11823" s="9"/>
      <c r="B11823" s="9"/>
    </row>
    <row r="11824">
      <c r="A11824" s="9"/>
      <c r="B11824" s="9"/>
    </row>
    <row r="11825">
      <c r="A11825" s="9"/>
      <c r="B11825" s="9"/>
    </row>
    <row r="11826">
      <c r="A11826" s="9"/>
      <c r="B11826" s="9"/>
    </row>
    <row r="11827">
      <c r="A11827" s="9"/>
      <c r="B11827" s="9"/>
    </row>
    <row r="11828">
      <c r="A11828" s="9"/>
      <c r="B11828" s="9"/>
    </row>
    <row r="11829">
      <c r="A11829" s="9"/>
      <c r="B11829" s="9"/>
    </row>
    <row r="11830">
      <c r="A11830" s="9"/>
      <c r="B11830" s="9"/>
    </row>
    <row r="11831">
      <c r="A11831" s="9"/>
      <c r="B11831" s="9"/>
    </row>
    <row r="11832">
      <c r="A11832" s="9"/>
      <c r="B11832" s="9"/>
    </row>
    <row r="11833">
      <c r="A11833" s="9"/>
      <c r="B11833" s="9"/>
    </row>
    <row r="11834">
      <c r="A11834" s="9"/>
      <c r="B11834" s="9"/>
    </row>
    <row r="11835">
      <c r="A11835" s="9"/>
      <c r="B11835" s="9"/>
    </row>
    <row r="11836">
      <c r="A11836" s="9"/>
      <c r="B11836" s="9"/>
    </row>
    <row r="11837">
      <c r="A11837" s="9"/>
      <c r="B11837" s="9"/>
    </row>
    <row r="11838">
      <c r="A11838" s="9"/>
      <c r="B11838" s="9"/>
    </row>
    <row r="11839">
      <c r="A11839" s="9"/>
      <c r="B11839" s="9"/>
    </row>
    <row r="11840">
      <c r="A11840" s="9"/>
      <c r="B11840" s="9"/>
    </row>
    <row r="11841">
      <c r="A11841" s="9"/>
      <c r="B11841" s="9"/>
    </row>
    <row r="11842">
      <c r="A11842" s="9"/>
      <c r="B11842" s="9"/>
    </row>
    <row r="11843">
      <c r="A11843" s="9"/>
      <c r="B11843" s="9"/>
    </row>
    <row r="11844">
      <c r="A11844" s="9"/>
      <c r="B11844" s="9"/>
    </row>
    <row r="11845">
      <c r="A11845" s="9"/>
      <c r="B11845" s="9"/>
    </row>
    <row r="11846">
      <c r="A11846" s="9"/>
      <c r="B11846" s="9"/>
    </row>
    <row r="11847">
      <c r="A11847" s="9"/>
      <c r="B11847" s="9"/>
    </row>
    <row r="11848">
      <c r="A11848" s="9"/>
      <c r="B11848" s="9"/>
    </row>
    <row r="11849">
      <c r="A11849" s="9"/>
      <c r="B11849" s="9"/>
    </row>
    <row r="11850">
      <c r="A11850" s="9"/>
      <c r="B11850" s="9"/>
    </row>
    <row r="11851">
      <c r="A11851" s="9"/>
      <c r="B11851" s="9"/>
    </row>
    <row r="11852">
      <c r="A11852" s="9"/>
      <c r="B11852" s="9"/>
    </row>
    <row r="11853">
      <c r="A11853" s="9"/>
      <c r="B11853" s="9"/>
    </row>
    <row r="11854">
      <c r="A11854" s="9"/>
      <c r="B11854" s="9"/>
    </row>
    <row r="11855">
      <c r="A11855" s="9"/>
      <c r="B11855" s="9"/>
    </row>
    <row r="11856">
      <c r="A11856" s="9"/>
      <c r="B11856" s="9"/>
    </row>
    <row r="11857">
      <c r="A11857" s="9"/>
      <c r="B11857" s="9"/>
    </row>
    <row r="11858">
      <c r="A11858" s="9"/>
      <c r="B11858" s="9"/>
    </row>
    <row r="11859">
      <c r="A11859" s="9"/>
      <c r="B11859" s="9"/>
    </row>
    <row r="11860">
      <c r="A11860" s="9"/>
      <c r="B11860" s="9"/>
    </row>
    <row r="11861">
      <c r="A11861" s="9"/>
      <c r="B11861" s="9"/>
    </row>
    <row r="11862">
      <c r="A11862" s="9"/>
      <c r="B11862" s="9"/>
    </row>
    <row r="11863">
      <c r="A11863" s="9"/>
      <c r="B11863" s="9"/>
    </row>
    <row r="11864">
      <c r="A11864" s="9"/>
      <c r="B11864" s="9"/>
    </row>
    <row r="11865">
      <c r="A11865" s="9"/>
      <c r="B11865" s="9"/>
    </row>
    <row r="11866">
      <c r="A11866" s="9"/>
      <c r="B11866" s="9"/>
    </row>
    <row r="11867">
      <c r="A11867" s="9"/>
      <c r="B11867" s="9"/>
    </row>
    <row r="11868">
      <c r="A11868" s="9"/>
      <c r="B11868" s="9"/>
    </row>
    <row r="11869">
      <c r="A11869" s="9"/>
      <c r="B11869" s="9"/>
    </row>
    <row r="11870">
      <c r="A11870" s="9"/>
      <c r="B11870" s="9"/>
    </row>
    <row r="11871">
      <c r="A11871" s="9"/>
      <c r="B11871" s="9"/>
    </row>
    <row r="11872">
      <c r="A11872" s="9"/>
      <c r="B11872" s="9"/>
    </row>
    <row r="11873">
      <c r="A11873" s="9"/>
      <c r="B11873" s="9"/>
    </row>
    <row r="11874">
      <c r="A11874" s="9"/>
      <c r="B11874" s="9"/>
    </row>
    <row r="11875">
      <c r="A11875" s="9"/>
      <c r="B11875" s="9"/>
    </row>
    <row r="11876">
      <c r="A11876" s="9"/>
      <c r="B11876" s="9"/>
    </row>
    <row r="11877">
      <c r="A11877" s="9"/>
      <c r="B11877" s="9"/>
    </row>
    <row r="11878">
      <c r="A11878" s="9"/>
      <c r="B11878" s="9"/>
    </row>
    <row r="11879">
      <c r="A11879" s="9"/>
      <c r="B11879" s="9"/>
    </row>
    <row r="11880">
      <c r="A11880" s="9"/>
      <c r="B11880" s="9"/>
    </row>
    <row r="11881">
      <c r="A11881" s="9"/>
      <c r="B11881" s="9"/>
    </row>
    <row r="11882">
      <c r="A11882" s="9"/>
      <c r="B11882" s="9"/>
    </row>
    <row r="11883">
      <c r="A11883" s="9"/>
      <c r="B11883" s="9"/>
    </row>
    <row r="11884">
      <c r="A11884" s="9"/>
      <c r="B11884" s="9"/>
    </row>
    <row r="11885">
      <c r="A11885" s="9"/>
      <c r="B11885" s="9"/>
    </row>
    <row r="11886">
      <c r="A11886" s="9"/>
      <c r="B11886" s="9"/>
    </row>
    <row r="11887">
      <c r="A11887" s="9"/>
      <c r="B11887" s="9"/>
    </row>
    <row r="11888">
      <c r="A11888" s="9"/>
      <c r="B11888" s="9"/>
    </row>
    <row r="11889">
      <c r="A11889" s="9"/>
      <c r="B11889" s="9"/>
    </row>
    <row r="11890">
      <c r="A11890" s="9"/>
      <c r="B11890" s="9"/>
    </row>
    <row r="11891">
      <c r="A11891" s="9"/>
      <c r="B11891" s="9"/>
    </row>
    <row r="11892">
      <c r="A11892" s="9"/>
      <c r="B11892" s="9"/>
    </row>
    <row r="11893">
      <c r="A11893" s="9"/>
      <c r="B11893" s="9"/>
    </row>
    <row r="11894">
      <c r="A11894" s="9"/>
      <c r="B11894" s="9"/>
    </row>
    <row r="11895">
      <c r="A11895" s="9"/>
      <c r="B11895" s="9"/>
    </row>
    <row r="11896">
      <c r="A11896" s="9"/>
      <c r="B11896" s="9"/>
    </row>
    <row r="11897">
      <c r="A11897" s="9"/>
      <c r="B11897" s="9"/>
    </row>
    <row r="11898">
      <c r="A11898" s="9"/>
      <c r="B11898" s="9"/>
    </row>
    <row r="11899">
      <c r="A11899" s="9"/>
      <c r="B11899" s="9"/>
    </row>
    <row r="11900">
      <c r="A11900" s="9"/>
      <c r="B11900" s="9"/>
    </row>
    <row r="11901">
      <c r="A11901" s="9"/>
      <c r="B11901" s="9"/>
    </row>
    <row r="11902">
      <c r="A11902" s="9"/>
      <c r="B11902" s="9"/>
    </row>
    <row r="11903">
      <c r="A11903" s="9"/>
      <c r="B11903" s="9"/>
    </row>
    <row r="11904">
      <c r="A11904" s="9"/>
      <c r="B11904" s="9"/>
    </row>
    <row r="11905">
      <c r="A11905" s="9"/>
      <c r="B11905" s="9"/>
    </row>
    <row r="11906">
      <c r="A11906" s="9"/>
      <c r="B11906" s="9"/>
    </row>
    <row r="11907">
      <c r="A11907" s="9"/>
      <c r="B11907" s="9"/>
    </row>
    <row r="11908">
      <c r="A11908" s="9"/>
      <c r="B11908" s="9"/>
    </row>
    <row r="11909">
      <c r="A11909" s="9"/>
      <c r="B11909" s="9"/>
    </row>
    <row r="11910">
      <c r="A11910" s="9"/>
      <c r="B11910" s="9"/>
    </row>
    <row r="11911">
      <c r="A11911" s="9"/>
      <c r="B11911" s="9"/>
    </row>
    <row r="11912">
      <c r="A11912" s="9"/>
      <c r="B11912" s="9"/>
    </row>
    <row r="11913">
      <c r="A11913" s="9"/>
      <c r="B11913" s="9"/>
    </row>
    <row r="11914">
      <c r="A11914" s="9"/>
      <c r="B11914" s="9"/>
    </row>
    <row r="11915">
      <c r="A11915" s="9"/>
      <c r="B11915" s="9"/>
    </row>
    <row r="11916">
      <c r="A11916" s="9"/>
      <c r="B11916" s="9"/>
    </row>
    <row r="11917">
      <c r="A11917" s="9"/>
      <c r="B11917" s="9"/>
    </row>
    <row r="11918">
      <c r="A11918" s="9"/>
      <c r="B11918" s="9"/>
    </row>
    <row r="11919">
      <c r="A11919" s="9"/>
      <c r="B11919" s="9"/>
    </row>
    <row r="11920">
      <c r="A11920" s="9"/>
      <c r="B11920" s="9"/>
    </row>
    <row r="11921">
      <c r="A11921" s="9"/>
      <c r="B11921" s="9"/>
    </row>
    <row r="11922">
      <c r="A11922" s="9"/>
      <c r="B11922" s="9"/>
    </row>
    <row r="11923">
      <c r="A11923" s="9"/>
      <c r="B11923" s="9"/>
    </row>
    <row r="11924">
      <c r="A11924" s="9"/>
      <c r="B11924" s="9"/>
    </row>
    <row r="11925">
      <c r="A11925" s="9"/>
      <c r="B11925" s="9"/>
    </row>
    <row r="11926">
      <c r="A11926" s="9"/>
      <c r="B11926" s="9"/>
    </row>
    <row r="11927">
      <c r="A11927" s="9"/>
      <c r="B11927" s="9"/>
    </row>
    <row r="11928">
      <c r="A11928" s="9"/>
      <c r="B11928" s="9"/>
    </row>
    <row r="11929">
      <c r="A11929" s="9"/>
      <c r="B11929" s="9"/>
    </row>
    <row r="11930">
      <c r="A11930" s="9"/>
      <c r="B11930" s="9"/>
    </row>
    <row r="11931">
      <c r="A11931" s="9"/>
      <c r="B11931" s="9"/>
    </row>
    <row r="11932">
      <c r="A11932" s="9"/>
      <c r="B11932" s="9"/>
    </row>
    <row r="11933">
      <c r="A11933" s="9"/>
      <c r="B11933" s="9"/>
    </row>
    <row r="11934">
      <c r="A11934" s="9"/>
      <c r="B11934" s="9"/>
    </row>
    <row r="11935">
      <c r="A11935" s="9"/>
      <c r="B11935" s="9"/>
    </row>
    <row r="11936">
      <c r="A11936" s="9"/>
      <c r="B11936" s="9"/>
    </row>
    <row r="11937">
      <c r="A11937" s="9"/>
      <c r="B11937" s="9"/>
    </row>
    <row r="11938">
      <c r="A11938" s="9"/>
      <c r="B11938" s="9"/>
    </row>
    <row r="11939">
      <c r="A11939" s="9"/>
      <c r="B11939" s="9"/>
    </row>
    <row r="11940">
      <c r="A11940" s="9"/>
      <c r="B11940" s="9"/>
    </row>
    <row r="11941">
      <c r="A11941" s="9"/>
      <c r="B11941" s="9"/>
    </row>
    <row r="11942">
      <c r="A11942" s="9"/>
      <c r="B11942" s="9"/>
    </row>
    <row r="11943">
      <c r="A11943" s="9"/>
      <c r="B11943" s="9"/>
    </row>
    <row r="11944">
      <c r="A11944" s="9"/>
      <c r="B11944" s="9"/>
    </row>
    <row r="11945">
      <c r="A11945" s="9"/>
      <c r="B11945" s="9"/>
    </row>
    <row r="11946">
      <c r="A11946" s="9"/>
      <c r="B11946" s="9"/>
    </row>
    <row r="11947">
      <c r="A11947" s="9"/>
      <c r="B11947" s="9"/>
    </row>
    <row r="11948">
      <c r="A11948" s="9"/>
      <c r="B11948" s="9"/>
    </row>
    <row r="11949">
      <c r="A11949" s="9"/>
      <c r="B11949" s="9"/>
    </row>
    <row r="11950">
      <c r="A11950" s="9"/>
      <c r="B11950" s="9"/>
    </row>
    <row r="11951">
      <c r="A11951" s="9"/>
      <c r="B11951" s="9"/>
    </row>
    <row r="11952">
      <c r="A11952" s="9"/>
      <c r="B11952" s="9"/>
    </row>
    <row r="11953">
      <c r="A11953" s="9"/>
      <c r="B11953" s="9"/>
    </row>
    <row r="11954">
      <c r="A11954" s="9"/>
      <c r="B11954" s="9"/>
    </row>
    <row r="11955">
      <c r="A11955" s="9"/>
      <c r="B11955" s="9"/>
    </row>
    <row r="11956">
      <c r="A11956" s="9"/>
      <c r="B11956" s="9"/>
    </row>
    <row r="11957">
      <c r="A11957" s="9"/>
      <c r="B11957" s="9"/>
    </row>
    <row r="11958">
      <c r="A11958" s="9"/>
      <c r="B11958" s="9"/>
    </row>
    <row r="11959">
      <c r="A11959" s="9"/>
      <c r="B11959" s="9"/>
    </row>
    <row r="11960">
      <c r="A11960" s="9"/>
      <c r="B11960" s="9"/>
    </row>
    <row r="11961">
      <c r="A11961" s="9"/>
      <c r="B11961" s="9"/>
    </row>
    <row r="11962">
      <c r="A11962" s="9"/>
      <c r="B11962" s="9"/>
    </row>
    <row r="11963">
      <c r="A11963" s="9"/>
      <c r="B11963" s="9"/>
    </row>
    <row r="11964">
      <c r="A11964" s="9"/>
      <c r="B11964" s="9"/>
    </row>
    <row r="11965">
      <c r="A11965" s="9"/>
      <c r="B11965" s="9"/>
    </row>
    <row r="11966">
      <c r="A11966" s="9"/>
      <c r="B11966" s="9"/>
    </row>
    <row r="11967">
      <c r="A11967" s="9"/>
      <c r="B11967" s="9"/>
    </row>
    <row r="11968">
      <c r="A11968" s="9"/>
      <c r="B11968" s="9"/>
    </row>
    <row r="11969">
      <c r="A11969" s="9"/>
      <c r="B11969" s="9"/>
    </row>
    <row r="11970">
      <c r="A11970" s="9"/>
      <c r="B11970" s="9"/>
    </row>
    <row r="11971">
      <c r="A11971" s="9"/>
      <c r="B11971" s="9"/>
    </row>
    <row r="11972">
      <c r="A11972" s="9"/>
      <c r="B11972" s="9"/>
    </row>
    <row r="11973">
      <c r="A11973" s="9"/>
      <c r="B11973" s="9"/>
    </row>
    <row r="11974">
      <c r="A11974" s="9"/>
      <c r="B11974" s="9"/>
    </row>
    <row r="11975">
      <c r="A11975" s="9"/>
      <c r="B11975" s="9"/>
    </row>
    <row r="11976">
      <c r="A11976" s="9"/>
      <c r="B11976" s="9"/>
    </row>
    <row r="11977">
      <c r="A11977" s="9"/>
      <c r="B11977" s="9"/>
    </row>
    <row r="11978">
      <c r="A11978" s="9"/>
      <c r="B11978" s="9"/>
    </row>
    <row r="11979">
      <c r="A11979" s="9"/>
      <c r="B11979" s="9"/>
    </row>
    <row r="11980">
      <c r="A11980" s="9"/>
      <c r="B11980" s="9"/>
    </row>
    <row r="11981">
      <c r="A11981" s="9"/>
      <c r="B11981" s="9"/>
    </row>
    <row r="11982">
      <c r="A11982" s="9"/>
      <c r="B11982" s="9"/>
    </row>
    <row r="11983">
      <c r="A11983" s="9"/>
      <c r="B11983" s="9"/>
    </row>
    <row r="11984">
      <c r="A11984" s="9"/>
      <c r="B11984" s="9"/>
    </row>
    <row r="11985">
      <c r="A11985" s="9"/>
      <c r="B11985" s="9"/>
    </row>
    <row r="11986">
      <c r="A11986" s="9"/>
      <c r="B11986" s="9"/>
    </row>
    <row r="11987">
      <c r="A11987" s="9"/>
      <c r="B11987" s="9"/>
    </row>
    <row r="11988">
      <c r="A11988" s="9"/>
      <c r="B11988" s="9"/>
    </row>
    <row r="11989">
      <c r="A11989" s="9"/>
      <c r="B11989" s="9"/>
    </row>
    <row r="11990">
      <c r="A11990" s="9"/>
      <c r="B11990" s="9"/>
    </row>
    <row r="11991">
      <c r="A11991" s="9"/>
      <c r="B11991" s="9"/>
    </row>
    <row r="11992">
      <c r="A11992" s="9"/>
      <c r="B11992" s="9"/>
    </row>
    <row r="11993">
      <c r="A11993" s="9"/>
      <c r="B11993" s="9"/>
    </row>
    <row r="11994">
      <c r="A11994" s="9"/>
      <c r="B11994" s="9"/>
    </row>
    <row r="11995">
      <c r="A11995" s="9"/>
      <c r="B11995" s="9"/>
    </row>
    <row r="11996">
      <c r="A11996" s="9"/>
      <c r="B11996" s="9"/>
    </row>
    <row r="11997">
      <c r="A11997" s="9"/>
      <c r="B11997" s="9"/>
    </row>
    <row r="11998">
      <c r="A11998" s="9"/>
      <c r="B11998" s="9"/>
    </row>
    <row r="11999">
      <c r="A11999" s="9"/>
      <c r="B11999" s="9"/>
    </row>
    <row r="12000">
      <c r="A12000" s="9"/>
      <c r="B12000" s="9"/>
    </row>
    <row r="12001">
      <c r="A12001" s="9"/>
      <c r="B12001" s="9"/>
    </row>
    <row r="12002">
      <c r="A12002" s="9"/>
      <c r="B12002" s="9"/>
    </row>
    <row r="12003">
      <c r="A12003" s="9"/>
      <c r="B12003" s="9"/>
    </row>
    <row r="12004">
      <c r="A12004" s="9"/>
      <c r="B12004" s="9"/>
    </row>
    <row r="12005">
      <c r="A12005" s="9"/>
      <c r="B12005" s="9"/>
    </row>
    <row r="12006">
      <c r="A12006" s="9"/>
      <c r="B12006" s="9"/>
    </row>
    <row r="12007">
      <c r="A12007" s="9"/>
      <c r="B12007" s="9"/>
    </row>
    <row r="12008">
      <c r="A12008" s="9"/>
      <c r="B12008" s="9"/>
    </row>
    <row r="12009">
      <c r="A12009" s="9"/>
      <c r="B12009" s="9"/>
    </row>
    <row r="12010">
      <c r="A12010" s="9"/>
      <c r="B12010" s="9"/>
    </row>
    <row r="12011">
      <c r="A12011" s="9"/>
      <c r="B12011" s="9"/>
    </row>
    <row r="12012">
      <c r="A12012" s="9"/>
      <c r="B12012" s="9"/>
    </row>
    <row r="12013">
      <c r="A12013" s="9"/>
      <c r="B12013" s="9"/>
    </row>
    <row r="12014">
      <c r="A12014" s="9"/>
      <c r="B12014" s="9"/>
    </row>
    <row r="12015">
      <c r="A12015" s="9"/>
      <c r="B12015" s="9"/>
    </row>
    <row r="12016">
      <c r="A12016" s="9"/>
      <c r="B12016" s="9"/>
    </row>
    <row r="12017">
      <c r="A12017" s="9"/>
      <c r="B12017" s="9"/>
    </row>
    <row r="12018">
      <c r="A12018" s="9"/>
      <c r="B12018" s="9"/>
    </row>
    <row r="12019">
      <c r="A12019" s="9"/>
      <c r="B12019" s="9"/>
    </row>
    <row r="12020">
      <c r="A12020" s="9"/>
      <c r="B12020" s="9"/>
    </row>
    <row r="12021">
      <c r="A12021" s="9"/>
      <c r="B12021" s="9"/>
    </row>
    <row r="12022">
      <c r="A12022" s="9"/>
      <c r="B12022" s="9"/>
    </row>
    <row r="12023">
      <c r="A12023" s="9"/>
      <c r="B12023" s="9"/>
    </row>
    <row r="12024">
      <c r="A12024" s="9"/>
      <c r="B12024" s="9"/>
    </row>
    <row r="12025">
      <c r="A12025" s="9"/>
      <c r="B12025" s="9"/>
    </row>
    <row r="12026">
      <c r="A12026" s="9"/>
      <c r="B12026" s="9"/>
    </row>
    <row r="12027">
      <c r="A12027" s="9"/>
      <c r="B12027" s="9"/>
    </row>
    <row r="12028">
      <c r="A12028" s="9"/>
      <c r="B12028" s="9"/>
    </row>
    <row r="12029">
      <c r="A12029" s="9"/>
      <c r="B12029" s="9"/>
    </row>
    <row r="12030">
      <c r="A12030" s="9"/>
      <c r="B12030" s="9"/>
    </row>
    <row r="12031">
      <c r="A12031" s="9"/>
      <c r="B12031" s="9"/>
    </row>
    <row r="12032">
      <c r="A12032" s="9"/>
      <c r="B12032" s="9"/>
    </row>
    <row r="12033">
      <c r="A12033" s="9"/>
      <c r="B12033" s="9"/>
    </row>
    <row r="12034">
      <c r="A12034" s="9"/>
      <c r="B12034" s="9"/>
    </row>
    <row r="12035">
      <c r="A12035" s="9"/>
      <c r="B12035" s="9"/>
    </row>
    <row r="12036">
      <c r="A12036" s="9"/>
      <c r="B12036" s="9"/>
    </row>
    <row r="12037">
      <c r="A12037" s="9"/>
      <c r="B12037" s="9"/>
    </row>
    <row r="12038">
      <c r="A12038" s="9"/>
      <c r="B12038" s="9"/>
    </row>
    <row r="12039">
      <c r="A12039" s="9"/>
      <c r="B12039" s="9"/>
    </row>
    <row r="12040">
      <c r="A12040" s="9"/>
      <c r="B12040" s="9"/>
    </row>
    <row r="12041">
      <c r="A12041" s="9"/>
      <c r="B12041" s="9"/>
    </row>
    <row r="12042">
      <c r="A12042" s="9"/>
      <c r="B12042" s="9"/>
    </row>
    <row r="12043">
      <c r="A12043" s="9"/>
      <c r="B12043" s="9"/>
    </row>
    <row r="12044">
      <c r="A12044" s="9"/>
      <c r="B12044" s="9"/>
    </row>
    <row r="12045">
      <c r="A12045" s="9"/>
      <c r="B12045" s="9"/>
    </row>
    <row r="12046">
      <c r="A12046" s="9"/>
      <c r="B12046" s="9"/>
    </row>
    <row r="12047">
      <c r="A12047" s="9"/>
      <c r="B12047" s="9"/>
    </row>
    <row r="12048">
      <c r="A12048" s="9"/>
      <c r="B12048" s="9"/>
    </row>
    <row r="12049">
      <c r="A12049" s="9"/>
      <c r="B12049" s="9"/>
    </row>
    <row r="12050">
      <c r="A12050" s="9"/>
      <c r="B12050" s="9"/>
    </row>
    <row r="12051">
      <c r="A12051" s="9"/>
      <c r="B12051" s="9"/>
    </row>
    <row r="12052">
      <c r="A12052" s="9"/>
      <c r="B12052" s="9"/>
    </row>
    <row r="12053">
      <c r="A12053" s="9"/>
      <c r="B12053" s="9"/>
    </row>
    <row r="12054">
      <c r="A12054" s="9"/>
      <c r="B12054" s="9"/>
    </row>
    <row r="12055">
      <c r="A12055" s="9"/>
      <c r="B12055" s="9"/>
    </row>
    <row r="12056">
      <c r="A12056" s="9"/>
      <c r="B12056" s="9"/>
    </row>
    <row r="12057">
      <c r="A12057" s="9"/>
      <c r="B12057" s="9"/>
    </row>
    <row r="12058">
      <c r="A12058" s="9"/>
      <c r="B12058" s="9"/>
    </row>
    <row r="12059">
      <c r="A12059" s="9"/>
      <c r="B12059" s="9"/>
    </row>
    <row r="12060">
      <c r="A12060" s="9"/>
      <c r="B12060" s="9"/>
    </row>
    <row r="12061">
      <c r="A12061" s="9"/>
      <c r="B12061" s="9"/>
    </row>
    <row r="12062">
      <c r="A12062" s="9"/>
      <c r="B12062" s="9"/>
    </row>
    <row r="12063">
      <c r="A12063" s="9"/>
      <c r="B12063" s="9"/>
    </row>
    <row r="12064">
      <c r="A12064" s="9"/>
      <c r="B12064" s="9"/>
    </row>
    <row r="12065">
      <c r="A12065" s="9"/>
      <c r="B12065" s="9"/>
    </row>
    <row r="12066">
      <c r="A12066" s="9"/>
      <c r="B12066" s="9"/>
    </row>
    <row r="12067">
      <c r="A12067" s="9"/>
      <c r="B12067" s="9"/>
    </row>
    <row r="12068">
      <c r="A12068" s="9"/>
      <c r="B12068" s="9"/>
    </row>
    <row r="12069">
      <c r="A12069" s="9"/>
      <c r="B12069" s="9"/>
    </row>
    <row r="12070">
      <c r="A12070" s="9"/>
      <c r="B12070" s="9"/>
    </row>
    <row r="12071">
      <c r="A12071" s="9"/>
      <c r="B12071" s="9"/>
    </row>
    <row r="12072">
      <c r="A12072" s="9"/>
      <c r="B12072" s="9"/>
    </row>
    <row r="12073">
      <c r="A12073" s="9"/>
      <c r="B12073" s="9"/>
    </row>
    <row r="12074">
      <c r="A12074" s="9"/>
      <c r="B12074" s="9"/>
    </row>
    <row r="12075">
      <c r="A12075" s="9"/>
      <c r="B12075" s="9"/>
    </row>
    <row r="12076">
      <c r="A12076" s="9"/>
      <c r="B12076" s="9"/>
    </row>
    <row r="12077">
      <c r="A12077" s="9"/>
      <c r="B12077" s="9"/>
    </row>
    <row r="12078">
      <c r="A12078" s="9"/>
      <c r="B12078" s="9"/>
    </row>
    <row r="12079">
      <c r="A12079" s="9"/>
      <c r="B12079" s="9"/>
    </row>
    <row r="12080">
      <c r="A12080" s="9"/>
      <c r="B12080" s="9"/>
    </row>
    <row r="12081">
      <c r="A12081" s="9"/>
      <c r="B12081" s="9"/>
    </row>
    <row r="12082">
      <c r="A12082" s="9"/>
      <c r="B12082" s="9"/>
    </row>
    <row r="12083">
      <c r="A12083" s="9"/>
      <c r="B12083" s="9"/>
    </row>
    <row r="12084">
      <c r="A12084" s="9"/>
      <c r="B12084" s="9"/>
    </row>
    <row r="12085">
      <c r="A12085" s="9"/>
      <c r="B12085" s="9"/>
    </row>
    <row r="12086">
      <c r="A12086" s="9"/>
      <c r="B12086" s="9"/>
    </row>
    <row r="12087">
      <c r="A12087" s="9"/>
      <c r="B12087" s="9"/>
    </row>
    <row r="12088">
      <c r="A12088" s="9"/>
      <c r="B12088" s="9"/>
    </row>
    <row r="12089">
      <c r="A12089" s="9"/>
      <c r="B12089" s="9"/>
    </row>
    <row r="12090">
      <c r="A12090" s="9"/>
      <c r="B12090" s="9"/>
    </row>
    <row r="12091">
      <c r="A12091" s="9"/>
      <c r="B12091" s="9"/>
    </row>
    <row r="12092">
      <c r="A12092" s="9"/>
      <c r="B12092" s="9"/>
    </row>
    <row r="12093">
      <c r="A12093" s="9"/>
      <c r="B12093" s="9"/>
    </row>
    <row r="12094">
      <c r="A12094" s="9"/>
      <c r="B12094" s="9"/>
    </row>
    <row r="12095">
      <c r="A12095" s="9"/>
      <c r="B12095" s="9"/>
    </row>
    <row r="12096">
      <c r="A12096" s="9"/>
      <c r="B12096" s="9"/>
    </row>
    <row r="12097">
      <c r="A12097" s="9"/>
      <c r="B12097" s="9"/>
    </row>
    <row r="12098">
      <c r="A12098" s="9"/>
      <c r="B12098" s="9"/>
    </row>
    <row r="12099">
      <c r="A12099" s="9"/>
      <c r="B12099" s="9"/>
    </row>
    <row r="12100">
      <c r="A12100" s="9"/>
      <c r="B12100" s="9"/>
    </row>
    <row r="12101">
      <c r="A12101" s="9"/>
      <c r="B12101" s="9"/>
    </row>
    <row r="12102">
      <c r="A12102" s="9"/>
      <c r="B12102" s="9"/>
    </row>
    <row r="12103">
      <c r="A12103" s="9"/>
      <c r="B12103" s="9"/>
    </row>
    <row r="12104">
      <c r="A12104" s="9"/>
      <c r="B12104" s="9"/>
    </row>
    <row r="12105">
      <c r="A12105" s="9"/>
      <c r="B12105" s="9"/>
    </row>
    <row r="12106">
      <c r="A12106" s="9"/>
      <c r="B12106" s="9"/>
    </row>
    <row r="12107">
      <c r="A12107" s="9"/>
      <c r="B12107" s="9"/>
    </row>
    <row r="12108">
      <c r="A12108" s="9"/>
      <c r="B12108" s="9"/>
    </row>
    <row r="12109">
      <c r="A12109" s="9"/>
      <c r="B12109" s="9"/>
    </row>
    <row r="12110">
      <c r="A12110" s="9"/>
      <c r="B12110" s="9"/>
    </row>
    <row r="12111">
      <c r="A12111" s="9"/>
      <c r="B12111" s="9"/>
    </row>
    <row r="12112">
      <c r="A12112" s="9"/>
      <c r="B12112" s="9"/>
    </row>
    <row r="12113">
      <c r="A12113" s="9"/>
      <c r="B12113" s="9"/>
    </row>
    <row r="12114">
      <c r="A12114" s="9"/>
      <c r="B12114" s="9"/>
    </row>
    <row r="12115">
      <c r="A12115" s="9"/>
      <c r="B12115" s="9"/>
    </row>
    <row r="12116">
      <c r="A12116" s="9"/>
      <c r="B12116" s="9"/>
    </row>
    <row r="12117">
      <c r="A12117" s="9"/>
      <c r="B12117" s="9"/>
    </row>
    <row r="12118">
      <c r="A12118" s="9"/>
      <c r="B12118" s="9"/>
    </row>
    <row r="12119">
      <c r="A12119" s="9"/>
      <c r="B12119" s="9"/>
    </row>
    <row r="12120">
      <c r="A12120" s="9"/>
      <c r="B12120" s="9"/>
    </row>
    <row r="12121">
      <c r="A12121" s="9"/>
      <c r="B12121" s="9"/>
    </row>
    <row r="12122">
      <c r="A12122" s="9"/>
      <c r="B12122" s="9"/>
    </row>
    <row r="12123">
      <c r="A12123" s="9"/>
      <c r="B12123" s="9"/>
    </row>
    <row r="12124">
      <c r="A12124" s="9"/>
      <c r="B12124" s="9"/>
    </row>
    <row r="12125">
      <c r="A12125" s="9"/>
      <c r="B12125" s="9"/>
    </row>
    <row r="12126">
      <c r="A12126" s="9"/>
      <c r="B12126" s="9"/>
    </row>
    <row r="12127">
      <c r="A12127" s="9"/>
      <c r="B12127" s="9"/>
    </row>
    <row r="12128">
      <c r="A12128" s="9"/>
      <c r="B12128" s="9"/>
    </row>
    <row r="12129">
      <c r="A12129" s="9"/>
      <c r="B12129" s="9"/>
    </row>
    <row r="12130">
      <c r="A12130" s="9"/>
      <c r="B12130" s="9"/>
    </row>
    <row r="12131">
      <c r="A12131" s="9"/>
      <c r="B12131" s="9"/>
    </row>
    <row r="12132">
      <c r="A12132" s="9"/>
      <c r="B12132" s="9"/>
    </row>
    <row r="12133">
      <c r="A12133" s="9"/>
      <c r="B12133" s="9"/>
    </row>
    <row r="12134">
      <c r="A12134" s="9"/>
      <c r="B12134" s="9"/>
    </row>
    <row r="12135">
      <c r="A12135" s="9"/>
      <c r="B12135" s="9"/>
    </row>
    <row r="12136">
      <c r="A12136" s="9"/>
      <c r="B12136" s="9"/>
    </row>
    <row r="12137">
      <c r="A12137" s="9"/>
      <c r="B12137" s="9"/>
    </row>
    <row r="12138">
      <c r="A12138" s="9"/>
      <c r="B12138" s="9"/>
    </row>
    <row r="12139">
      <c r="A12139" s="9"/>
      <c r="B12139" s="9"/>
    </row>
    <row r="12140">
      <c r="A12140" s="9"/>
      <c r="B12140" s="9"/>
    </row>
    <row r="12141">
      <c r="A12141" s="9"/>
      <c r="B12141" s="9"/>
    </row>
    <row r="12142">
      <c r="A12142" s="9"/>
      <c r="B12142" s="9"/>
    </row>
    <row r="12143">
      <c r="A12143" s="9"/>
      <c r="B12143" s="9"/>
    </row>
    <row r="12144">
      <c r="A12144" s="9"/>
      <c r="B12144" s="9"/>
    </row>
    <row r="12145">
      <c r="A12145" s="9"/>
      <c r="B12145" s="9"/>
    </row>
    <row r="12146">
      <c r="A12146" s="9"/>
      <c r="B12146" s="9"/>
    </row>
    <row r="12147">
      <c r="A12147" s="9"/>
      <c r="B12147" s="9"/>
    </row>
    <row r="12148">
      <c r="A12148" s="9"/>
      <c r="B12148" s="9"/>
    </row>
    <row r="12149">
      <c r="A12149" s="9"/>
      <c r="B12149" s="9"/>
    </row>
    <row r="12150">
      <c r="A12150" s="9"/>
      <c r="B12150" s="9"/>
    </row>
    <row r="12151">
      <c r="A12151" s="9"/>
      <c r="B12151" s="9"/>
    </row>
    <row r="12152">
      <c r="A12152" s="9"/>
      <c r="B12152" s="9"/>
    </row>
    <row r="12153">
      <c r="A12153" s="9"/>
      <c r="B12153" s="9"/>
    </row>
    <row r="12154">
      <c r="A12154" s="9"/>
      <c r="B12154" s="9"/>
    </row>
    <row r="12155">
      <c r="A12155" s="9"/>
      <c r="B12155" s="9"/>
    </row>
    <row r="12156">
      <c r="A12156" s="9"/>
      <c r="B12156" s="9"/>
    </row>
    <row r="12157">
      <c r="A12157" s="9"/>
      <c r="B12157" s="9"/>
    </row>
    <row r="12158">
      <c r="A12158" s="9"/>
      <c r="B12158" s="9"/>
    </row>
    <row r="12159">
      <c r="A12159" s="9"/>
      <c r="B12159" s="9"/>
    </row>
    <row r="12160">
      <c r="A12160" s="9"/>
      <c r="B12160" s="9"/>
    </row>
    <row r="12161">
      <c r="A12161" s="9"/>
      <c r="B12161" s="9"/>
    </row>
    <row r="12162">
      <c r="A12162" s="9"/>
      <c r="B12162" s="9"/>
    </row>
    <row r="12163">
      <c r="A12163" s="9"/>
      <c r="B12163" s="9"/>
    </row>
    <row r="12164">
      <c r="A12164" s="9"/>
      <c r="B12164" s="9"/>
    </row>
    <row r="12165">
      <c r="A12165" s="9"/>
      <c r="B12165" s="9"/>
    </row>
    <row r="12166">
      <c r="A12166" s="9"/>
      <c r="B12166" s="9"/>
    </row>
    <row r="12167">
      <c r="A12167" s="9"/>
      <c r="B12167" s="9"/>
    </row>
    <row r="12168">
      <c r="A12168" s="9"/>
      <c r="B12168" s="9"/>
    </row>
    <row r="12169">
      <c r="A12169" s="9"/>
      <c r="B12169" s="9"/>
    </row>
    <row r="12170">
      <c r="A12170" s="9"/>
      <c r="B12170" s="9"/>
    </row>
    <row r="12171">
      <c r="A12171" s="9"/>
      <c r="B12171" s="9"/>
    </row>
    <row r="12172">
      <c r="A12172" s="9"/>
      <c r="B12172" s="9"/>
    </row>
    <row r="12173">
      <c r="A12173" s="9"/>
      <c r="B12173" s="9"/>
    </row>
    <row r="12174">
      <c r="A12174" s="9"/>
      <c r="B12174" s="9"/>
    </row>
    <row r="12175">
      <c r="A12175" s="9"/>
      <c r="B12175" s="9"/>
    </row>
    <row r="12176">
      <c r="A12176" s="9"/>
      <c r="B12176" s="9"/>
    </row>
    <row r="12177">
      <c r="A12177" s="9"/>
      <c r="B12177" s="9"/>
    </row>
    <row r="12178">
      <c r="A12178" s="9"/>
      <c r="B12178" s="9"/>
    </row>
    <row r="12179">
      <c r="A12179" s="9"/>
      <c r="B12179" s="9"/>
    </row>
    <row r="12180">
      <c r="A12180" s="9"/>
      <c r="B12180" s="9"/>
    </row>
    <row r="12181">
      <c r="A12181" s="9"/>
      <c r="B12181" s="9"/>
    </row>
    <row r="12182">
      <c r="A12182" s="9"/>
      <c r="B12182" s="9"/>
    </row>
    <row r="12183">
      <c r="A12183" s="9"/>
      <c r="B12183" s="9"/>
    </row>
    <row r="12184">
      <c r="A12184" s="9"/>
      <c r="B12184" s="9"/>
    </row>
    <row r="12185">
      <c r="A12185" s="9"/>
      <c r="B12185" s="9"/>
    </row>
    <row r="12186">
      <c r="A12186" s="9"/>
      <c r="B12186" s="9"/>
    </row>
    <row r="12187">
      <c r="A12187" s="9"/>
      <c r="B12187" s="9"/>
    </row>
    <row r="12188">
      <c r="A12188" s="9"/>
      <c r="B12188" s="9"/>
    </row>
    <row r="12189">
      <c r="A12189" s="9"/>
      <c r="B12189" s="9"/>
    </row>
    <row r="12190">
      <c r="A12190" s="9"/>
      <c r="B12190" s="9"/>
    </row>
    <row r="12191">
      <c r="A12191" s="9"/>
      <c r="B12191" s="9"/>
    </row>
    <row r="12192">
      <c r="A12192" s="9"/>
      <c r="B12192" s="9"/>
    </row>
    <row r="12193">
      <c r="A12193" s="9"/>
      <c r="B12193" s="9"/>
    </row>
    <row r="12194">
      <c r="A12194" s="9"/>
      <c r="B12194" s="9"/>
    </row>
    <row r="12195">
      <c r="A12195" s="9"/>
      <c r="B12195" s="9"/>
    </row>
    <row r="12196">
      <c r="A12196" s="9"/>
      <c r="B12196" s="9"/>
    </row>
    <row r="12197">
      <c r="A12197" s="9"/>
      <c r="B12197" s="9"/>
    </row>
    <row r="12198">
      <c r="A12198" s="9"/>
      <c r="B12198" s="9"/>
    </row>
    <row r="12199">
      <c r="A12199" s="9"/>
      <c r="B12199" s="9"/>
    </row>
    <row r="12200">
      <c r="A12200" s="9"/>
      <c r="B12200" s="9"/>
    </row>
    <row r="12201">
      <c r="A12201" s="9"/>
      <c r="B12201" s="9"/>
    </row>
    <row r="12202">
      <c r="A12202" s="9"/>
      <c r="B12202" s="9"/>
    </row>
    <row r="12203">
      <c r="A12203" s="9"/>
      <c r="B12203" s="9"/>
    </row>
    <row r="12204">
      <c r="A12204" s="9"/>
      <c r="B12204" s="9"/>
    </row>
    <row r="12205">
      <c r="A12205" s="9"/>
      <c r="B12205" s="9"/>
    </row>
    <row r="12206">
      <c r="A12206" s="9"/>
      <c r="B12206" s="9"/>
    </row>
    <row r="12207">
      <c r="A12207" s="9"/>
      <c r="B12207" s="9"/>
    </row>
    <row r="12208">
      <c r="A12208" s="9"/>
      <c r="B12208" s="9"/>
    </row>
    <row r="12209">
      <c r="A12209" s="9"/>
      <c r="B12209" s="9"/>
    </row>
    <row r="12210">
      <c r="A12210" s="9"/>
      <c r="B12210" s="9"/>
    </row>
    <row r="12211">
      <c r="A12211" s="9"/>
      <c r="B12211" s="9"/>
    </row>
    <row r="12212">
      <c r="A12212" s="9"/>
      <c r="B12212" s="9"/>
    </row>
    <row r="12213">
      <c r="A12213" s="9"/>
      <c r="B12213" s="9"/>
    </row>
    <row r="12214">
      <c r="A12214" s="9"/>
      <c r="B12214" s="9"/>
    </row>
    <row r="12215">
      <c r="A12215" s="9"/>
      <c r="B12215" s="9"/>
    </row>
    <row r="12216">
      <c r="A12216" s="9"/>
      <c r="B12216" s="9"/>
    </row>
    <row r="12217">
      <c r="A12217" s="9"/>
      <c r="B12217" s="9"/>
    </row>
    <row r="12218">
      <c r="A12218" s="9"/>
      <c r="B12218" s="9"/>
    </row>
    <row r="12219">
      <c r="A12219" s="9"/>
      <c r="B12219" s="9"/>
    </row>
    <row r="12220">
      <c r="A12220" s="9"/>
      <c r="B12220" s="9"/>
    </row>
    <row r="12221">
      <c r="A12221" s="9"/>
      <c r="B12221" s="9"/>
    </row>
    <row r="12222">
      <c r="A12222" s="9"/>
      <c r="B12222" s="9"/>
    </row>
    <row r="12223">
      <c r="A12223" s="9"/>
      <c r="B12223" s="9"/>
    </row>
    <row r="12224">
      <c r="A12224" s="9"/>
      <c r="B12224" s="9"/>
    </row>
    <row r="12225">
      <c r="A12225" s="9"/>
      <c r="B12225" s="9"/>
    </row>
    <row r="12226">
      <c r="A12226" s="9"/>
      <c r="B12226" s="9"/>
    </row>
    <row r="12227">
      <c r="A12227" s="9"/>
      <c r="B12227" s="9"/>
    </row>
    <row r="12228">
      <c r="A12228" s="9"/>
      <c r="B12228" s="9"/>
    </row>
    <row r="12229">
      <c r="A12229" s="9"/>
      <c r="B12229" s="9"/>
    </row>
    <row r="12230">
      <c r="A12230" s="9"/>
      <c r="B12230" s="9"/>
    </row>
    <row r="12231">
      <c r="A12231" s="9"/>
      <c r="B12231" s="9"/>
    </row>
    <row r="12232">
      <c r="A12232" s="9"/>
      <c r="B12232" s="9"/>
    </row>
    <row r="12233">
      <c r="A12233" s="9"/>
      <c r="B12233" s="9"/>
    </row>
    <row r="12234">
      <c r="A12234" s="9"/>
      <c r="B12234" s="9"/>
    </row>
    <row r="12235">
      <c r="A12235" s="9"/>
      <c r="B12235" s="9"/>
    </row>
    <row r="12236">
      <c r="A12236" s="9"/>
      <c r="B12236" s="9"/>
    </row>
    <row r="12237">
      <c r="A12237" s="9"/>
      <c r="B12237" s="9"/>
    </row>
    <row r="12238">
      <c r="A12238" s="9"/>
      <c r="B12238" s="9"/>
    </row>
    <row r="12239">
      <c r="A12239" s="9"/>
      <c r="B12239" s="9"/>
    </row>
    <row r="12240">
      <c r="A12240" s="9"/>
      <c r="B12240" s="9"/>
    </row>
    <row r="12241">
      <c r="A12241" s="9"/>
      <c r="B12241" s="9"/>
    </row>
    <row r="12242">
      <c r="A12242" s="9"/>
      <c r="B12242" s="9"/>
    </row>
    <row r="12243">
      <c r="A12243" s="9"/>
      <c r="B12243" s="9"/>
    </row>
    <row r="12244">
      <c r="A12244" s="9"/>
      <c r="B12244" s="9"/>
    </row>
    <row r="12245">
      <c r="A12245" s="9"/>
      <c r="B12245" s="9"/>
    </row>
    <row r="12246">
      <c r="A12246" s="9"/>
      <c r="B12246" s="9"/>
    </row>
    <row r="12247">
      <c r="A12247" s="9"/>
      <c r="B12247" s="9"/>
    </row>
    <row r="12248">
      <c r="A12248" s="9"/>
      <c r="B12248" s="9"/>
    </row>
    <row r="12249">
      <c r="A12249" s="9"/>
      <c r="B12249" s="9"/>
    </row>
    <row r="12250">
      <c r="A12250" s="9"/>
      <c r="B12250" s="9"/>
    </row>
    <row r="12251">
      <c r="A12251" s="9"/>
      <c r="B12251" s="9"/>
    </row>
    <row r="12252">
      <c r="A12252" s="9"/>
      <c r="B12252" s="9"/>
    </row>
    <row r="12253">
      <c r="A12253" s="9"/>
      <c r="B12253" s="9"/>
    </row>
    <row r="12254">
      <c r="A12254" s="9"/>
      <c r="B12254" s="9"/>
    </row>
    <row r="12255">
      <c r="A12255" s="9"/>
      <c r="B12255" s="9"/>
    </row>
    <row r="12256">
      <c r="A12256" s="9"/>
      <c r="B12256" s="9"/>
    </row>
    <row r="12257">
      <c r="A12257" s="9"/>
      <c r="B12257" s="9"/>
    </row>
    <row r="12258">
      <c r="A12258" s="9"/>
      <c r="B12258" s="9"/>
    </row>
    <row r="12259">
      <c r="A12259" s="9"/>
      <c r="B12259" s="9"/>
    </row>
    <row r="12260">
      <c r="A12260" s="9"/>
      <c r="B12260" s="9"/>
    </row>
    <row r="12261">
      <c r="A12261" s="9"/>
      <c r="B12261" s="9"/>
    </row>
    <row r="12262">
      <c r="A12262" s="9"/>
      <c r="B12262" s="9"/>
    </row>
    <row r="12263">
      <c r="A12263" s="9"/>
      <c r="B12263" s="9"/>
    </row>
    <row r="12264">
      <c r="A12264" s="9"/>
      <c r="B12264" s="9"/>
    </row>
    <row r="12265">
      <c r="A12265" s="9"/>
      <c r="B12265" s="9"/>
    </row>
    <row r="12266">
      <c r="A12266" s="9"/>
      <c r="B12266" s="9"/>
    </row>
    <row r="12267">
      <c r="A12267" s="9"/>
      <c r="B12267" s="9"/>
    </row>
    <row r="12268">
      <c r="A12268" s="9"/>
      <c r="B12268" s="9"/>
    </row>
    <row r="12269">
      <c r="A12269" s="9"/>
      <c r="B12269" s="9"/>
    </row>
    <row r="12270">
      <c r="A12270" s="9"/>
      <c r="B12270" s="9"/>
    </row>
    <row r="12271">
      <c r="A12271" s="9"/>
      <c r="B12271" s="9"/>
    </row>
    <row r="12272">
      <c r="A12272" s="9"/>
      <c r="B12272" s="9"/>
    </row>
    <row r="12273">
      <c r="A12273" s="9"/>
      <c r="B12273" s="9"/>
    </row>
    <row r="12274">
      <c r="A12274" s="9"/>
      <c r="B12274" s="9"/>
    </row>
    <row r="12275">
      <c r="A12275" s="9"/>
      <c r="B12275" s="9"/>
    </row>
    <row r="12276">
      <c r="A12276" s="9"/>
      <c r="B12276" s="9"/>
    </row>
    <row r="12277">
      <c r="A12277" s="9"/>
      <c r="B12277" s="9"/>
    </row>
    <row r="12278">
      <c r="A12278" s="9"/>
      <c r="B12278" s="9"/>
    </row>
    <row r="12279">
      <c r="A12279" s="9"/>
      <c r="B12279" s="9"/>
    </row>
    <row r="12280">
      <c r="A12280" s="9"/>
      <c r="B12280" s="9"/>
    </row>
    <row r="12281">
      <c r="A12281" s="9"/>
      <c r="B12281" s="9"/>
    </row>
    <row r="12282">
      <c r="A12282" s="9"/>
      <c r="B12282" s="9"/>
    </row>
    <row r="12283">
      <c r="A12283" s="9"/>
      <c r="B12283" s="9"/>
    </row>
    <row r="12284">
      <c r="A12284" s="9"/>
      <c r="B12284" s="9"/>
    </row>
    <row r="12285">
      <c r="A12285" s="9"/>
      <c r="B12285" s="9"/>
    </row>
    <row r="12286">
      <c r="A12286" s="9"/>
      <c r="B12286" s="9"/>
    </row>
    <row r="12287">
      <c r="A12287" s="9"/>
      <c r="B12287" s="9"/>
    </row>
    <row r="12288">
      <c r="A12288" s="9"/>
      <c r="B12288" s="9"/>
    </row>
    <row r="12289">
      <c r="A12289" s="9"/>
      <c r="B12289" s="9"/>
    </row>
    <row r="12290">
      <c r="A12290" s="9"/>
      <c r="B12290" s="9"/>
    </row>
    <row r="12291">
      <c r="A12291" s="9"/>
      <c r="B12291" s="9"/>
    </row>
    <row r="12292">
      <c r="A12292" s="9"/>
      <c r="B12292" s="9"/>
    </row>
    <row r="12293">
      <c r="A12293" s="9"/>
      <c r="B12293" s="9"/>
    </row>
    <row r="12294">
      <c r="A12294" s="9"/>
      <c r="B12294" s="9"/>
    </row>
    <row r="12295">
      <c r="A12295" s="9"/>
      <c r="B12295" s="9"/>
    </row>
    <row r="12296">
      <c r="A12296" s="9"/>
      <c r="B12296" s="9"/>
    </row>
    <row r="12297">
      <c r="A12297" s="9"/>
      <c r="B12297" s="9"/>
    </row>
    <row r="12298">
      <c r="A12298" s="9"/>
      <c r="B12298" s="9"/>
    </row>
    <row r="12299">
      <c r="A12299" s="9"/>
      <c r="B12299" s="9"/>
    </row>
    <row r="12300">
      <c r="A12300" s="9"/>
      <c r="B12300" s="9"/>
    </row>
    <row r="12301">
      <c r="A12301" s="9"/>
      <c r="B12301" s="9"/>
    </row>
    <row r="12302">
      <c r="A12302" s="9"/>
      <c r="B12302" s="9"/>
    </row>
    <row r="12303">
      <c r="A12303" s="9"/>
      <c r="B12303" s="9"/>
    </row>
    <row r="12304">
      <c r="A12304" s="9"/>
      <c r="B12304" s="9"/>
    </row>
    <row r="12305">
      <c r="A12305" s="9"/>
      <c r="B12305" s="9"/>
    </row>
    <row r="12306">
      <c r="A12306" s="9"/>
      <c r="B12306" s="9"/>
    </row>
    <row r="12307">
      <c r="A12307" s="9"/>
      <c r="B12307" s="9"/>
    </row>
    <row r="12308">
      <c r="A12308" s="9"/>
      <c r="B12308" s="9"/>
    </row>
    <row r="12309">
      <c r="A12309" s="9"/>
      <c r="B12309" s="9"/>
    </row>
    <row r="12310">
      <c r="A12310" s="9"/>
      <c r="B12310" s="9"/>
    </row>
    <row r="12311">
      <c r="A12311" s="9"/>
      <c r="B12311" s="9"/>
    </row>
    <row r="12312">
      <c r="A12312" s="9"/>
      <c r="B12312" s="9"/>
    </row>
    <row r="12313">
      <c r="A12313" s="9"/>
      <c r="B12313" s="9"/>
    </row>
    <row r="12314">
      <c r="A12314" s="9"/>
      <c r="B12314" s="9"/>
    </row>
    <row r="12315">
      <c r="A12315" s="9"/>
      <c r="B12315" s="9"/>
    </row>
    <row r="12316">
      <c r="A12316" s="9"/>
      <c r="B12316" s="9"/>
    </row>
    <row r="12317">
      <c r="A12317" s="9"/>
      <c r="B12317" s="9"/>
    </row>
    <row r="12318">
      <c r="A12318" s="9"/>
      <c r="B12318" s="9"/>
    </row>
    <row r="12319">
      <c r="A12319" s="9"/>
      <c r="B12319" s="9"/>
    </row>
    <row r="12320">
      <c r="A12320" s="9"/>
      <c r="B12320" s="9"/>
    </row>
    <row r="12321">
      <c r="A12321" s="9"/>
      <c r="B12321" s="9"/>
    </row>
    <row r="12322">
      <c r="A12322" s="9"/>
      <c r="B12322" s="9"/>
    </row>
    <row r="12323">
      <c r="A12323" s="9"/>
      <c r="B12323" s="9"/>
    </row>
    <row r="12324">
      <c r="A12324" s="9"/>
      <c r="B12324" s="9"/>
    </row>
    <row r="12325">
      <c r="A12325" s="9"/>
      <c r="B12325" s="9"/>
    </row>
    <row r="12326">
      <c r="A12326" s="9"/>
      <c r="B12326" s="9"/>
    </row>
    <row r="12327">
      <c r="A12327" s="9"/>
      <c r="B12327" s="9"/>
    </row>
    <row r="12328">
      <c r="A12328" s="9"/>
      <c r="B12328" s="9"/>
    </row>
    <row r="12329">
      <c r="A12329" s="9"/>
      <c r="B12329" s="9"/>
    </row>
    <row r="12330">
      <c r="A12330" s="9"/>
      <c r="B12330" s="9"/>
    </row>
    <row r="12331">
      <c r="A12331" s="9"/>
      <c r="B12331" s="9"/>
    </row>
    <row r="12332">
      <c r="A12332" s="9"/>
      <c r="B12332" s="9"/>
    </row>
    <row r="12333">
      <c r="A12333" s="9"/>
      <c r="B12333" s="9"/>
    </row>
    <row r="12334">
      <c r="A12334" s="9"/>
      <c r="B12334" s="9"/>
    </row>
    <row r="12335">
      <c r="A12335" s="9"/>
      <c r="B12335" s="9"/>
    </row>
    <row r="12336">
      <c r="A12336" s="9"/>
      <c r="B12336" s="9"/>
    </row>
    <row r="12337">
      <c r="A12337" s="9"/>
      <c r="B12337" s="9"/>
    </row>
    <row r="12338">
      <c r="A12338" s="9"/>
      <c r="B12338" s="9"/>
    </row>
    <row r="12339">
      <c r="A12339" s="9"/>
      <c r="B12339" s="9"/>
    </row>
    <row r="12340">
      <c r="A12340" s="9"/>
      <c r="B12340" s="9"/>
    </row>
    <row r="12341">
      <c r="A12341" s="9"/>
      <c r="B12341" s="9"/>
    </row>
    <row r="12342">
      <c r="A12342" s="9"/>
      <c r="B12342" s="9"/>
    </row>
    <row r="12343">
      <c r="A12343" s="9"/>
      <c r="B12343" s="9"/>
    </row>
    <row r="12344">
      <c r="A12344" s="9"/>
      <c r="B12344" s="9"/>
    </row>
    <row r="12345">
      <c r="A12345" s="9"/>
      <c r="B12345" s="9"/>
    </row>
    <row r="12346">
      <c r="A12346" s="9"/>
      <c r="B12346" s="9"/>
    </row>
    <row r="12347">
      <c r="A12347" s="9"/>
      <c r="B12347" s="9"/>
    </row>
    <row r="12348">
      <c r="A12348" s="9"/>
      <c r="B12348" s="9"/>
    </row>
    <row r="12349">
      <c r="A12349" s="9"/>
      <c r="B12349" s="9"/>
    </row>
    <row r="12350">
      <c r="A12350" s="9"/>
      <c r="B12350" s="9"/>
    </row>
    <row r="12351">
      <c r="A12351" s="9"/>
      <c r="B12351" s="9"/>
    </row>
    <row r="12352">
      <c r="A12352" s="9"/>
      <c r="B12352" s="9"/>
    </row>
    <row r="12353">
      <c r="A12353" s="9"/>
      <c r="B12353" s="9"/>
    </row>
    <row r="12354">
      <c r="A12354" s="9"/>
      <c r="B12354" s="9"/>
    </row>
    <row r="12355">
      <c r="A12355" s="9"/>
      <c r="B12355" s="9"/>
    </row>
    <row r="12356">
      <c r="A12356" s="9"/>
      <c r="B12356" s="9"/>
    </row>
    <row r="12357">
      <c r="A12357" s="9"/>
      <c r="B12357" s="9"/>
    </row>
    <row r="12358">
      <c r="A12358" s="9"/>
      <c r="B12358" s="9"/>
    </row>
    <row r="12359">
      <c r="A12359" s="9"/>
      <c r="B12359" s="9"/>
    </row>
    <row r="12360">
      <c r="A12360" s="9"/>
      <c r="B12360" s="9"/>
    </row>
    <row r="12361">
      <c r="A12361" s="9"/>
      <c r="B12361" s="9"/>
    </row>
    <row r="12362">
      <c r="A12362" s="9"/>
      <c r="B12362" s="9"/>
    </row>
    <row r="12363">
      <c r="A12363" s="9"/>
      <c r="B12363" s="9"/>
    </row>
    <row r="12364">
      <c r="A12364" s="9"/>
      <c r="B12364" s="9"/>
    </row>
    <row r="12365">
      <c r="A12365" s="9"/>
      <c r="B12365" s="9"/>
    </row>
    <row r="12366">
      <c r="A12366" s="9"/>
      <c r="B12366" s="9"/>
    </row>
    <row r="12367">
      <c r="A12367" s="9"/>
      <c r="B12367" s="9"/>
    </row>
    <row r="12368">
      <c r="A12368" s="9"/>
      <c r="B12368" s="9"/>
    </row>
    <row r="12369">
      <c r="A12369" s="9"/>
      <c r="B12369" s="9"/>
    </row>
    <row r="12370">
      <c r="A12370" s="9"/>
      <c r="B12370" s="9"/>
    </row>
    <row r="12371">
      <c r="A12371" s="9"/>
      <c r="B12371" s="9"/>
    </row>
    <row r="12372">
      <c r="A12372" s="9"/>
      <c r="B12372" s="9"/>
    </row>
    <row r="12373">
      <c r="A12373" s="9"/>
      <c r="B12373" s="9"/>
    </row>
    <row r="12374">
      <c r="A12374" s="9"/>
      <c r="B12374" s="9"/>
    </row>
    <row r="12375">
      <c r="A12375" s="9"/>
      <c r="B12375" s="9"/>
    </row>
    <row r="12376">
      <c r="A12376" s="9"/>
      <c r="B12376" s="9"/>
    </row>
    <row r="12377">
      <c r="A12377" s="9"/>
      <c r="B12377" s="9"/>
    </row>
    <row r="12378">
      <c r="A12378" s="9"/>
      <c r="B12378" s="9"/>
    </row>
    <row r="12379">
      <c r="A12379" s="9"/>
      <c r="B12379" s="9"/>
    </row>
    <row r="12380">
      <c r="A12380" s="9"/>
      <c r="B12380" s="9"/>
    </row>
    <row r="12381">
      <c r="A12381" s="9"/>
      <c r="B12381" s="9"/>
    </row>
    <row r="12382">
      <c r="A12382" s="9"/>
      <c r="B12382" s="9"/>
    </row>
    <row r="12383">
      <c r="A12383" s="9"/>
      <c r="B12383" s="9"/>
    </row>
    <row r="12384">
      <c r="A12384" s="9"/>
      <c r="B12384" s="9"/>
    </row>
    <row r="12385">
      <c r="A12385" s="9"/>
      <c r="B12385" s="9"/>
    </row>
    <row r="12386">
      <c r="A12386" s="9"/>
      <c r="B12386" s="9"/>
    </row>
    <row r="12387">
      <c r="A12387" s="9"/>
      <c r="B12387" s="9"/>
    </row>
    <row r="12388">
      <c r="A12388" s="9"/>
      <c r="B12388" s="9"/>
    </row>
    <row r="12389">
      <c r="A12389" s="9"/>
      <c r="B12389" s="9"/>
    </row>
    <row r="12390">
      <c r="A12390" s="9"/>
      <c r="B12390" s="9"/>
    </row>
    <row r="12391">
      <c r="A12391" s="9"/>
      <c r="B12391" s="9"/>
    </row>
    <row r="12392">
      <c r="A12392" s="9"/>
      <c r="B12392" s="9"/>
    </row>
    <row r="12393">
      <c r="A12393" s="9"/>
      <c r="B12393" s="9"/>
    </row>
    <row r="12394">
      <c r="A12394" s="9"/>
      <c r="B12394" s="9"/>
    </row>
    <row r="12395">
      <c r="A12395" s="9"/>
      <c r="B12395" s="9"/>
    </row>
    <row r="12396">
      <c r="A12396" s="9"/>
      <c r="B12396" s="9"/>
    </row>
    <row r="12397">
      <c r="A12397" s="9"/>
      <c r="B12397" s="9"/>
    </row>
    <row r="12398">
      <c r="A12398" s="9"/>
      <c r="B12398" s="9"/>
    </row>
    <row r="12399">
      <c r="A12399" s="9"/>
      <c r="B12399" s="9"/>
    </row>
    <row r="12400">
      <c r="A12400" s="9"/>
      <c r="B12400" s="9"/>
    </row>
    <row r="12401">
      <c r="A12401" s="9"/>
      <c r="B12401" s="9"/>
    </row>
    <row r="12402">
      <c r="A12402" s="9"/>
      <c r="B12402" s="9"/>
    </row>
    <row r="12403">
      <c r="A12403" s="9"/>
      <c r="B12403" s="9"/>
    </row>
    <row r="12404">
      <c r="A12404" s="9"/>
      <c r="B12404" s="9"/>
    </row>
    <row r="12405">
      <c r="A12405" s="9"/>
      <c r="B12405" s="9"/>
    </row>
    <row r="12406">
      <c r="A12406" s="9"/>
      <c r="B12406" s="9"/>
    </row>
    <row r="12407">
      <c r="A12407" s="9"/>
      <c r="B12407" s="9"/>
    </row>
    <row r="12408">
      <c r="A12408" s="9"/>
      <c r="B12408" s="9"/>
    </row>
    <row r="12409">
      <c r="A12409" s="9"/>
      <c r="B12409" s="9"/>
    </row>
    <row r="12410">
      <c r="A12410" s="9"/>
      <c r="B12410" s="9"/>
    </row>
    <row r="12411">
      <c r="A12411" s="9"/>
      <c r="B12411" s="9"/>
    </row>
    <row r="12412">
      <c r="A12412" s="9"/>
      <c r="B12412" s="9"/>
    </row>
    <row r="12413">
      <c r="A12413" s="9"/>
      <c r="B12413" s="9"/>
    </row>
    <row r="12414">
      <c r="A12414" s="9"/>
      <c r="B12414" s="9"/>
    </row>
    <row r="12415">
      <c r="A12415" s="9"/>
      <c r="B12415" s="9"/>
    </row>
    <row r="12416">
      <c r="A12416" s="9"/>
      <c r="B12416" s="9"/>
    </row>
    <row r="12417">
      <c r="A12417" s="9"/>
      <c r="B12417" s="9"/>
    </row>
    <row r="12418">
      <c r="A12418" s="9"/>
      <c r="B12418" s="9"/>
    </row>
    <row r="12419">
      <c r="A12419" s="9"/>
      <c r="B12419" s="9"/>
    </row>
    <row r="12420">
      <c r="A12420" s="9"/>
      <c r="B12420" s="9"/>
    </row>
    <row r="12421">
      <c r="A12421" s="9"/>
      <c r="B12421" s="9"/>
    </row>
    <row r="12422">
      <c r="A12422" s="9"/>
      <c r="B12422" s="9"/>
    </row>
    <row r="12423">
      <c r="A12423" s="9"/>
      <c r="B12423" s="9"/>
    </row>
    <row r="12424">
      <c r="A12424" s="9"/>
      <c r="B12424" s="9"/>
    </row>
    <row r="12425">
      <c r="A12425" s="9"/>
      <c r="B12425" s="9"/>
    </row>
    <row r="12426">
      <c r="A12426" s="9"/>
      <c r="B12426" s="9"/>
    </row>
    <row r="12427">
      <c r="A12427" s="9"/>
      <c r="B12427" s="9"/>
    </row>
    <row r="12428">
      <c r="A12428" s="9"/>
      <c r="B12428" s="9"/>
    </row>
    <row r="12429">
      <c r="A12429" s="9"/>
      <c r="B12429" s="9"/>
    </row>
    <row r="12430">
      <c r="A12430" s="9"/>
      <c r="B12430" s="9"/>
    </row>
    <row r="12431">
      <c r="A12431" s="9"/>
      <c r="B12431" s="9"/>
    </row>
    <row r="12432">
      <c r="A12432" s="9"/>
      <c r="B12432" s="9"/>
    </row>
    <row r="12433">
      <c r="A12433" s="9"/>
      <c r="B12433" s="9"/>
    </row>
    <row r="12434">
      <c r="A12434" s="9"/>
      <c r="B12434" s="9"/>
    </row>
    <row r="12435">
      <c r="A12435" s="9"/>
      <c r="B12435" s="9"/>
    </row>
    <row r="12436">
      <c r="A12436" s="9"/>
      <c r="B12436" s="9"/>
    </row>
    <row r="12437">
      <c r="A12437" s="9"/>
      <c r="B12437" s="9"/>
    </row>
    <row r="12438">
      <c r="A12438" s="9"/>
      <c r="B12438" s="9"/>
    </row>
    <row r="12439">
      <c r="A12439" s="9"/>
      <c r="B12439" s="9"/>
    </row>
    <row r="12440">
      <c r="A12440" s="9"/>
      <c r="B12440" s="9"/>
    </row>
    <row r="12441">
      <c r="A12441" s="9"/>
      <c r="B12441" s="9"/>
    </row>
    <row r="12442">
      <c r="A12442" s="9"/>
      <c r="B12442" s="9"/>
    </row>
    <row r="12443">
      <c r="A12443" s="9"/>
      <c r="B12443" s="9"/>
    </row>
    <row r="12444">
      <c r="A12444" s="9"/>
      <c r="B12444" s="9"/>
    </row>
    <row r="12445">
      <c r="A12445" s="9"/>
      <c r="B12445" s="9"/>
    </row>
    <row r="12446">
      <c r="A12446" s="9"/>
      <c r="B12446" s="9"/>
    </row>
    <row r="12447">
      <c r="A12447" s="9"/>
      <c r="B12447" s="9"/>
    </row>
    <row r="12448">
      <c r="A12448" s="9"/>
      <c r="B12448" s="9"/>
    </row>
    <row r="12449">
      <c r="A12449" s="9"/>
      <c r="B12449" s="9"/>
    </row>
    <row r="12450">
      <c r="A12450" s="9"/>
      <c r="B12450" s="9"/>
    </row>
    <row r="12451">
      <c r="A12451" s="9"/>
      <c r="B12451" s="9"/>
    </row>
    <row r="12452">
      <c r="A12452" s="9"/>
      <c r="B12452" s="9"/>
    </row>
    <row r="12453">
      <c r="A12453" s="9"/>
      <c r="B12453" s="9"/>
    </row>
    <row r="12454">
      <c r="A12454" s="9"/>
      <c r="B12454" s="9"/>
    </row>
    <row r="12455">
      <c r="A12455" s="9"/>
      <c r="B12455" s="9"/>
    </row>
    <row r="12456">
      <c r="A12456" s="9"/>
      <c r="B12456" s="9"/>
    </row>
    <row r="12457">
      <c r="A12457" s="9"/>
      <c r="B12457" s="9"/>
    </row>
    <row r="12458">
      <c r="A12458" s="9"/>
      <c r="B12458" s="9"/>
    </row>
    <row r="12459">
      <c r="A12459" s="9"/>
      <c r="B12459" s="9"/>
    </row>
    <row r="12460">
      <c r="A12460" s="9"/>
      <c r="B12460" s="9"/>
    </row>
    <row r="12461">
      <c r="A12461" s="9"/>
      <c r="B12461" s="9"/>
    </row>
    <row r="12462">
      <c r="A12462" s="9"/>
      <c r="B12462" s="9"/>
    </row>
    <row r="12463">
      <c r="A12463" s="9"/>
      <c r="B12463" s="9"/>
    </row>
    <row r="12464">
      <c r="A12464" s="9"/>
      <c r="B12464" s="9"/>
    </row>
    <row r="12465">
      <c r="A12465" s="9"/>
      <c r="B12465" s="9"/>
    </row>
    <row r="12466">
      <c r="A12466" s="9"/>
      <c r="B12466" s="9"/>
    </row>
    <row r="12467">
      <c r="A12467" s="9"/>
      <c r="B12467" s="9"/>
    </row>
    <row r="12468">
      <c r="A12468" s="9"/>
      <c r="B12468" s="9"/>
    </row>
    <row r="12469">
      <c r="A12469" s="9"/>
      <c r="B12469" s="9"/>
    </row>
    <row r="12470">
      <c r="A12470" s="9"/>
      <c r="B12470" s="9"/>
    </row>
    <row r="12471">
      <c r="A12471" s="9"/>
      <c r="B12471" s="9"/>
    </row>
    <row r="12472">
      <c r="A12472" s="9"/>
      <c r="B12472" s="9"/>
    </row>
    <row r="12473">
      <c r="A12473" s="9"/>
      <c r="B12473" s="9"/>
    </row>
    <row r="12474">
      <c r="A12474" s="9"/>
      <c r="B12474" s="9"/>
    </row>
    <row r="12475">
      <c r="A12475" s="9"/>
      <c r="B12475" s="9"/>
    </row>
    <row r="12476">
      <c r="A12476" s="9"/>
      <c r="B12476" s="9"/>
    </row>
    <row r="12477">
      <c r="A12477" s="9"/>
      <c r="B12477" s="9"/>
    </row>
    <row r="12478">
      <c r="A12478" s="9"/>
      <c r="B12478" s="9"/>
    </row>
    <row r="12479">
      <c r="A12479" s="9"/>
      <c r="B12479" s="9"/>
    </row>
    <row r="12480">
      <c r="A12480" s="9"/>
      <c r="B12480" s="9"/>
    </row>
    <row r="12481">
      <c r="A12481" s="9"/>
      <c r="B12481" s="9"/>
    </row>
    <row r="12482">
      <c r="A12482" s="9"/>
      <c r="B12482" s="9"/>
    </row>
    <row r="12483">
      <c r="A12483" s="9"/>
      <c r="B12483" s="9"/>
    </row>
    <row r="12484">
      <c r="A12484" s="9"/>
      <c r="B12484" s="9"/>
    </row>
    <row r="12485">
      <c r="A12485" s="9"/>
      <c r="B12485" s="9"/>
    </row>
    <row r="12486">
      <c r="A12486" s="9"/>
      <c r="B12486" s="9"/>
    </row>
    <row r="12487">
      <c r="A12487" s="9"/>
      <c r="B12487" s="9"/>
    </row>
    <row r="12488">
      <c r="A12488" s="9"/>
      <c r="B12488" s="9"/>
    </row>
    <row r="12489">
      <c r="A12489" s="9"/>
      <c r="B12489" s="9"/>
    </row>
    <row r="12490">
      <c r="A12490" s="9"/>
      <c r="B12490" s="9"/>
    </row>
    <row r="12491">
      <c r="A12491" s="9"/>
      <c r="B12491" s="9"/>
    </row>
    <row r="12492">
      <c r="A12492" s="9"/>
      <c r="B12492" s="9"/>
    </row>
    <row r="12493">
      <c r="A12493" s="9"/>
      <c r="B12493" s="9"/>
    </row>
    <row r="12494">
      <c r="A12494" s="9"/>
      <c r="B12494" s="9"/>
    </row>
    <row r="12495">
      <c r="A12495" s="9"/>
      <c r="B12495" s="9"/>
    </row>
    <row r="12496">
      <c r="A12496" s="9"/>
      <c r="B12496" s="9"/>
    </row>
    <row r="12497">
      <c r="A12497" s="9"/>
      <c r="B12497" s="9"/>
    </row>
    <row r="12498">
      <c r="A12498" s="9"/>
      <c r="B12498" s="9"/>
    </row>
    <row r="12499">
      <c r="A12499" s="9"/>
      <c r="B12499" s="9"/>
    </row>
    <row r="12500">
      <c r="A12500" s="9"/>
      <c r="B12500" s="9"/>
    </row>
    <row r="12501">
      <c r="A12501" s="9"/>
      <c r="B12501" s="9"/>
    </row>
    <row r="12502">
      <c r="A12502" s="9"/>
      <c r="B12502" s="9"/>
    </row>
    <row r="12503">
      <c r="A12503" s="9"/>
      <c r="B12503" s="9"/>
    </row>
    <row r="12504">
      <c r="A12504" s="9"/>
      <c r="B12504" s="9"/>
    </row>
    <row r="12505">
      <c r="A12505" s="9"/>
      <c r="B12505" s="9"/>
    </row>
    <row r="12506">
      <c r="A12506" s="9"/>
      <c r="B12506" s="9"/>
    </row>
    <row r="12507">
      <c r="A12507" s="9"/>
      <c r="B12507" s="9"/>
    </row>
    <row r="12508">
      <c r="A12508" s="9"/>
      <c r="B12508" s="9"/>
    </row>
    <row r="12509">
      <c r="A12509" s="9"/>
      <c r="B12509" s="9"/>
    </row>
    <row r="12510">
      <c r="A12510" s="9"/>
      <c r="B12510" s="9"/>
    </row>
    <row r="12511">
      <c r="A12511" s="9"/>
      <c r="B12511" s="9"/>
    </row>
    <row r="12512">
      <c r="A12512" s="9"/>
      <c r="B12512" s="9"/>
    </row>
    <row r="12513">
      <c r="A12513" s="9"/>
      <c r="B12513" s="9"/>
    </row>
    <row r="12514">
      <c r="A12514" s="9"/>
      <c r="B12514" s="9"/>
    </row>
    <row r="12515">
      <c r="A12515" s="9"/>
      <c r="B12515" s="9"/>
    </row>
    <row r="12516">
      <c r="A12516" s="9"/>
      <c r="B12516" s="9"/>
    </row>
    <row r="12517">
      <c r="A12517" s="9"/>
      <c r="B12517" s="9"/>
    </row>
    <row r="12518">
      <c r="A12518" s="9"/>
      <c r="B12518" s="9"/>
    </row>
    <row r="12519">
      <c r="A12519" s="9"/>
      <c r="B12519" s="9"/>
    </row>
    <row r="12520">
      <c r="A12520" s="9"/>
      <c r="B12520" s="9"/>
    </row>
    <row r="12521">
      <c r="A12521" s="9"/>
      <c r="B12521" s="9"/>
    </row>
    <row r="12522">
      <c r="A12522" s="9"/>
      <c r="B12522" s="9"/>
    </row>
    <row r="12523">
      <c r="A12523" s="9"/>
      <c r="B12523" s="9"/>
    </row>
    <row r="12524">
      <c r="A12524" s="9"/>
      <c r="B12524" s="9"/>
    </row>
    <row r="12525">
      <c r="A12525" s="9"/>
      <c r="B12525" s="9"/>
    </row>
    <row r="12526">
      <c r="A12526" s="9"/>
      <c r="B12526" s="9"/>
    </row>
    <row r="12527">
      <c r="A12527" s="9"/>
      <c r="B12527" s="9"/>
    </row>
    <row r="12528">
      <c r="A12528" s="9"/>
      <c r="B12528" s="9"/>
    </row>
    <row r="12529">
      <c r="A12529" s="9"/>
      <c r="B12529" s="9"/>
    </row>
    <row r="12530">
      <c r="A12530" s="9"/>
      <c r="B12530" s="9"/>
    </row>
    <row r="12531">
      <c r="A12531" s="9"/>
      <c r="B12531" s="9"/>
    </row>
    <row r="12532">
      <c r="A12532" s="9"/>
      <c r="B12532" s="9"/>
    </row>
    <row r="12533">
      <c r="A12533" s="9"/>
      <c r="B12533" s="9"/>
    </row>
    <row r="12534">
      <c r="A12534" s="9"/>
      <c r="B12534" s="9"/>
    </row>
    <row r="12535">
      <c r="A12535" s="9"/>
      <c r="B12535" s="9"/>
    </row>
    <row r="12536">
      <c r="A12536" s="9"/>
      <c r="B12536" s="9"/>
    </row>
    <row r="12537">
      <c r="A12537" s="9"/>
      <c r="B12537" s="9"/>
    </row>
    <row r="12538">
      <c r="A12538" s="9"/>
      <c r="B12538" s="9"/>
    </row>
    <row r="12539">
      <c r="A12539" s="9"/>
      <c r="B12539" s="9"/>
    </row>
    <row r="12540">
      <c r="A12540" s="9"/>
      <c r="B12540" s="9"/>
    </row>
    <row r="12541">
      <c r="A12541" s="9"/>
      <c r="B12541" s="9"/>
    </row>
    <row r="12542">
      <c r="A12542" s="9"/>
      <c r="B12542" s="9"/>
    </row>
    <row r="12543">
      <c r="A12543" s="9"/>
      <c r="B12543" s="9"/>
    </row>
    <row r="12544">
      <c r="A12544" s="9"/>
      <c r="B12544" s="9"/>
    </row>
    <row r="12545">
      <c r="A12545" s="9"/>
      <c r="B12545" s="9"/>
    </row>
    <row r="12546">
      <c r="A12546" s="9"/>
      <c r="B12546" s="9"/>
    </row>
    <row r="12547">
      <c r="A12547" s="9"/>
      <c r="B12547" s="9"/>
    </row>
    <row r="12548">
      <c r="A12548" s="9"/>
      <c r="B12548" s="9"/>
    </row>
    <row r="12549">
      <c r="A12549" s="9"/>
      <c r="B12549" s="9"/>
    </row>
    <row r="12550">
      <c r="A12550" s="9"/>
      <c r="B12550" s="9"/>
    </row>
    <row r="12551">
      <c r="A12551" s="9"/>
      <c r="B12551" s="9"/>
    </row>
    <row r="12552">
      <c r="A12552" s="9"/>
      <c r="B12552" s="9"/>
    </row>
    <row r="12553">
      <c r="A12553" s="9"/>
      <c r="B12553" s="9"/>
    </row>
    <row r="12554">
      <c r="A12554" s="9"/>
      <c r="B12554" s="9"/>
    </row>
    <row r="12555">
      <c r="A12555" s="9"/>
      <c r="B12555" s="9"/>
    </row>
    <row r="12556">
      <c r="A12556" s="9"/>
      <c r="B12556" s="9"/>
    </row>
    <row r="12557">
      <c r="A12557" s="9"/>
      <c r="B12557" s="9"/>
    </row>
    <row r="12558">
      <c r="A12558" s="9"/>
      <c r="B12558" s="9"/>
    </row>
    <row r="12559">
      <c r="A12559" s="9"/>
      <c r="B12559" s="9"/>
    </row>
    <row r="12560">
      <c r="A12560" s="9"/>
      <c r="B12560" s="9"/>
    </row>
    <row r="12561">
      <c r="A12561" s="9"/>
      <c r="B12561" s="9"/>
    </row>
    <row r="12562">
      <c r="A12562" s="9"/>
      <c r="B12562" s="9"/>
    </row>
    <row r="12563">
      <c r="A12563" s="9"/>
      <c r="B12563" s="9"/>
    </row>
    <row r="12564">
      <c r="A12564" s="9"/>
      <c r="B12564" s="9"/>
    </row>
    <row r="12565">
      <c r="A12565" s="9"/>
      <c r="B12565" s="9"/>
    </row>
    <row r="12566">
      <c r="A12566" s="9"/>
      <c r="B12566" s="9"/>
    </row>
    <row r="12567">
      <c r="A12567" s="9"/>
      <c r="B12567" s="9"/>
    </row>
    <row r="12568">
      <c r="A12568" s="9"/>
      <c r="B12568" s="9"/>
    </row>
    <row r="12569">
      <c r="A12569" s="9"/>
      <c r="B12569" s="9"/>
    </row>
    <row r="12570">
      <c r="A12570" s="9"/>
      <c r="B12570" s="9"/>
    </row>
    <row r="12571">
      <c r="A12571" s="9"/>
      <c r="B12571" s="9"/>
    </row>
    <row r="12572">
      <c r="A12572" s="9"/>
      <c r="B12572" s="9"/>
    </row>
    <row r="12573">
      <c r="A12573" s="9"/>
      <c r="B12573" s="9"/>
    </row>
    <row r="12574">
      <c r="A12574" s="9"/>
      <c r="B12574" s="9"/>
    </row>
    <row r="12575">
      <c r="A12575" s="9"/>
      <c r="B12575" s="9"/>
    </row>
    <row r="12576">
      <c r="A12576" s="9"/>
      <c r="B12576" s="9"/>
    </row>
    <row r="12577">
      <c r="A12577" s="9"/>
      <c r="B12577" s="9"/>
    </row>
    <row r="12578">
      <c r="A12578" s="9"/>
      <c r="B12578" s="9"/>
    </row>
    <row r="12579">
      <c r="A12579" s="9"/>
      <c r="B12579" s="9"/>
    </row>
    <row r="12580">
      <c r="A12580" s="9"/>
      <c r="B12580" s="9"/>
    </row>
    <row r="12581">
      <c r="A12581" s="9"/>
      <c r="B12581" s="9"/>
    </row>
    <row r="12582">
      <c r="A12582" s="9"/>
      <c r="B12582" s="9"/>
    </row>
    <row r="12583">
      <c r="A12583" s="9"/>
      <c r="B12583" s="9"/>
    </row>
    <row r="12584">
      <c r="A12584" s="9"/>
      <c r="B12584" s="9"/>
    </row>
    <row r="12585">
      <c r="A12585" s="9"/>
      <c r="B12585" s="9"/>
    </row>
    <row r="12586">
      <c r="A12586" s="9"/>
      <c r="B12586" s="9"/>
    </row>
    <row r="12587">
      <c r="A12587" s="9"/>
      <c r="B12587" s="9"/>
    </row>
    <row r="12588">
      <c r="A12588" s="9"/>
      <c r="B12588" s="9"/>
    </row>
    <row r="12589">
      <c r="A12589" s="9"/>
      <c r="B12589" s="9"/>
    </row>
    <row r="12590">
      <c r="A12590" s="9"/>
      <c r="B12590" s="9"/>
    </row>
    <row r="12591">
      <c r="A12591" s="9"/>
      <c r="B12591" s="9"/>
    </row>
    <row r="12592">
      <c r="A12592" s="9"/>
      <c r="B12592" s="9"/>
    </row>
    <row r="12593">
      <c r="A12593" s="9"/>
      <c r="B12593" s="9"/>
    </row>
    <row r="12594">
      <c r="A12594" s="9"/>
      <c r="B12594" s="9"/>
    </row>
    <row r="12595">
      <c r="A12595" s="9"/>
      <c r="B12595" s="9"/>
    </row>
    <row r="12596">
      <c r="A12596" s="9"/>
      <c r="B12596" s="9"/>
    </row>
    <row r="12597">
      <c r="A12597" s="9"/>
      <c r="B12597" s="9"/>
    </row>
    <row r="12598">
      <c r="A12598" s="9"/>
      <c r="B12598" s="9"/>
    </row>
    <row r="12599">
      <c r="A12599" s="9"/>
      <c r="B12599" s="9"/>
    </row>
    <row r="12600">
      <c r="A12600" s="9"/>
      <c r="B12600" s="9"/>
    </row>
    <row r="12601">
      <c r="A12601" s="9"/>
      <c r="B12601" s="9"/>
    </row>
    <row r="12602">
      <c r="A12602" s="9"/>
      <c r="B12602" s="9"/>
    </row>
    <row r="12603">
      <c r="A12603" s="9"/>
      <c r="B12603" s="9"/>
    </row>
    <row r="12604">
      <c r="A12604" s="9"/>
      <c r="B12604" s="9"/>
    </row>
    <row r="12605">
      <c r="A12605" s="9"/>
      <c r="B12605" s="9"/>
    </row>
    <row r="12606">
      <c r="A12606" s="9"/>
      <c r="B12606" s="9"/>
    </row>
    <row r="12607">
      <c r="A12607" s="9"/>
      <c r="B12607" s="9"/>
    </row>
    <row r="12608">
      <c r="A12608" s="9"/>
      <c r="B12608" s="9"/>
    </row>
    <row r="12609">
      <c r="A12609" s="9"/>
      <c r="B12609" s="9"/>
    </row>
    <row r="12610">
      <c r="A12610" s="9"/>
      <c r="B12610" s="9"/>
    </row>
    <row r="12611">
      <c r="A12611" s="9"/>
      <c r="B12611" s="9"/>
    </row>
    <row r="12612">
      <c r="A12612" s="9"/>
      <c r="B12612" s="9"/>
    </row>
    <row r="12613">
      <c r="A12613" s="9"/>
      <c r="B12613" s="9"/>
    </row>
    <row r="12614">
      <c r="A12614" s="9"/>
      <c r="B12614" s="9"/>
    </row>
    <row r="12615">
      <c r="A12615" s="9"/>
      <c r="B12615" s="9"/>
    </row>
    <row r="12616">
      <c r="A12616" s="9"/>
      <c r="B12616" s="9"/>
    </row>
    <row r="12617">
      <c r="A12617" s="9"/>
      <c r="B12617" s="9"/>
    </row>
    <row r="12618">
      <c r="A12618" s="9"/>
      <c r="B12618" s="9"/>
    </row>
    <row r="12619">
      <c r="A12619" s="9"/>
      <c r="B12619" s="9"/>
    </row>
    <row r="12620">
      <c r="A12620" s="9"/>
      <c r="B12620" s="9"/>
    </row>
    <row r="12621">
      <c r="A12621" s="9"/>
      <c r="B12621" s="9"/>
    </row>
    <row r="12622">
      <c r="A12622" s="9"/>
      <c r="B12622" s="9"/>
    </row>
    <row r="12623">
      <c r="A12623" s="9"/>
      <c r="B12623" s="9"/>
    </row>
    <row r="12624">
      <c r="A12624" s="9"/>
      <c r="B12624" s="9"/>
    </row>
    <row r="12625">
      <c r="A12625" s="9"/>
      <c r="B12625" s="9"/>
    </row>
    <row r="12626">
      <c r="A12626" s="9"/>
      <c r="B12626" s="9"/>
    </row>
    <row r="12627">
      <c r="A12627" s="9"/>
      <c r="B12627" s="9"/>
    </row>
    <row r="12628">
      <c r="A12628" s="9"/>
      <c r="B12628" s="9"/>
    </row>
    <row r="12629">
      <c r="A12629" s="9"/>
      <c r="B12629" s="9"/>
    </row>
    <row r="12630">
      <c r="A12630" s="9"/>
      <c r="B12630" s="9"/>
    </row>
    <row r="12631">
      <c r="A12631" s="9"/>
      <c r="B12631" s="9"/>
    </row>
    <row r="12632">
      <c r="A12632" s="9"/>
      <c r="B12632" s="9"/>
    </row>
    <row r="12633">
      <c r="A12633" s="9"/>
      <c r="B12633" s="9"/>
    </row>
    <row r="12634">
      <c r="A12634" s="9"/>
      <c r="B12634" s="9"/>
    </row>
    <row r="12635">
      <c r="A12635" s="9"/>
      <c r="B12635" s="9"/>
    </row>
    <row r="12636">
      <c r="A12636" s="9"/>
      <c r="B12636" s="9"/>
    </row>
    <row r="12637">
      <c r="A12637" s="9"/>
      <c r="B12637" s="9"/>
    </row>
    <row r="12638">
      <c r="A12638" s="9"/>
      <c r="B12638" s="9"/>
    </row>
    <row r="12639">
      <c r="A12639" s="9"/>
      <c r="B12639" s="9"/>
    </row>
    <row r="12640">
      <c r="A12640" s="9"/>
      <c r="B12640" s="9"/>
    </row>
    <row r="12641">
      <c r="A12641" s="9"/>
      <c r="B12641" s="9"/>
    </row>
    <row r="12642">
      <c r="A12642" s="9"/>
      <c r="B12642" s="9"/>
    </row>
    <row r="12643">
      <c r="A12643" s="9"/>
      <c r="B12643" s="9"/>
    </row>
    <row r="12644">
      <c r="A12644" s="9"/>
      <c r="B12644" s="9"/>
    </row>
    <row r="12645">
      <c r="A12645" s="9"/>
      <c r="B12645" s="9"/>
    </row>
    <row r="12646">
      <c r="A12646" s="9"/>
      <c r="B12646" s="9"/>
    </row>
    <row r="12647">
      <c r="A12647" s="9"/>
      <c r="B12647" s="9"/>
    </row>
    <row r="12648">
      <c r="A12648" s="9"/>
      <c r="B12648" s="9"/>
    </row>
    <row r="12649">
      <c r="A12649" s="9"/>
      <c r="B12649" s="9"/>
    </row>
    <row r="12650">
      <c r="A12650" s="9"/>
      <c r="B12650" s="9"/>
    </row>
    <row r="12651">
      <c r="A12651" s="9"/>
      <c r="B12651" s="9"/>
    </row>
    <row r="12652">
      <c r="A12652" s="9"/>
      <c r="B12652" s="9"/>
    </row>
    <row r="12653">
      <c r="A12653" s="9"/>
      <c r="B12653" s="9"/>
    </row>
    <row r="12654">
      <c r="A12654" s="9"/>
      <c r="B12654" s="9"/>
    </row>
    <row r="12655">
      <c r="A12655" s="9"/>
      <c r="B12655" s="9"/>
    </row>
    <row r="12656">
      <c r="A12656" s="9"/>
      <c r="B12656" s="9"/>
    </row>
    <row r="12657">
      <c r="A12657" s="9"/>
      <c r="B12657" s="9"/>
    </row>
    <row r="12658">
      <c r="A12658" s="9"/>
      <c r="B12658" s="9"/>
    </row>
    <row r="12659">
      <c r="A12659" s="9"/>
      <c r="B12659" s="9"/>
    </row>
    <row r="12660">
      <c r="A12660" s="9"/>
      <c r="B12660" s="9"/>
    </row>
    <row r="12661">
      <c r="A12661" s="9"/>
      <c r="B12661" s="9"/>
    </row>
    <row r="12662">
      <c r="A12662" s="9"/>
      <c r="B12662" s="9"/>
    </row>
    <row r="12663">
      <c r="A12663" s="9"/>
      <c r="B12663" s="9"/>
    </row>
    <row r="12664">
      <c r="A12664" s="9"/>
      <c r="B12664" s="9"/>
    </row>
    <row r="12665">
      <c r="A12665" s="9"/>
      <c r="B12665" s="9"/>
    </row>
    <row r="12666">
      <c r="A12666" s="9"/>
      <c r="B12666" s="9"/>
    </row>
    <row r="12667">
      <c r="A12667" s="9"/>
      <c r="B12667" s="9"/>
    </row>
    <row r="12668">
      <c r="A12668" s="9"/>
      <c r="B12668" s="9"/>
    </row>
    <row r="12669">
      <c r="A12669" s="9"/>
      <c r="B12669" s="9"/>
    </row>
    <row r="12670">
      <c r="A12670" s="9"/>
      <c r="B12670" s="9"/>
    </row>
    <row r="12671">
      <c r="A12671" s="9"/>
      <c r="B12671" s="9"/>
    </row>
    <row r="12672">
      <c r="A12672" s="9"/>
      <c r="B12672" s="9"/>
    </row>
    <row r="12673">
      <c r="A12673" s="9"/>
      <c r="B12673" s="9"/>
    </row>
    <row r="12674">
      <c r="A12674" s="9"/>
      <c r="B12674" s="9"/>
    </row>
    <row r="12675">
      <c r="A12675" s="9"/>
      <c r="B12675" s="9"/>
    </row>
    <row r="12676">
      <c r="A12676" s="9"/>
      <c r="B12676" s="9"/>
    </row>
    <row r="12677">
      <c r="A12677" s="9"/>
      <c r="B12677" s="9"/>
    </row>
    <row r="12678">
      <c r="A12678" s="9"/>
      <c r="B12678" s="9"/>
    </row>
    <row r="12679">
      <c r="A12679" s="9"/>
      <c r="B12679" s="9"/>
    </row>
    <row r="12680">
      <c r="A12680" s="9"/>
      <c r="B12680" s="9"/>
    </row>
    <row r="12681">
      <c r="A12681" s="9"/>
      <c r="B12681" s="9"/>
    </row>
    <row r="12682">
      <c r="A12682" s="9"/>
      <c r="B12682" s="9"/>
    </row>
    <row r="12683">
      <c r="A12683" s="9"/>
      <c r="B12683" s="9"/>
    </row>
    <row r="12684">
      <c r="A12684" s="9"/>
      <c r="B12684" s="9"/>
    </row>
    <row r="12685">
      <c r="A12685" s="9"/>
      <c r="B12685" s="9"/>
    </row>
    <row r="12686">
      <c r="A12686" s="9"/>
      <c r="B12686" s="9"/>
    </row>
    <row r="12687">
      <c r="A12687" s="9"/>
      <c r="B12687" s="9"/>
    </row>
    <row r="12688">
      <c r="A12688" s="9"/>
      <c r="B12688" s="9"/>
    </row>
    <row r="12689">
      <c r="A12689" s="9"/>
      <c r="B12689" s="9"/>
    </row>
    <row r="12690">
      <c r="A12690" s="9"/>
      <c r="B12690" s="9"/>
    </row>
    <row r="12691">
      <c r="A12691" s="9"/>
      <c r="B12691" s="9"/>
    </row>
    <row r="12692">
      <c r="A12692" s="9"/>
      <c r="B12692" s="9"/>
    </row>
    <row r="12693">
      <c r="A12693" s="9"/>
      <c r="B12693" s="9"/>
    </row>
    <row r="12694">
      <c r="A12694" s="9"/>
      <c r="B12694" s="9"/>
    </row>
    <row r="12695">
      <c r="A12695" s="9"/>
      <c r="B12695" s="9"/>
    </row>
    <row r="12696">
      <c r="A12696" s="9"/>
      <c r="B12696" s="9"/>
    </row>
    <row r="12697">
      <c r="A12697" s="9"/>
      <c r="B12697" s="9"/>
    </row>
    <row r="12698">
      <c r="A12698" s="9"/>
      <c r="B12698" s="9"/>
    </row>
    <row r="12699">
      <c r="A12699" s="9"/>
      <c r="B12699" s="9"/>
    </row>
    <row r="12700">
      <c r="A12700" s="9"/>
      <c r="B12700" s="9"/>
    </row>
    <row r="12701">
      <c r="A12701" s="9"/>
      <c r="B12701" s="9"/>
    </row>
    <row r="12702">
      <c r="A12702" s="9"/>
      <c r="B12702" s="9"/>
    </row>
    <row r="12703">
      <c r="A12703" s="9"/>
      <c r="B12703" s="9"/>
    </row>
    <row r="12704">
      <c r="A12704" s="9"/>
      <c r="B12704" s="9"/>
    </row>
    <row r="12705">
      <c r="A12705" s="9"/>
      <c r="B12705" s="9"/>
    </row>
    <row r="12706">
      <c r="A12706" s="9"/>
      <c r="B12706" s="9"/>
    </row>
    <row r="12707">
      <c r="A12707" s="9"/>
      <c r="B12707" s="9"/>
    </row>
    <row r="12708">
      <c r="A12708" s="9"/>
      <c r="B12708" s="9"/>
    </row>
    <row r="12709">
      <c r="A12709" s="9"/>
      <c r="B12709" s="9"/>
    </row>
    <row r="12710">
      <c r="A12710" s="9"/>
      <c r="B12710" s="9"/>
    </row>
    <row r="12711">
      <c r="A12711" s="9"/>
      <c r="B12711" s="9"/>
    </row>
    <row r="12712">
      <c r="A12712" s="9"/>
      <c r="B12712" s="9"/>
    </row>
    <row r="12713">
      <c r="A12713" s="9"/>
      <c r="B12713" s="9"/>
    </row>
    <row r="12714">
      <c r="A12714" s="9"/>
      <c r="B12714" s="9"/>
    </row>
    <row r="12715">
      <c r="A12715" s="9"/>
      <c r="B12715" s="9"/>
    </row>
    <row r="12716">
      <c r="A12716" s="9"/>
      <c r="B12716" s="9"/>
    </row>
    <row r="12717">
      <c r="A12717" s="9"/>
      <c r="B12717" s="9"/>
    </row>
    <row r="12718">
      <c r="A12718" s="9"/>
      <c r="B12718" s="9"/>
    </row>
    <row r="12719">
      <c r="A12719" s="9"/>
      <c r="B12719" s="9"/>
    </row>
    <row r="12720">
      <c r="A12720" s="9"/>
      <c r="B12720" s="9"/>
    </row>
    <row r="12721">
      <c r="A12721" s="9"/>
      <c r="B12721" s="9"/>
    </row>
    <row r="12722">
      <c r="A12722" s="9"/>
      <c r="B12722" s="9"/>
    </row>
    <row r="12723">
      <c r="A12723" s="9"/>
      <c r="B12723" s="9"/>
    </row>
    <row r="12724">
      <c r="A12724" s="9"/>
      <c r="B12724" s="9"/>
    </row>
    <row r="12725">
      <c r="A12725" s="9"/>
      <c r="B12725" s="9"/>
    </row>
    <row r="12726">
      <c r="A12726" s="9"/>
      <c r="B12726" s="9"/>
    </row>
    <row r="12727">
      <c r="A12727" s="9"/>
      <c r="B12727" s="9"/>
    </row>
    <row r="12728">
      <c r="A12728" s="9"/>
      <c r="B12728" s="9"/>
    </row>
    <row r="12729">
      <c r="A12729" s="9"/>
      <c r="B12729" s="9"/>
    </row>
    <row r="12730">
      <c r="A12730" s="9"/>
      <c r="B12730" s="9"/>
    </row>
    <row r="12731">
      <c r="A12731" s="9"/>
      <c r="B12731" s="9"/>
    </row>
    <row r="12732">
      <c r="A12732" s="9"/>
      <c r="B12732" s="9"/>
    </row>
    <row r="12733">
      <c r="A12733" s="9"/>
      <c r="B12733" s="9"/>
    </row>
    <row r="12734">
      <c r="A12734" s="9"/>
      <c r="B12734" s="9"/>
    </row>
    <row r="12735">
      <c r="A12735" s="9"/>
      <c r="B12735" s="9"/>
    </row>
    <row r="12736">
      <c r="A12736" s="9"/>
      <c r="B12736" s="9"/>
    </row>
    <row r="12737">
      <c r="A12737" s="9"/>
      <c r="B12737" s="9"/>
    </row>
    <row r="12738">
      <c r="A12738" s="9"/>
      <c r="B12738" s="9"/>
    </row>
    <row r="12739">
      <c r="A12739" s="9"/>
      <c r="B12739" s="9"/>
    </row>
    <row r="12740">
      <c r="A12740" s="9"/>
      <c r="B12740" s="9"/>
    </row>
    <row r="12741">
      <c r="A12741" s="9"/>
      <c r="B12741" s="9"/>
    </row>
    <row r="12742">
      <c r="A12742" s="9"/>
      <c r="B12742" s="9"/>
    </row>
    <row r="12743">
      <c r="A12743" s="9"/>
      <c r="B12743" s="9"/>
    </row>
    <row r="12744">
      <c r="A12744" s="9"/>
      <c r="B12744" s="9"/>
    </row>
    <row r="12745">
      <c r="A12745" s="9"/>
      <c r="B12745" s="9"/>
    </row>
    <row r="12746">
      <c r="A12746" s="9"/>
      <c r="B12746" s="9"/>
    </row>
    <row r="12747">
      <c r="A12747" s="9"/>
      <c r="B12747" s="9"/>
    </row>
    <row r="12748">
      <c r="A12748" s="9"/>
      <c r="B12748" s="9"/>
    </row>
    <row r="12749">
      <c r="A12749" s="9"/>
      <c r="B12749" s="9"/>
    </row>
    <row r="12750">
      <c r="A12750" s="9"/>
      <c r="B12750" s="9"/>
    </row>
    <row r="12751">
      <c r="A12751" s="9"/>
      <c r="B12751" s="9"/>
    </row>
    <row r="12752">
      <c r="A12752" s="9"/>
      <c r="B12752" s="9"/>
    </row>
    <row r="12753">
      <c r="A12753" s="9"/>
      <c r="B12753" s="9"/>
    </row>
    <row r="12754">
      <c r="A12754" s="9"/>
      <c r="B12754" s="9"/>
    </row>
    <row r="12755">
      <c r="A12755" s="9"/>
      <c r="B12755" s="9"/>
    </row>
    <row r="12756">
      <c r="A12756" s="9"/>
      <c r="B12756" s="9"/>
    </row>
    <row r="12757">
      <c r="A12757" s="9"/>
      <c r="B12757" s="9"/>
    </row>
    <row r="12758">
      <c r="A12758" s="9"/>
      <c r="B12758" s="9"/>
    </row>
    <row r="12759">
      <c r="A12759" s="9"/>
      <c r="B12759" s="9"/>
    </row>
    <row r="12760">
      <c r="A12760" s="9"/>
      <c r="B12760" s="9"/>
    </row>
    <row r="12761">
      <c r="A12761" s="9"/>
      <c r="B12761" s="9"/>
    </row>
    <row r="12762">
      <c r="A12762" s="9"/>
      <c r="B12762" s="9"/>
    </row>
    <row r="12763">
      <c r="A12763" s="9"/>
      <c r="B12763" s="9"/>
    </row>
    <row r="12764">
      <c r="A12764" s="9"/>
      <c r="B12764" s="9"/>
    </row>
    <row r="12765">
      <c r="A12765" s="9"/>
      <c r="B12765" s="9"/>
    </row>
    <row r="12766">
      <c r="A12766" s="9"/>
      <c r="B12766" s="9"/>
    </row>
    <row r="12767">
      <c r="A12767" s="9"/>
      <c r="B12767" s="9"/>
    </row>
    <row r="12768">
      <c r="A12768" s="9"/>
      <c r="B12768" s="9"/>
    </row>
    <row r="12769">
      <c r="A12769" s="9"/>
      <c r="B12769" s="9"/>
    </row>
    <row r="12770">
      <c r="A12770" s="9"/>
      <c r="B12770" s="9"/>
    </row>
    <row r="12771">
      <c r="A12771" s="9"/>
      <c r="B12771" s="9"/>
    </row>
    <row r="12772">
      <c r="A12772" s="9"/>
      <c r="B12772" s="9"/>
    </row>
    <row r="12773">
      <c r="A12773" s="9"/>
      <c r="B12773" s="9"/>
    </row>
    <row r="12774">
      <c r="A12774" s="9"/>
      <c r="B12774" s="9"/>
    </row>
    <row r="12775">
      <c r="A12775" s="9"/>
      <c r="B12775" s="9"/>
    </row>
    <row r="12776">
      <c r="A12776" s="9"/>
      <c r="B12776" s="9"/>
    </row>
    <row r="12777">
      <c r="A12777" s="9"/>
      <c r="B12777" s="9"/>
    </row>
    <row r="12778">
      <c r="A12778" s="9"/>
      <c r="B12778" s="9"/>
    </row>
    <row r="12779">
      <c r="A12779" s="9"/>
      <c r="B12779" s="9"/>
    </row>
    <row r="12780">
      <c r="A12780" s="9"/>
      <c r="B12780" s="9"/>
    </row>
    <row r="12781">
      <c r="A12781" s="9"/>
      <c r="B12781" s="9"/>
    </row>
    <row r="12782">
      <c r="A12782" s="9"/>
      <c r="B12782" s="9"/>
    </row>
    <row r="12783">
      <c r="A12783" s="9"/>
      <c r="B12783" s="9"/>
    </row>
    <row r="12784">
      <c r="A12784" s="9"/>
      <c r="B12784" s="9"/>
    </row>
    <row r="12785">
      <c r="A12785" s="9"/>
      <c r="B12785" s="9"/>
    </row>
    <row r="12786">
      <c r="A12786" s="9"/>
      <c r="B12786" s="9"/>
    </row>
    <row r="12787">
      <c r="A12787" s="9"/>
      <c r="B12787" s="9"/>
    </row>
    <row r="12788">
      <c r="A12788" s="9"/>
      <c r="B12788" s="9"/>
    </row>
    <row r="12789">
      <c r="A12789" s="9"/>
      <c r="B12789" s="9"/>
    </row>
    <row r="12790">
      <c r="A12790" s="9"/>
      <c r="B12790" s="9"/>
    </row>
    <row r="12791">
      <c r="A12791" s="9"/>
      <c r="B12791" s="9"/>
    </row>
    <row r="12792">
      <c r="A12792" s="9"/>
      <c r="B12792" s="9"/>
    </row>
    <row r="12793">
      <c r="A12793" s="9"/>
      <c r="B12793" s="9"/>
    </row>
    <row r="12794">
      <c r="A12794" s="9"/>
      <c r="B12794" s="9"/>
    </row>
    <row r="12795">
      <c r="A12795" s="9"/>
      <c r="B12795" s="9"/>
    </row>
    <row r="12796">
      <c r="A12796" s="9"/>
      <c r="B12796" s="9"/>
    </row>
    <row r="12797">
      <c r="A12797" s="9"/>
      <c r="B12797" s="9"/>
    </row>
    <row r="12798">
      <c r="A12798" s="9"/>
      <c r="B12798" s="9"/>
    </row>
    <row r="12799">
      <c r="A12799" s="9"/>
      <c r="B12799" s="9"/>
    </row>
    <row r="12800">
      <c r="A12800" s="9"/>
      <c r="B12800" s="9"/>
    </row>
    <row r="12801">
      <c r="A12801" s="9"/>
      <c r="B12801" s="9"/>
    </row>
    <row r="12802">
      <c r="A12802" s="9"/>
      <c r="B12802" s="9"/>
    </row>
    <row r="12803">
      <c r="A12803" s="9"/>
      <c r="B12803" s="9"/>
    </row>
    <row r="12804">
      <c r="A12804" s="9"/>
      <c r="B12804" s="9"/>
    </row>
    <row r="12805">
      <c r="A12805" s="9"/>
      <c r="B12805" s="9"/>
    </row>
    <row r="12806">
      <c r="A12806" s="9"/>
      <c r="B12806" s="9"/>
    </row>
    <row r="12807">
      <c r="A12807" s="9"/>
      <c r="B12807" s="9"/>
    </row>
    <row r="12808">
      <c r="A12808" s="9"/>
      <c r="B12808" s="9"/>
    </row>
    <row r="12809">
      <c r="A12809" s="9"/>
      <c r="B12809" s="9"/>
    </row>
    <row r="12810">
      <c r="A12810" s="9"/>
      <c r="B12810" s="9"/>
    </row>
    <row r="12811">
      <c r="A12811" s="9"/>
      <c r="B12811" s="9"/>
    </row>
    <row r="12812">
      <c r="A12812" s="9"/>
      <c r="B12812" s="9"/>
    </row>
    <row r="12813">
      <c r="A12813" s="9"/>
      <c r="B12813" s="9"/>
    </row>
    <row r="12814">
      <c r="A12814" s="9"/>
      <c r="B12814" s="9"/>
    </row>
    <row r="12815">
      <c r="A12815" s="9"/>
      <c r="B12815" s="9"/>
    </row>
    <row r="12816">
      <c r="A12816" s="9"/>
      <c r="B12816" s="9"/>
    </row>
    <row r="12817">
      <c r="A12817" s="9"/>
      <c r="B12817" s="9"/>
    </row>
    <row r="12818">
      <c r="A12818" s="9"/>
      <c r="B12818" s="9"/>
    </row>
    <row r="12819">
      <c r="A12819" s="9"/>
      <c r="B12819" s="9"/>
    </row>
    <row r="12820">
      <c r="A12820" s="9"/>
      <c r="B12820" s="9"/>
    </row>
    <row r="12821">
      <c r="A12821" s="9"/>
      <c r="B12821" s="9"/>
    </row>
    <row r="12822">
      <c r="A12822" s="9"/>
      <c r="B12822" s="9"/>
    </row>
    <row r="12823">
      <c r="A12823" s="9"/>
      <c r="B12823" s="9"/>
    </row>
    <row r="12824">
      <c r="A12824" s="9"/>
      <c r="B12824" s="9"/>
    </row>
    <row r="12825">
      <c r="A12825" s="9"/>
      <c r="B12825" s="9"/>
    </row>
    <row r="12826">
      <c r="A12826" s="9"/>
      <c r="B12826" s="9"/>
    </row>
    <row r="12827">
      <c r="A12827" s="9"/>
      <c r="B12827" s="9"/>
    </row>
    <row r="12828">
      <c r="A12828" s="9"/>
      <c r="B12828" s="9"/>
    </row>
    <row r="12829">
      <c r="A12829" s="9"/>
      <c r="B12829" s="9"/>
    </row>
    <row r="12830">
      <c r="A12830" s="9"/>
      <c r="B12830" s="9"/>
    </row>
    <row r="12831">
      <c r="A12831" s="9"/>
      <c r="B12831" s="9"/>
    </row>
    <row r="12832">
      <c r="A12832" s="9"/>
      <c r="B12832" s="9"/>
    </row>
    <row r="12833">
      <c r="A12833" s="9"/>
      <c r="B12833" s="9"/>
    </row>
    <row r="12834">
      <c r="A12834" s="9"/>
      <c r="B12834" s="9"/>
    </row>
    <row r="12835">
      <c r="A12835" s="9"/>
      <c r="B12835" s="9"/>
    </row>
    <row r="12836">
      <c r="A12836" s="9"/>
      <c r="B12836" s="9"/>
    </row>
    <row r="12837">
      <c r="A12837" s="9"/>
      <c r="B12837" s="9"/>
    </row>
    <row r="12838">
      <c r="A12838" s="9"/>
      <c r="B12838" s="9"/>
    </row>
    <row r="12839">
      <c r="A12839" s="9"/>
      <c r="B12839" s="9"/>
    </row>
    <row r="12840">
      <c r="A12840" s="9"/>
      <c r="B12840" s="9"/>
    </row>
    <row r="12841">
      <c r="A12841" s="9"/>
      <c r="B12841" s="9"/>
    </row>
    <row r="12842">
      <c r="A12842" s="9"/>
      <c r="B12842" s="9"/>
    </row>
    <row r="12843">
      <c r="A12843" s="9"/>
      <c r="B12843" s="9"/>
    </row>
    <row r="12844">
      <c r="A12844" s="9"/>
      <c r="B12844" s="9"/>
    </row>
    <row r="12845">
      <c r="A12845" s="9"/>
      <c r="B12845" s="9"/>
    </row>
    <row r="12846">
      <c r="A12846" s="9"/>
      <c r="B12846" s="9"/>
    </row>
    <row r="12847">
      <c r="A12847" s="9"/>
      <c r="B12847" s="9"/>
    </row>
    <row r="12848">
      <c r="A12848" s="9"/>
      <c r="B12848" s="9"/>
    </row>
    <row r="12849">
      <c r="A12849" s="9"/>
      <c r="B12849" s="9"/>
    </row>
    <row r="12850">
      <c r="A12850" s="9"/>
      <c r="B12850" s="9"/>
    </row>
    <row r="12851">
      <c r="A12851" s="9"/>
      <c r="B12851" s="9"/>
    </row>
    <row r="12852">
      <c r="A12852" s="9"/>
      <c r="B12852" s="9"/>
    </row>
    <row r="12853">
      <c r="A12853" s="9"/>
      <c r="B12853" s="9"/>
    </row>
    <row r="12854">
      <c r="A12854" s="9"/>
      <c r="B12854" s="9"/>
    </row>
    <row r="12855">
      <c r="A12855" s="9"/>
      <c r="B12855" s="9"/>
    </row>
    <row r="12856">
      <c r="A12856" s="9"/>
      <c r="B12856" s="9"/>
    </row>
    <row r="12857">
      <c r="A12857" s="9"/>
      <c r="B12857" s="9"/>
    </row>
    <row r="12858">
      <c r="A12858" s="9"/>
      <c r="B12858" s="9"/>
    </row>
    <row r="12859">
      <c r="A12859" s="9"/>
      <c r="B12859" s="9"/>
    </row>
    <row r="12860">
      <c r="A12860" s="9"/>
      <c r="B12860" s="9"/>
    </row>
    <row r="12861">
      <c r="A12861" s="9"/>
      <c r="B12861" s="9"/>
    </row>
    <row r="12862">
      <c r="A12862" s="9"/>
      <c r="B12862" s="9"/>
    </row>
    <row r="12863">
      <c r="A12863" s="9"/>
      <c r="B12863" s="9"/>
    </row>
    <row r="12864">
      <c r="A12864" s="9"/>
      <c r="B12864" s="9"/>
    </row>
    <row r="12865">
      <c r="A12865" s="9"/>
      <c r="B12865" s="9"/>
    </row>
    <row r="12866">
      <c r="A12866" s="9"/>
      <c r="B12866" s="9"/>
    </row>
    <row r="12867">
      <c r="A12867" s="9"/>
      <c r="B12867" s="9"/>
    </row>
    <row r="12868">
      <c r="A12868" s="9"/>
      <c r="B12868" s="9"/>
    </row>
    <row r="12869">
      <c r="A12869" s="9"/>
      <c r="B12869" s="9"/>
    </row>
    <row r="12870">
      <c r="A12870" s="9"/>
      <c r="B12870" s="9"/>
    </row>
    <row r="12871">
      <c r="A12871" s="9"/>
      <c r="B12871" s="9"/>
    </row>
    <row r="12872">
      <c r="A12872" s="9"/>
      <c r="B12872" s="9"/>
    </row>
    <row r="12873">
      <c r="A12873" s="9"/>
      <c r="B12873" s="9"/>
    </row>
    <row r="12874">
      <c r="A12874" s="9"/>
      <c r="B12874" s="9"/>
    </row>
    <row r="12875">
      <c r="A12875" s="9"/>
      <c r="B12875" s="9"/>
    </row>
    <row r="12876">
      <c r="A12876" s="9"/>
      <c r="B12876" s="9"/>
    </row>
    <row r="12877">
      <c r="A12877" s="9"/>
      <c r="B12877" s="9"/>
    </row>
    <row r="12878">
      <c r="A12878" s="9"/>
      <c r="B12878" s="9"/>
    </row>
    <row r="12879">
      <c r="A12879" s="9"/>
      <c r="B12879" s="9"/>
    </row>
    <row r="12880">
      <c r="A12880" s="9"/>
      <c r="B12880" s="9"/>
    </row>
    <row r="12881">
      <c r="A12881" s="9"/>
      <c r="B12881" s="9"/>
    </row>
    <row r="12882">
      <c r="A12882" s="9"/>
      <c r="B12882" s="9"/>
    </row>
    <row r="12883">
      <c r="A12883" s="9"/>
      <c r="B12883" s="9"/>
    </row>
    <row r="12884">
      <c r="A12884" s="9"/>
      <c r="B12884" s="9"/>
    </row>
    <row r="12885">
      <c r="A12885" s="9"/>
      <c r="B12885" s="9"/>
    </row>
    <row r="12886">
      <c r="A12886" s="9"/>
      <c r="B12886" s="9"/>
    </row>
    <row r="12887">
      <c r="A12887" s="9"/>
      <c r="B12887" s="9"/>
    </row>
    <row r="12888">
      <c r="A12888" s="9"/>
      <c r="B12888" s="9"/>
    </row>
    <row r="12889">
      <c r="A12889" s="9"/>
      <c r="B12889" s="9"/>
    </row>
    <row r="12890">
      <c r="A12890" s="9"/>
      <c r="B12890" s="9"/>
    </row>
    <row r="12891">
      <c r="A12891" s="9"/>
      <c r="B12891" s="9"/>
    </row>
    <row r="12892">
      <c r="A12892" s="9"/>
      <c r="B12892" s="9"/>
    </row>
    <row r="12893">
      <c r="A12893" s="9"/>
      <c r="B12893" s="9"/>
    </row>
    <row r="12894">
      <c r="A12894" s="9"/>
      <c r="B12894" s="9"/>
    </row>
    <row r="12895">
      <c r="A12895" s="9"/>
      <c r="B12895" s="9"/>
    </row>
    <row r="12896">
      <c r="A12896" s="9"/>
      <c r="B12896" s="9"/>
    </row>
    <row r="12897">
      <c r="A12897" s="9"/>
      <c r="B12897" s="9"/>
    </row>
    <row r="12898">
      <c r="A12898" s="9"/>
      <c r="B12898" s="9"/>
    </row>
    <row r="12899">
      <c r="A12899" s="9"/>
      <c r="B12899" s="9"/>
    </row>
    <row r="12900">
      <c r="A12900" s="9"/>
      <c r="B12900" s="9"/>
    </row>
    <row r="12901">
      <c r="A12901" s="9"/>
      <c r="B12901" s="9"/>
    </row>
    <row r="12902">
      <c r="A12902" s="9"/>
      <c r="B12902" s="9"/>
    </row>
    <row r="12903">
      <c r="A12903" s="9"/>
      <c r="B12903" s="9"/>
    </row>
    <row r="12904">
      <c r="A12904" s="9"/>
      <c r="B12904" s="9"/>
    </row>
    <row r="12905">
      <c r="A12905" s="9"/>
      <c r="B12905" s="9"/>
    </row>
    <row r="12906">
      <c r="A12906" s="9"/>
      <c r="B12906" s="9"/>
    </row>
    <row r="12907">
      <c r="A12907" s="9"/>
      <c r="B12907" s="9"/>
    </row>
    <row r="12908">
      <c r="A12908" s="9"/>
      <c r="B12908" s="9"/>
    </row>
    <row r="12909">
      <c r="A12909" s="9"/>
      <c r="B12909" s="9"/>
    </row>
    <row r="12910">
      <c r="A12910" s="9"/>
      <c r="B12910" s="9"/>
    </row>
    <row r="12911">
      <c r="A12911" s="9"/>
      <c r="B12911" s="9"/>
    </row>
    <row r="12912">
      <c r="A12912" s="9"/>
      <c r="B12912" s="9"/>
    </row>
    <row r="12913">
      <c r="A12913" s="9"/>
      <c r="B12913" s="9"/>
    </row>
    <row r="12914">
      <c r="A12914" s="9"/>
      <c r="B12914" s="9"/>
    </row>
    <row r="12915">
      <c r="A12915" s="9"/>
      <c r="B12915" s="9"/>
    </row>
    <row r="12916">
      <c r="A12916" s="9"/>
      <c r="B12916" s="9"/>
    </row>
    <row r="12917">
      <c r="A12917" s="9"/>
      <c r="B12917" s="9"/>
    </row>
    <row r="12918">
      <c r="A12918" s="9"/>
      <c r="B12918" s="9"/>
    </row>
    <row r="12919">
      <c r="A12919" s="9"/>
      <c r="B12919" s="9"/>
    </row>
    <row r="12920">
      <c r="A12920" s="9"/>
      <c r="B12920" s="9"/>
    </row>
    <row r="12921">
      <c r="A12921" s="9"/>
      <c r="B12921" s="9"/>
    </row>
    <row r="12922">
      <c r="A12922" s="9"/>
      <c r="B12922" s="9"/>
    </row>
    <row r="12923">
      <c r="A12923" s="9"/>
      <c r="B12923" s="9"/>
    </row>
    <row r="12924">
      <c r="A12924" s="9"/>
      <c r="B12924" s="9"/>
    </row>
    <row r="12925">
      <c r="A12925" s="9"/>
      <c r="B12925" s="9"/>
    </row>
    <row r="12926">
      <c r="A12926" s="9"/>
      <c r="B12926" s="9"/>
    </row>
    <row r="12927">
      <c r="A12927" s="9"/>
      <c r="B12927" s="9"/>
    </row>
    <row r="12928">
      <c r="A12928" s="9"/>
      <c r="B12928" s="9"/>
    </row>
    <row r="12929">
      <c r="A12929" s="9"/>
      <c r="B12929" s="9"/>
    </row>
    <row r="12930">
      <c r="A12930" s="9"/>
      <c r="B12930" s="9"/>
    </row>
    <row r="12931">
      <c r="A12931" s="9"/>
      <c r="B12931" s="9"/>
    </row>
    <row r="12932">
      <c r="A12932" s="9"/>
      <c r="B12932" s="9"/>
    </row>
    <row r="12933">
      <c r="A12933" s="9"/>
      <c r="B12933" s="9"/>
    </row>
    <row r="12934">
      <c r="A12934" s="9"/>
      <c r="B12934" s="9"/>
    </row>
    <row r="12935">
      <c r="A12935" s="9"/>
      <c r="B12935" s="9"/>
    </row>
    <row r="12936">
      <c r="A12936" s="9"/>
      <c r="B12936" s="9"/>
    </row>
    <row r="12937">
      <c r="A12937" s="9"/>
      <c r="B12937" s="9"/>
    </row>
    <row r="12938">
      <c r="A12938" s="9"/>
      <c r="B12938" s="9"/>
    </row>
    <row r="12939">
      <c r="A12939" s="9"/>
      <c r="B12939" s="9"/>
    </row>
    <row r="12940">
      <c r="A12940" s="9"/>
      <c r="B12940" s="9"/>
    </row>
    <row r="12941">
      <c r="A12941" s="9"/>
      <c r="B12941" s="9"/>
    </row>
    <row r="12942">
      <c r="A12942" s="9"/>
      <c r="B12942" s="9"/>
    </row>
    <row r="12943">
      <c r="A12943" s="9"/>
      <c r="B12943" s="9"/>
    </row>
    <row r="12944">
      <c r="A12944" s="9"/>
      <c r="B12944" s="9"/>
    </row>
    <row r="12945">
      <c r="A12945" s="9"/>
      <c r="B12945" s="9"/>
    </row>
    <row r="12946">
      <c r="A12946" s="9"/>
      <c r="B12946" s="9"/>
    </row>
    <row r="12947">
      <c r="A12947" s="9"/>
      <c r="B12947" s="9"/>
    </row>
    <row r="12948">
      <c r="A12948" s="9"/>
      <c r="B12948" s="9"/>
    </row>
    <row r="12949">
      <c r="A12949" s="9"/>
      <c r="B12949" s="9"/>
    </row>
    <row r="12950">
      <c r="A12950" s="9"/>
      <c r="B12950" s="9"/>
    </row>
    <row r="12951">
      <c r="A12951" s="9"/>
      <c r="B12951" s="9"/>
    </row>
    <row r="12952">
      <c r="A12952" s="9"/>
      <c r="B12952" s="9"/>
    </row>
    <row r="12953">
      <c r="A12953" s="9"/>
      <c r="B12953" s="9"/>
    </row>
    <row r="12954">
      <c r="A12954" s="9"/>
      <c r="B12954" s="9"/>
    </row>
    <row r="12955">
      <c r="A12955" s="9"/>
      <c r="B12955" s="9"/>
    </row>
    <row r="12956">
      <c r="A12956" s="9"/>
      <c r="B12956" s="9"/>
    </row>
    <row r="12957">
      <c r="A12957" s="9"/>
      <c r="B12957" s="9"/>
    </row>
    <row r="12958">
      <c r="A12958" s="9"/>
      <c r="B12958" s="9"/>
    </row>
    <row r="12959">
      <c r="A12959" s="9"/>
      <c r="B12959" s="9"/>
    </row>
    <row r="12960">
      <c r="A12960" s="9"/>
      <c r="B12960" s="9"/>
    </row>
    <row r="12961">
      <c r="A12961" s="9"/>
      <c r="B12961" s="9"/>
    </row>
    <row r="12962">
      <c r="A12962" s="9"/>
      <c r="B12962" s="9"/>
    </row>
    <row r="12963">
      <c r="A12963" s="9"/>
      <c r="B12963" s="9"/>
    </row>
    <row r="12964">
      <c r="A12964" s="9"/>
      <c r="B12964" s="9"/>
    </row>
    <row r="12965">
      <c r="A12965" s="9"/>
      <c r="B12965" s="9"/>
    </row>
    <row r="12966">
      <c r="A12966" s="9"/>
      <c r="B12966" s="9"/>
    </row>
    <row r="12967">
      <c r="A12967" s="9"/>
      <c r="B12967" s="9"/>
    </row>
    <row r="12968">
      <c r="A12968" s="9"/>
      <c r="B12968" s="9"/>
    </row>
    <row r="12969">
      <c r="A12969" s="9"/>
      <c r="B12969" s="9"/>
    </row>
    <row r="12970">
      <c r="A12970" s="9"/>
      <c r="B12970" s="9"/>
    </row>
    <row r="12971">
      <c r="A12971" s="9"/>
      <c r="B12971" s="9"/>
    </row>
    <row r="12972">
      <c r="A12972" s="9"/>
      <c r="B12972" s="9"/>
    </row>
    <row r="12973">
      <c r="A12973" s="9"/>
      <c r="B12973" s="9"/>
    </row>
    <row r="12974">
      <c r="A12974" s="9"/>
      <c r="B12974" s="9"/>
    </row>
    <row r="12975">
      <c r="A12975" s="9"/>
      <c r="B12975" s="9"/>
    </row>
    <row r="12976">
      <c r="A12976" s="9"/>
      <c r="B12976" s="9"/>
    </row>
    <row r="12977">
      <c r="A12977" s="9"/>
      <c r="B12977" s="9"/>
    </row>
    <row r="12978">
      <c r="A12978" s="9"/>
      <c r="B12978" s="9"/>
    </row>
    <row r="12979">
      <c r="A12979" s="9"/>
      <c r="B12979" s="9"/>
    </row>
    <row r="12980">
      <c r="A12980" s="9"/>
      <c r="B12980" s="9"/>
    </row>
    <row r="12981">
      <c r="A12981" s="9"/>
      <c r="B12981" s="9"/>
    </row>
    <row r="12982">
      <c r="A12982" s="9"/>
      <c r="B12982" s="9"/>
    </row>
    <row r="12983">
      <c r="A12983" s="9"/>
      <c r="B12983" s="9"/>
    </row>
    <row r="12984">
      <c r="A12984" s="9"/>
      <c r="B12984" s="9"/>
    </row>
    <row r="12985">
      <c r="A12985" s="9"/>
      <c r="B12985" s="9"/>
    </row>
    <row r="12986">
      <c r="A12986" s="9"/>
      <c r="B12986" s="9"/>
    </row>
    <row r="12987">
      <c r="A12987" s="9"/>
      <c r="B12987" s="9"/>
    </row>
    <row r="12988">
      <c r="A12988" s="9"/>
      <c r="B12988" s="9"/>
    </row>
    <row r="12989">
      <c r="A12989" s="9"/>
      <c r="B12989" s="9"/>
    </row>
    <row r="12990">
      <c r="A12990" s="9"/>
      <c r="B12990" s="9"/>
    </row>
    <row r="12991">
      <c r="A12991" s="9"/>
      <c r="B12991" s="9"/>
    </row>
    <row r="12992">
      <c r="A12992" s="9"/>
      <c r="B12992" s="9"/>
    </row>
    <row r="12993">
      <c r="A12993" s="9"/>
      <c r="B12993" s="9"/>
    </row>
    <row r="12994">
      <c r="A12994" s="9"/>
      <c r="B12994" s="9"/>
    </row>
    <row r="12995">
      <c r="A12995" s="9"/>
      <c r="B12995" s="9"/>
    </row>
    <row r="12996">
      <c r="A12996" s="9"/>
      <c r="B12996" s="9"/>
    </row>
    <row r="12997">
      <c r="A12997" s="9"/>
      <c r="B12997" s="9"/>
    </row>
    <row r="12998">
      <c r="A12998" s="9"/>
      <c r="B12998" s="9"/>
    </row>
    <row r="12999">
      <c r="A12999" s="9"/>
      <c r="B12999" s="9"/>
    </row>
    <row r="13000">
      <c r="A13000" s="9"/>
      <c r="B13000" s="9"/>
    </row>
    <row r="13001">
      <c r="A13001" s="9"/>
      <c r="B13001" s="9"/>
    </row>
    <row r="13002">
      <c r="A13002" s="9"/>
      <c r="B13002" s="9"/>
    </row>
    <row r="13003">
      <c r="A13003" s="9"/>
      <c r="B13003" s="9"/>
    </row>
    <row r="13004">
      <c r="A13004" s="9"/>
      <c r="B13004" s="9"/>
    </row>
    <row r="13005">
      <c r="A13005" s="9"/>
      <c r="B13005" s="9"/>
    </row>
    <row r="13006">
      <c r="A13006" s="9"/>
      <c r="B13006" s="9"/>
    </row>
    <row r="13007">
      <c r="A13007" s="9"/>
      <c r="B13007" s="9"/>
    </row>
    <row r="13008">
      <c r="A13008" s="9"/>
      <c r="B13008" s="9"/>
    </row>
    <row r="13009">
      <c r="A13009" s="9"/>
      <c r="B13009" s="9"/>
    </row>
    <row r="13010">
      <c r="A13010" s="9"/>
      <c r="B13010" s="9"/>
    </row>
    <row r="13011">
      <c r="A13011" s="9"/>
      <c r="B13011" s="9"/>
    </row>
    <row r="13012">
      <c r="A13012" s="9"/>
      <c r="B13012" s="9"/>
    </row>
    <row r="13013">
      <c r="A13013" s="9"/>
      <c r="B13013" s="9"/>
    </row>
    <row r="13014">
      <c r="A13014" s="9"/>
      <c r="B13014" s="9"/>
    </row>
    <row r="13015">
      <c r="A13015" s="9"/>
      <c r="B13015" s="9"/>
    </row>
    <row r="13016">
      <c r="A13016" s="9"/>
      <c r="B13016" s="9"/>
    </row>
    <row r="13017">
      <c r="A13017" s="9"/>
      <c r="B13017" s="9"/>
    </row>
    <row r="13018">
      <c r="A13018" s="9"/>
      <c r="B13018" s="9"/>
    </row>
    <row r="13019">
      <c r="A13019" s="9"/>
      <c r="B13019" s="9"/>
    </row>
    <row r="13020">
      <c r="A13020" s="9"/>
      <c r="B13020" s="9"/>
    </row>
    <row r="13021">
      <c r="A13021" s="9"/>
      <c r="B13021" s="9"/>
    </row>
    <row r="13022">
      <c r="A13022" s="9"/>
      <c r="B13022" s="9"/>
    </row>
    <row r="13023">
      <c r="A13023" s="9"/>
      <c r="B13023" s="9"/>
    </row>
    <row r="13024">
      <c r="A13024" s="9"/>
      <c r="B13024" s="9"/>
    </row>
    <row r="13025">
      <c r="A13025" s="9"/>
      <c r="B13025" s="9"/>
    </row>
    <row r="13026">
      <c r="A13026" s="9"/>
      <c r="B13026" s="9"/>
    </row>
    <row r="13027">
      <c r="A13027" s="9"/>
      <c r="B13027" s="9"/>
    </row>
    <row r="13028">
      <c r="A13028" s="9"/>
      <c r="B13028" s="9"/>
    </row>
    <row r="13029">
      <c r="A13029" s="9"/>
      <c r="B13029" s="9"/>
    </row>
    <row r="13030">
      <c r="A13030" s="9"/>
      <c r="B13030" s="9"/>
    </row>
    <row r="13031">
      <c r="A13031" s="9"/>
      <c r="B13031" s="9"/>
    </row>
    <row r="13032">
      <c r="A13032" s="9"/>
      <c r="B13032" s="9"/>
    </row>
    <row r="13033">
      <c r="A13033" s="9"/>
      <c r="B13033" s="9"/>
    </row>
    <row r="13034">
      <c r="A13034" s="9"/>
      <c r="B13034" s="9"/>
    </row>
    <row r="13035">
      <c r="A13035" s="9"/>
      <c r="B13035" s="9"/>
    </row>
    <row r="13036">
      <c r="A13036" s="9"/>
      <c r="B13036" s="9"/>
    </row>
    <row r="13037">
      <c r="A13037" s="9"/>
      <c r="B13037" s="9"/>
    </row>
    <row r="13038">
      <c r="A13038" s="9"/>
      <c r="B13038" s="9"/>
    </row>
    <row r="13039">
      <c r="A13039" s="9"/>
      <c r="B13039" s="9"/>
    </row>
    <row r="13040">
      <c r="A13040" s="9"/>
      <c r="B13040" s="9"/>
    </row>
    <row r="13041">
      <c r="A13041" s="9"/>
      <c r="B13041" s="9"/>
    </row>
    <row r="13042">
      <c r="A13042" s="9"/>
      <c r="B13042" s="9"/>
    </row>
    <row r="13043">
      <c r="A13043" s="9"/>
      <c r="B13043" s="9"/>
    </row>
    <row r="13044">
      <c r="A13044" s="9"/>
      <c r="B13044" s="9"/>
    </row>
    <row r="13045">
      <c r="A13045" s="9"/>
      <c r="B13045" s="9"/>
    </row>
    <row r="13046">
      <c r="A13046" s="9"/>
      <c r="B13046" s="9"/>
    </row>
    <row r="13047">
      <c r="A13047" s="9"/>
      <c r="B13047" s="9"/>
    </row>
    <row r="13048">
      <c r="A13048" s="9"/>
      <c r="B13048" s="9"/>
    </row>
    <row r="13049">
      <c r="A13049" s="9"/>
      <c r="B13049" s="9"/>
    </row>
    <row r="13050">
      <c r="A13050" s="9"/>
      <c r="B13050" s="9"/>
    </row>
    <row r="13051">
      <c r="A13051" s="9"/>
      <c r="B13051" s="9"/>
    </row>
    <row r="13052">
      <c r="A13052" s="9"/>
      <c r="B13052" s="9"/>
    </row>
    <row r="13053">
      <c r="A13053" s="9"/>
      <c r="B13053" s="9"/>
    </row>
    <row r="13054">
      <c r="A13054" s="9"/>
      <c r="B13054" s="9"/>
    </row>
    <row r="13055">
      <c r="A13055" s="9"/>
      <c r="B13055" s="9"/>
    </row>
    <row r="13056">
      <c r="A13056" s="9"/>
      <c r="B13056" s="9"/>
    </row>
    <row r="13057">
      <c r="A13057" s="9"/>
      <c r="B13057" s="9"/>
    </row>
    <row r="13058">
      <c r="A13058" s="9"/>
      <c r="B13058" s="9"/>
    </row>
    <row r="13059">
      <c r="A13059" s="9"/>
      <c r="B13059" s="9"/>
    </row>
    <row r="13060">
      <c r="A13060" s="9"/>
      <c r="B13060" s="9"/>
    </row>
    <row r="13061">
      <c r="A13061" s="9"/>
      <c r="B13061" s="9"/>
    </row>
    <row r="13062">
      <c r="A13062" s="9"/>
      <c r="B13062" s="9"/>
    </row>
    <row r="13063">
      <c r="A13063" s="9"/>
      <c r="B13063" s="9"/>
    </row>
    <row r="13064">
      <c r="A13064" s="9"/>
      <c r="B13064" s="9"/>
    </row>
    <row r="13065">
      <c r="A13065" s="9"/>
      <c r="B13065" s="9"/>
    </row>
    <row r="13066">
      <c r="A13066" s="9"/>
      <c r="B13066" s="9"/>
    </row>
    <row r="13067">
      <c r="A13067" s="9"/>
      <c r="B13067" s="9"/>
    </row>
    <row r="13068">
      <c r="A13068" s="9"/>
      <c r="B13068" s="9"/>
    </row>
    <row r="13069">
      <c r="A13069" s="9"/>
      <c r="B13069" s="9"/>
    </row>
    <row r="13070">
      <c r="A13070" s="9"/>
      <c r="B13070" s="9"/>
    </row>
    <row r="13071">
      <c r="A13071" s="9"/>
      <c r="B13071" s="9"/>
    </row>
    <row r="13072">
      <c r="A13072" s="9"/>
      <c r="B13072" s="9"/>
    </row>
    <row r="13073">
      <c r="A13073" s="9"/>
      <c r="B13073" s="9"/>
    </row>
    <row r="13074">
      <c r="A13074" s="9"/>
      <c r="B13074" s="9"/>
    </row>
    <row r="13075">
      <c r="A13075" s="9"/>
      <c r="B13075" s="9"/>
    </row>
    <row r="13076">
      <c r="A13076" s="9"/>
      <c r="B13076" s="9"/>
    </row>
    <row r="13077">
      <c r="A13077" s="9"/>
      <c r="B13077" s="9"/>
    </row>
    <row r="13078">
      <c r="A13078" s="9"/>
      <c r="B13078" s="9"/>
    </row>
    <row r="13079">
      <c r="A13079" s="9"/>
      <c r="B13079" s="9"/>
    </row>
    <row r="13080">
      <c r="A13080" s="9"/>
      <c r="B13080" s="9"/>
    </row>
    <row r="13081">
      <c r="A13081" s="9"/>
      <c r="B13081" s="9"/>
    </row>
    <row r="13082">
      <c r="A13082" s="9"/>
      <c r="B13082" s="9"/>
    </row>
    <row r="13083">
      <c r="A13083" s="9"/>
      <c r="B13083" s="9"/>
    </row>
    <row r="13084">
      <c r="A13084" s="9"/>
      <c r="B13084" s="9"/>
    </row>
    <row r="13085">
      <c r="A13085" s="9"/>
      <c r="B13085" s="9"/>
    </row>
    <row r="13086">
      <c r="A13086" s="9"/>
      <c r="B13086" s="9"/>
    </row>
    <row r="13087">
      <c r="A13087" s="9"/>
      <c r="B13087" s="9"/>
    </row>
    <row r="13088">
      <c r="A13088" s="9"/>
      <c r="B13088" s="9"/>
    </row>
    <row r="13089">
      <c r="A13089" s="9"/>
      <c r="B13089" s="9"/>
    </row>
    <row r="13090">
      <c r="A13090" s="9"/>
      <c r="B13090" s="9"/>
    </row>
    <row r="13091">
      <c r="A13091" s="9"/>
      <c r="B13091" s="9"/>
    </row>
    <row r="13092">
      <c r="A13092" s="9"/>
      <c r="B13092" s="9"/>
    </row>
    <row r="13093">
      <c r="A13093" s="9"/>
      <c r="B13093" s="9"/>
    </row>
    <row r="13094">
      <c r="A13094" s="9"/>
      <c r="B13094" s="9"/>
    </row>
    <row r="13095">
      <c r="A13095" s="9"/>
      <c r="B13095" s="9"/>
    </row>
    <row r="13096">
      <c r="A13096" s="9"/>
      <c r="B13096" s="9"/>
    </row>
    <row r="13097">
      <c r="A13097" s="9"/>
      <c r="B13097" s="9"/>
    </row>
    <row r="13098">
      <c r="A13098" s="9"/>
      <c r="B13098" s="9"/>
    </row>
    <row r="13099">
      <c r="A13099" s="9"/>
      <c r="B13099" s="9"/>
    </row>
    <row r="13100">
      <c r="A13100" s="9"/>
      <c r="B13100" s="9"/>
    </row>
    <row r="13101">
      <c r="A13101" s="9"/>
      <c r="B13101" s="9"/>
    </row>
    <row r="13102">
      <c r="A13102" s="9"/>
      <c r="B13102" s="9"/>
    </row>
    <row r="13103">
      <c r="A13103" s="9"/>
      <c r="B13103" s="9"/>
    </row>
    <row r="13104">
      <c r="A13104" s="9"/>
      <c r="B13104" s="9"/>
    </row>
    <row r="13105">
      <c r="A13105" s="9"/>
      <c r="B13105" s="9"/>
    </row>
    <row r="13106">
      <c r="A13106" s="9"/>
      <c r="B13106" s="9"/>
    </row>
    <row r="13107">
      <c r="A13107" s="9"/>
      <c r="B13107" s="9"/>
    </row>
    <row r="13108">
      <c r="A13108" s="9"/>
      <c r="B13108" s="9"/>
    </row>
    <row r="13109">
      <c r="A13109" s="9"/>
      <c r="B13109" s="9"/>
    </row>
    <row r="13110">
      <c r="A13110" s="9"/>
      <c r="B13110" s="9"/>
    </row>
    <row r="13111">
      <c r="A13111" s="9"/>
      <c r="B13111" s="9"/>
    </row>
    <row r="13112">
      <c r="A13112" s="9"/>
      <c r="B13112" s="9"/>
    </row>
    <row r="13113">
      <c r="A13113" s="9"/>
      <c r="B13113" s="9"/>
    </row>
    <row r="13114">
      <c r="A13114" s="9"/>
      <c r="B13114" s="9"/>
    </row>
    <row r="13115">
      <c r="A13115" s="9"/>
      <c r="B13115" s="9"/>
    </row>
    <row r="13116">
      <c r="A13116" s="9"/>
      <c r="B13116" s="9"/>
    </row>
    <row r="13117">
      <c r="A13117" s="9"/>
      <c r="B13117" s="9"/>
    </row>
    <row r="13118">
      <c r="A13118" s="9"/>
      <c r="B13118" s="9"/>
    </row>
    <row r="13119">
      <c r="A13119" s="9"/>
      <c r="B13119" s="9"/>
    </row>
    <row r="13120">
      <c r="A13120" s="9"/>
      <c r="B13120" s="9"/>
    </row>
    <row r="13121">
      <c r="A13121" s="9"/>
      <c r="B13121" s="9"/>
    </row>
    <row r="13122">
      <c r="A13122" s="9"/>
      <c r="B13122" s="9"/>
    </row>
    <row r="13123">
      <c r="A13123" s="9"/>
      <c r="B13123" s="9"/>
    </row>
    <row r="13124">
      <c r="A13124" s="9"/>
      <c r="B13124" s="9"/>
    </row>
    <row r="13125">
      <c r="A13125" s="9"/>
      <c r="B13125" s="9"/>
    </row>
    <row r="13126">
      <c r="A13126" s="9"/>
      <c r="B13126" s="9"/>
    </row>
    <row r="13127">
      <c r="A13127" s="9"/>
      <c r="B13127" s="9"/>
    </row>
    <row r="13128">
      <c r="A13128" s="9"/>
      <c r="B13128" s="9"/>
    </row>
    <row r="13129">
      <c r="A13129" s="9"/>
      <c r="B13129" s="9"/>
    </row>
    <row r="13130">
      <c r="A13130" s="9"/>
      <c r="B13130" s="9"/>
    </row>
    <row r="13131">
      <c r="A13131" s="9"/>
      <c r="B13131" s="9"/>
    </row>
    <row r="13132">
      <c r="A13132" s="9"/>
      <c r="B13132" s="9"/>
    </row>
    <row r="13133">
      <c r="A13133" s="9"/>
      <c r="B13133" s="9"/>
    </row>
    <row r="13134">
      <c r="A13134" s="9"/>
      <c r="B13134" s="9"/>
    </row>
    <row r="13135">
      <c r="A13135" s="9"/>
      <c r="B13135" s="9"/>
    </row>
    <row r="13136">
      <c r="A13136" s="9"/>
      <c r="B13136" s="9"/>
    </row>
    <row r="13137">
      <c r="A13137" s="9"/>
      <c r="B13137" s="9"/>
    </row>
    <row r="13138">
      <c r="A13138" s="9"/>
      <c r="B13138" s="9"/>
    </row>
    <row r="13139">
      <c r="A13139" s="9"/>
      <c r="B13139" s="9"/>
    </row>
    <row r="13140">
      <c r="A13140" s="9"/>
      <c r="B13140" s="9"/>
    </row>
    <row r="13141">
      <c r="A13141" s="9"/>
      <c r="B13141" s="9"/>
    </row>
    <row r="13142">
      <c r="A13142" s="9"/>
      <c r="B13142" s="9"/>
    </row>
    <row r="13143">
      <c r="A13143" s="9"/>
      <c r="B13143" s="9"/>
    </row>
    <row r="13144">
      <c r="A13144" s="9"/>
      <c r="B13144" s="9"/>
    </row>
    <row r="13145">
      <c r="A13145" s="9"/>
      <c r="B13145" s="9"/>
    </row>
    <row r="13146">
      <c r="A13146" s="9"/>
      <c r="B13146" s="9"/>
    </row>
    <row r="13147">
      <c r="A13147" s="9"/>
      <c r="B13147" s="9"/>
    </row>
    <row r="13148">
      <c r="A13148" s="9"/>
      <c r="B13148" s="9"/>
    </row>
    <row r="13149">
      <c r="A13149" s="9"/>
      <c r="B13149" s="9"/>
    </row>
    <row r="13150">
      <c r="A13150" s="9"/>
      <c r="B13150" s="9"/>
    </row>
    <row r="13151">
      <c r="A13151" s="9"/>
      <c r="B13151" s="9"/>
    </row>
    <row r="13152">
      <c r="A13152" s="9"/>
      <c r="B13152" s="9"/>
    </row>
    <row r="13153">
      <c r="A13153" s="9"/>
      <c r="B13153" s="9"/>
    </row>
    <row r="13154">
      <c r="A13154" s="9"/>
      <c r="B13154" s="9"/>
    </row>
    <row r="13155">
      <c r="A13155" s="9"/>
      <c r="B13155" s="9"/>
    </row>
    <row r="13156">
      <c r="A13156" s="9"/>
      <c r="B13156" s="9"/>
    </row>
    <row r="13157">
      <c r="A13157" s="9"/>
      <c r="B13157" s="9"/>
    </row>
    <row r="13158">
      <c r="A13158" s="9"/>
      <c r="B13158" s="9"/>
    </row>
    <row r="13159">
      <c r="A13159" s="9"/>
      <c r="B13159" s="9"/>
    </row>
    <row r="13160">
      <c r="A13160" s="9"/>
      <c r="B13160" s="9"/>
    </row>
    <row r="13161">
      <c r="A13161" s="9"/>
      <c r="B13161" s="9"/>
    </row>
    <row r="13162">
      <c r="A13162" s="9"/>
      <c r="B13162" s="9"/>
    </row>
    <row r="13163">
      <c r="A13163" s="9"/>
      <c r="B13163" s="9"/>
    </row>
    <row r="13164">
      <c r="A13164" s="9"/>
      <c r="B13164" s="9"/>
    </row>
    <row r="13165">
      <c r="A13165" s="9"/>
      <c r="B13165" s="9"/>
    </row>
    <row r="13166">
      <c r="A13166" s="9"/>
      <c r="B13166" s="9"/>
    </row>
    <row r="13167">
      <c r="A13167" s="9"/>
      <c r="B13167" s="9"/>
    </row>
    <row r="13168">
      <c r="A13168" s="9"/>
      <c r="B13168" s="9"/>
    </row>
    <row r="13169">
      <c r="A13169" s="9"/>
      <c r="B13169" s="9"/>
    </row>
    <row r="13170">
      <c r="A13170" s="9"/>
      <c r="B13170" s="9"/>
    </row>
    <row r="13171">
      <c r="A13171" s="9"/>
      <c r="B13171" s="9"/>
    </row>
    <row r="13172">
      <c r="A13172" s="9"/>
      <c r="B13172" s="9"/>
    </row>
    <row r="13173">
      <c r="A13173" s="9"/>
      <c r="B13173" s="9"/>
    </row>
    <row r="13174">
      <c r="A13174" s="9"/>
      <c r="B13174" s="9"/>
    </row>
    <row r="13175">
      <c r="A13175" s="9"/>
      <c r="B13175" s="9"/>
    </row>
    <row r="13176">
      <c r="A13176" s="9"/>
      <c r="B13176" s="9"/>
    </row>
    <row r="13177">
      <c r="A13177" s="9"/>
      <c r="B13177" s="9"/>
    </row>
    <row r="13178">
      <c r="A13178" s="9"/>
      <c r="B13178" s="9"/>
    </row>
    <row r="13179">
      <c r="A13179" s="9"/>
      <c r="B13179" s="9"/>
    </row>
    <row r="13180">
      <c r="A13180" s="9"/>
      <c r="B13180" s="9"/>
    </row>
    <row r="13181">
      <c r="A13181" s="9"/>
      <c r="B13181" s="9"/>
    </row>
    <row r="13182">
      <c r="A13182" s="9"/>
      <c r="B13182" s="9"/>
    </row>
    <row r="13183">
      <c r="A13183" s="9"/>
      <c r="B13183" s="9"/>
    </row>
    <row r="13184">
      <c r="A13184" s="9"/>
      <c r="B13184" s="9"/>
    </row>
    <row r="13185">
      <c r="A13185" s="9"/>
      <c r="B13185" s="9"/>
    </row>
    <row r="13186">
      <c r="A13186" s="9"/>
      <c r="B13186" s="9"/>
    </row>
    <row r="13187">
      <c r="A13187" s="9"/>
      <c r="B13187" s="9"/>
    </row>
    <row r="13188">
      <c r="A13188" s="9"/>
      <c r="B13188" s="9"/>
    </row>
    <row r="13189">
      <c r="A13189" s="9"/>
      <c r="B13189" s="9"/>
    </row>
    <row r="13190">
      <c r="A13190" s="9"/>
      <c r="B13190" s="9"/>
    </row>
    <row r="13191">
      <c r="A13191" s="9"/>
      <c r="B13191" s="9"/>
    </row>
    <row r="13192">
      <c r="A13192" s="9"/>
      <c r="B13192" s="9"/>
    </row>
    <row r="13193">
      <c r="A13193" s="9"/>
      <c r="B13193" s="9"/>
    </row>
    <row r="13194">
      <c r="A13194" s="9"/>
      <c r="B13194" s="9"/>
    </row>
    <row r="13195">
      <c r="A13195" s="9"/>
      <c r="B13195" s="9"/>
    </row>
    <row r="13196">
      <c r="A13196" s="9"/>
      <c r="B13196" s="9"/>
    </row>
    <row r="13197">
      <c r="A13197" s="9"/>
      <c r="B13197" s="9"/>
    </row>
    <row r="13198">
      <c r="A13198" s="9"/>
      <c r="B13198" s="9"/>
    </row>
    <row r="13199">
      <c r="A13199" s="9"/>
      <c r="B13199" s="9"/>
    </row>
    <row r="13200">
      <c r="A13200" s="9"/>
      <c r="B13200" s="9"/>
    </row>
    <row r="13201">
      <c r="A13201" s="9"/>
      <c r="B13201" s="9"/>
    </row>
    <row r="13202">
      <c r="A13202" s="9"/>
      <c r="B13202" s="9"/>
    </row>
    <row r="13203">
      <c r="A13203" s="9"/>
      <c r="B13203" s="9"/>
    </row>
    <row r="13204">
      <c r="A13204" s="9"/>
      <c r="B13204" s="9"/>
    </row>
    <row r="13205">
      <c r="A13205" s="9"/>
      <c r="B13205" s="9"/>
    </row>
    <row r="13206">
      <c r="A13206" s="9"/>
      <c r="B13206" s="9"/>
    </row>
    <row r="13207">
      <c r="A13207" s="9"/>
      <c r="B13207" s="9"/>
    </row>
    <row r="13208">
      <c r="A13208" s="9"/>
      <c r="B13208" s="9"/>
    </row>
    <row r="13209">
      <c r="A13209" s="9"/>
      <c r="B13209" s="9"/>
    </row>
    <row r="13210">
      <c r="A13210" s="9"/>
      <c r="B13210" s="9"/>
    </row>
    <row r="13211">
      <c r="A13211" s="9"/>
      <c r="B13211" s="9"/>
    </row>
    <row r="13212">
      <c r="A13212" s="9"/>
      <c r="B13212" s="9"/>
    </row>
    <row r="13213">
      <c r="A13213" s="9"/>
      <c r="B13213" s="9"/>
    </row>
    <row r="13214">
      <c r="A13214" s="9"/>
      <c r="B13214" s="9"/>
    </row>
    <row r="13215">
      <c r="A13215" s="9"/>
      <c r="B13215" s="9"/>
    </row>
    <row r="13216">
      <c r="A13216" s="9"/>
      <c r="B13216" s="9"/>
    </row>
    <row r="13217">
      <c r="A13217" s="9"/>
      <c r="B13217" s="9"/>
    </row>
    <row r="13218">
      <c r="A13218" s="9"/>
      <c r="B13218" s="9"/>
    </row>
    <row r="13219">
      <c r="A13219" s="9"/>
      <c r="B13219" s="9"/>
    </row>
    <row r="13220">
      <c r="A13220" s="9"/>
      <c r="B13220" s="9"/>
    </row>
    <row r="13221">
      <c r="A13221" s="9"/>
      <c r="B13221" s="9"/>
    </row>
    <row r="13222">
      <c r="A13222" s="9"/>
      <c r="B13222" s="9"/>
    </row>
    <row r="13223">
      <c r="A13223" s="9"/>
      <c r="B13223" s="9"/>
    </row>
    <row r="13224">
      <c r="A13224" s="9"/>
      <c r="B13224" s="9"/>
    </row>
    <row r="13225">
      <c r="A13225" s="9"/>
      <c r="B13225" s="9"/>
    </row>
    <row r="13226">
      <c r="A13226" s="9"/>
      <c r="B13226" s="9"/>
    </row>
    <row r="13227">
      <c r="A13227" s="9"/>
      <c r="B13227" s="9"/>
    </row>
    <row r="13228">
      <c r="A13228" s="9"/>
      <c r="B13228" s="9"/>
    </row>
    <row r="13229">
      <c r="A13229" s="9"/>
      <c r="B13229" s="9"/>
    </row>
    <row r="13230">
      <c r="A13230" s="9"/>
      <c r="B13230" s="9"/>
    </row>
    <row r="13231">
      <c r="A13231" s="9"/>
      <c r="B13231" s="9"/>
    </row>
    <row r="13232">
      <c r="A13232" s="9"/>
      <c r="B13232" s="9"/>
    </row>
    <row r="13233">
      <c r="A13233" s="9"/>
      <c r="B13233" s="9"/>
    </row>
    <row r="13234">
      <c r="A13234" s="9"/>
      <c r="B13234" s="9"/>
    </row>
    <row r="13235">
      <c r="A13235" s="9"/>
      <c r="B13235" s="9"/>
    </row>
    <row r="13236">
      <c r="A13236" s="9"/>
      <c r="B13236" s="9"/>
    </row>
    <row r="13237">
      <c r="A13237" s="9"/>
      <c r="B13237" s="9"/>
    </row>
    <row r="13238">
      <c r="A13238" s="9"/>
      <c r="B13238" s="9"/>
    </row>
    <row r="13239">
      <c r="A13239" s="9"/>
      <c r="B13239" s="9"/>
    </row>
    <row r="13240">
      <c r="A13240" s="9"/>
      <c r="B13240" s="9"/>
    </row>
    <row r="13241">
      <c r="A13241" s="9"/>
      <c r="B13241" s="9"/>
    </row>
    <row r="13242">
      <c r="A13242" s="9"/>
      <c r="B13242" s="9"/>
    </row>
    <row r="13243">
      <c r="A13243" s="9"/>
      <c r="B13243" s="9"/>
    </row>
    <row r="13244">
      <c r="A13244" s="9"/>
      <c r="B13244" s="9"/>
    </row>
    <row r="13245">
      <c r="A13245" s="9"/>
      <c r="B13245" s="9"/>
    </row>
    <row r="13246">
      <c r="A13246" s="9"/>
      <c r="B13246" s="9"/>
    </row>
    <row r="13247">
      <c r="A13247" s="9"/>
      <c r="B13247" s="9"/>
    </row>
    <row r="13248">
      <c r="A13248" s="9"/>
      <c r="B13248" s="9"/>
    </row>
    <row r="13249">
      <c r="A13249" s="9"/>
      <c r="B13249" s="9"/>
    </row>
    <row r="13250">
      <c r="A13250" s="9"/>
      <c r="B13250" s="9"/>
    </row>
    <row r="13251">
      <c r="A13251" s="9"/>
      <c r="B13251" s="9"/>
    </row>
    <row r="13252">
      <c r="A13252" s="9"/>
      <c r="B13252" s="9"/>
    </row>
    <row r="13253">
      <c r="A13253" s="9"/>
      <c r="B13253" s="9"/>
    </row>
    <row r="13254">
      <c r="A13254" s="9"/>
      <c r="B13254" s="9"/>
    </row>
    <row r="13255">
      <c r="A13255" s="9"/>
      <c r="B13255" s="9"/>
    </row>
    <row r="13256">
      <c r="A13256" s="9"/>
      <c r="B13256" s="9"/>
    </row>
    <row r="13257">
      <c r="A13257" s="9"/>
      <c r="B13257" s="9"/>
    </row>
    <row r="13258">
      <c r="A13258" s="9"/>
      <c r="B13258" s="9"/>
    </row>
    <row r="13259">
      <c r="A13259" s="9"/>
      <c r="B13259" s="9"/>
    </row>
    <row r="13260">
      <c r="A13260" s="9"/>
      <c r="B13260" s="9"/>
    </row>
    <row r="13261">
      <c r="A13261" s="9"/>
      <c r="B13261" s="9"/>
    </row>
    <row r="13262">
      <c r="A13262" s="9"/>
      <c r="B13262" s="9"/>
    </row>
    <row r="13263">
      <c r="A13263" s="9"/>
      <c r="B13263" s="9"/>
    </row>
    <row r="13264">
      <c r="A13264" s="9"/>
      <c r="B13264" s="9"/>
    </row>
    <row r="13265">
      <c r="A13265" s="9"/>
      <c r="B13265" s="9"/>
    </row>
    <row r="13266">
      <c r="A13266" s="9"/>
      <c r="B13266" s="9"/>
    </row>
    <row r="13267">
      <c r="A13267" s="9"/>
      <c r="B13267" s="9"/>
    </row>
    <row r="13268">
      <c r="A13268" s="9"/>
      <c r="B13268" s="9"/>
    </row>
    <row r="13269">
      <c r="A13269" s="9"/>
      <c r="B13269" s="9"/>
    </row>
    <row r="13270">
      <c r="A13270" s="9"/>
      <c r="B13270" s="9"/>
    </row>
    <row r="13271">
      <c r="A13271" s="9"/>
      <c r="B13271" s="9"/>
    </row>
    <row r="13272">
      <c r="A13272" s="9"/>
      <c r="B13272" s="9"/>
    </row>
    <row r="13273">
      <c r="A13273" s="9"/>
      <c r="B13273" s="9"/>
    </row>
    <row r="13274">
      <c r="A13274" s="9"/>
      <c r="B13274" s="9"/>
    </row>
    <row r="13275">
      <c r="A13275" s="9"/>
      <c r="B13275" s="9"/>
    </row>
    <row r="13276">
      <c r="A13276" s="9"/>
      <c r="B13276" s="9"/>
    </row>
    <row r="13277">
      <c r="A13277" s="9"/>
      <c r="B13277" s="9"/>
    </row>
    <row r="13278">
      <c r="A13278" s="9"/>
      <c r="B13278" s="9"/>
    </row>
    <row r="13279">
      <c r="A13279" s="9"/>
      <c r="B13279" s="9"/>
    </row>
    <row r="13280">
      <c r="A13280" s="9"/>
      <c r="B13280" s="9"/>
    </row>
    <row r="13281">
      <c r="A13281" s="9"/>
      <c r="B13281" s="9"/>
    </row>
    <row r="13282">
      <c r="A13282" s="9"/>
      <c r="B13282" s="9"/>
    </row>
    <row r="13283">
      <c r="A13283" s="9"/>
      <c r="B13283" s="9"/>
    </row>
    <row r="13284">
      <c r="A13284" s="9"/>
      <c r="B13284" s="9"/>
    </row>
    <row r="13285">
      <c r="A13285" s="9"/>
      <c r="B13285" s="9"/>
    </row>
    <row r="13286">
      <c r="A13286" s="9"/>
      <c r="B13286" s="9"/>
    </row>
    <row r="13287">
      <c r="A13287" s="9"/>
      <c r="B13287" s="9"/>
    </row>
    <row r="13288">
      <c r="A13288" s="9"/>
      <c r="B13288" s="9"/>
    </row>
    <row r="13289">
      <c r="A13289" s="9"/>
      <c r="B13289" s="9"/>
    </row>
    <row r="13290">
      <c r="A13290" s="9"/>
      <c r="B13290" s="9"/>
    </row>
    <row r="13291">
      <c r="A13291" s="9"/>
      <c r="B13291" s="9"/>
    </row>
    <row r="13292">
      <c r="A13292" s="9"/>
      <c r="B13292" s="9"/>
    </row>
    <row r="13293">
      <c r="A13293" s="9"/>
      <c r="B13293" s="9"/>
    </row>
    <row r="13294">
      <c r="A13294" s="9"/>
      <c r="B13294" s="9"/>
    </row>
    <row r="13295">
      <c r="A13295" s="9"/>
      <c r="B13295" s="9"/>
    </row>
    <row r="13296">
      <c r="A13296" s="9"/>
      <c r="B13296" s="9"/>
    </row>
    <row r="13297">
      <c r="A13297" s="9"/>
      <c r="B13297" s="9"/>
    </row>
    <row r="13298">
      <c r="A13298" s="9"/>
      <c r="B13298" s="9"/>
    </row>
    <row r="13299">
      <c r="A13299" s="9"/>
      <c r="B13299" s="9"/>
    </row>
    <row r="13300">
      <c r="A13300" s="9"/>
      <c r="B13300" s="9"/>
    </row>
    <row r="13301">
      <c r="A13301" s="9"/>
      <c r="B13301" s="9"/>
    </row>
    <row r="13302">
      <c r="A13302" s="9"/>
      <c r="B13302" s="9"/>
    </row>
    <row r="13303">
      <c r="A13303" s="9"/>
      <c r="B13303" s="9"/>
    </row>
    <row r="13304">
      <c r="A13304" s="9"/>
      <c r="B13304" s="9"/>
    </row>
    <row r="13305">
      <c r="A13305" s="9"/>
      <c r="B13305" s="9"/>
    </row>
    <row r="13306">
      <c r="A13306" s="9"/>
      <c r="B13306" s="9"/>
    </row>
    <row r="13307">
      <c r="A13307" s="9"/>
      <c r="B13307" s="9"/>
    </row>
    <row r="13308">
      <c r="A13308" s="9"/>
      <c r="B13308" s="9"/>
    </row>
    <row r="13309">
      <c r="A13309" s="9"/>
      <c r="B13309" s="9"/>
    </row>
    <row r="13310">
      <c r="A13310" s="9"/>
      <c r="B13310" s="9"/>
    </row>
    <row r="13311">
      <c r="A13311" s="9"/>
      <c r="B13311" s="9"/>
    </row>
    <row r="13312">
      <c r="A13312" s="9"/>
      <c r="B13312" s="9"/>
    </row>
    <row r="13313">
      <c r="A13313" s="9"/>
      <c r="B13313" s="9"/>
    </row>
    <row r="13314">
      <c r="A13314" s="9"/>
      <c r="B13314" s="9"/>
    </row>
    <row r="13315">
      <c r="A13315" s="9"/>
      <c r="B13315" s="9"/>
    </row>
    <row r="13316">
      <c r="A13316" s="9"/>
      <c r="B13316" s="9"/>
    </row>
    <row r="13317">
      <c r="A13317" s="9"/>
      <c r="B13317" s="9"/>
    </row>
    <row r="13318">
      <c r="A13318" s="9"/>
      <c r="B13318" s="9"/>
    </row>
    <row r="13319">
      <c r="A13319" s="9"/>
      <c r="B13319" s="9"/>
    </row>
    <row r="13320">
      <c r="A13320" s="9"/>
      <c r="B13320" s="9"/>
    </row>
    <row r="13321">
      <c r="A13321" s="9"/>
      <c r="B13321" s="9"/>
    </row>
    <row r="13322">
      <c r="A13322" s="9"/>
      <c r="B13322" s="9"/>
    </row>
    <row r="13323">
      <c r="A13323" s="9"/>
      <c r="B13323" s="9"/>
    </row>
    <row r="13324">
      <c r="A13324" s="9"/>
      <c r="B13324" s="9"/>
    </row>
    <row r="13325">
      <c r="A13325" s="9"/>
      <c r="B13325" s="9"/>
    </row>
    <row r="13326">
      <c r="A13326" s="9"/>
      <c r="B13326" s="9"/>
    </row>
    <row r="13327">
      <c r="A13327" s="9"/>
      <c r="B13327" s="9"/>
    </row>
    <row r="13328">
      <c r="A13328" s="9"/>
      <c r="B13328" s="9"/>
    </row>
    <row r="13329">
      <c r="A13329" s="9"/>
      <c r="B13329" s="9"/>
    </row>
    <row r="13330">
      <c r="A13330" s="9"/>
      <c r="B13330" s="9"/>
    </row>
    <row r="13331">
      <c r="A13331" s="9"/>
      <c r="B13331" s="9"/>
    </row>
    <row r="13332">
      <c r="A13332" s="9"/>
      <c r="B13332" s="9"/>
    </row>
    <row r="13333">
      <c r="A13333" s="9"/>
      <c r="B13333" s="9"/>
    </row>
    <row r="13334">
      <c r="A13334" s="9"/>
      <c r="B13334" s="9"/>
    </row>
    <row r="13335">
      <c r="A13335" s="9"/>
      <c r="B13335" s="9"/>
    </row>
    <row r="13336">
      <c r="A13336" s="9"/>
      <c r="B13336" s="9"/>
    </row>
    <row r="13337">
      <c r="A13337" s="9"/>
      <c r="B13337" s="9"/>
    </row>
    <row r="13338">
      <c r="A13338" s="9"/>
      <c r="B13338" s="9"/>
    </row>
    <row r="13339">
      <c r="A13339" s="9"/>
      <c r="B13339" s="9"/>
    </row>
    <row r="13340">
      <c r="A13340" s="9"/>
      <c r="B13340" s="9"/>
    </row>
    <row r="13341">
      <c r="A13341" s="9"/>
      <c r="B13341" s="9"/>
    </row>
    <row r="13342">
      <c r="A13342" s="9"/>
      <c r="B13342" s="9"/>
    </row>
    <row r="13343">
      <c r="A13343" s="9"/>
      <c r="B13343" s="9"/>
    </row>
    <row r="13344">
      <c r="A13344" s="9"/>
      <c r="B13344" s="9"/>
    </row>
    <row r="13345">
      <c r="A13345" s="9"/>
      <c r="B13345" s="9"/>
    </row>
    <row r="13346">
      <c r="A13346" s="9"/>
      <c r="B13346" s="9"/>
    </row>
    <row r="13347">
      <c r="A13347" s="9"/>
      <c r="B13347" s="9"/>
    </row>
    <row r="13348">
      <c r="A13348" s="9"/>
      <c r="B13348" s="9"/>
    </row>
    <row r="13349">
      <c r="A13349" s="9"/>
      <c r="B13349" s="9"/>
    </row>
    <row r="13350">
      <c r="A13350" s="9"/>
      <c r="B13350" s="9"/>
    </row>
    <row r="13351">
      <c r="A13351" s="9"/>
      <c r="B13351" s="9"/>
    </row>
    <row r="13352">
      <c r="A13352" s="9"/>
      <c r="B13352" s="9"/>
    </row>
    <row r="13353">
      <c r="A13353" s="9"/>
      <c r="B13353" s="9"/>
    </row>
    <row r="13354">
      <c r="A13354" s="9"/>
      <c r="B13354" s="9"/>
    </row>
    <row r="13355">
      <c r="A13355" s="9"/>
      <c r="B13355" s="9"/>
    </row>
    <row r="13356">
      <c r="A13356" s="9"/>
      <c r="B13356" s="9"/>
    </row>
    <row r="13357">
      <c r="A13357" s="9"/>
      <c r="B13357" s="9"/>
    </row>
    <row r="13358">
      <c r="A13358" s="9"/>
      <c r="B13358" s="9"/>
    </row>
    <row r="13359">
      <c r="A13359" s="9"/>
      <c r="B13359" s="9"/>
    </row>
    <row r="13360">
      <c r="A13360" s="9"/>
      <c r="B13360" s="9"/>
    </row>
    <row r="13361">
      <c r="A13361" s="9"/>
      <c r="B13361" s="9"/>
    </row>
    <row r="13362">
      <c r="A13362" s="9"/>
      <c r="B13362" s="9"/>
    </row>
    <row r="13363">
      <c r="A13363" s="9"/>
      <c r="B13363" s="9"/>
    </row>
    <row r="13364">
      <c r="A13364" s="9"/>
      <c r="B13364" s="9"/>
    </row>
    <row r="13365">
      <c r="A13365" s="9"/>
      <c r="B13365" s="9"/>
    </row>
    <row r="13366">
      <c r="A13366" s="9"/>
      <c r="B13366" s="9"/>
    </row>
    <row r="13367">
      <c r="A13367" s="9"/>
      <c r="B13367" s="9"/>
    </row>
    <row r="13368">
      <c r="A13368" s="9"/>
      <c r="B13368" s="9"/>
    </row>
    <row r="13369">
      <c r="A13369" s="9"/>
      <c r="B13369" s="9"/>
    </row>
    <row r="13370">
      <c r="A13370" s="9"/>
      <c r="B13370" s="9"/>
    </row>
    <row r="13371">
      <c r="A13371" s="9"/>
      <c r="B13371" s="9"/>
    </row>
    <row r="13372">
      <c r="A13372" s="9"/>
      <c r="B13372" s="9"/>
    </row>
    <row r="13373">
      <c r="A13373" s="9"/>
      <c r="B13373" s="9"/>
    </row>
    <row r="13374">
      <c r="A13374" s="9"/>
      <c r="B13374" s="9"/>
    </row>
    <row r="13375">
      <c r="A13375" s="9"/>
      <c r="B13375" s="9"/>
    </row>
    <row r="13376">
      <c r="A13376" s="9"/>
      <c r="B13376" s="9"/>
    </row>
    <row r="13377">
      <c r="A13377" s="9"/>
      <c r="B13377" s="9"/>
    </row>
    <row r="13378">
      <c r="A13378" s="9"/>
      <c r="B13378" s="9"/>
    </row>
    <row r="13379">
      <c r="A13379" s="9"/>
      <c r="B13379" s="9"/>
    </row>
    <row r="13380">
      <c r="A13380" s="9"/>
      <c r="B13380" s="9"/>
    </row>
    <row r="13381">
      <c r="A13381" s="9"/>
      <c r="B13381" s="9"/>
    </row>
    <row r="13382">
      <c r="A13382" s="9"/>
      <c r="B13382" s="9"/>
    </row>
    <row r="13383">
      <c r="A13383" s="9"/>
      <c r="B13383" s="9"/>
    </row>
    <row r="13384">
      <c r="A13384" s="9"/>
      <c r="B13384" s="9"/>
    </row>
    <row r="13385">
      <c r="A13385" s="9"/>
      <c r="B13385" s="9"/>
    </row>
    <row r="13386">
      <c r="A13386" s="9"/>
      <c r="B13386" s="9"/>
    </row>
    <row r="13387">
      <c r="A13387" s="9"/>
      <c r="B13387" s="9"/>
    </row>
    <row r="13388">
      <c r="A13388" s="9"/>
      <c r="B13388" s="9"/>
    </row>
    <row r="13389">
      <c r="A13389" s="9"/>
      <c r="B13389" s="9"/>
    </row>
    <row r="13390">
      <c r="A13390" s="9"/>
      <c r="B13390" s="9"/>
    </row>
    <row r="13391">
      <c r="A13391" s="9"/>
      <c r="B13391" s="9"/>
    </row>
    <row r="13392">
      <c r="A13392" s="9"/>
      <c r="B13392" s="9"/>
    </row>
    <row r="13393">
      <c r="A13393" s="9"/>
      <c r="B13393" s="9"/>
    </row>
    <row r="13394">
      <c r="A13394" s="9"/>
      <c r="B13394" s="9"/>
    </row>
    <row r="13395">
      <c r="A13395" s="9"/>
      <c r="B13395" s="9"/>
    </row>
    <row r="13396">
      <c r="A13396" s="9"/>
      <c r="B13396" s="9"/>
    </row>
    <row r="13397">
      <c r="A13397" s="9"/>
      <c r="B13397" s="9"/>
    </row>
    <row r="13398">
      <c r="A13398" s="9"/>
      <c r="B13398" s="9"/>
    </row>
    <row r="13399">
      <c r="A13399" s="9"/>
      <c r="B13399" s="9"/>
    </row>
    <row r="13400">
      <c r="A13400" s="9"/>
      <c r="B13400" s="9"/>
    </row>
    <row r="13401">
      <c r="A13401" s="9"/>
      <c r="B13401" s="9"/>
    </row>
    <row r="13402">
      <c r="A13402" s="9"/>
      <c r="B13402" s="9"/>
    </row>
    <row r="13403">
      <c r="A13403" s="9"/>
      <c r="B13403" s="9"/>
    </row>
    <row r="13404">
      <c r="A13404" s="9"/>
      <c r="B13404" s="9"/>
    </row>
    <row r="13405">
      <c r="A13405" s="9"/>
      <c r="B13405" s="9"/>
    </row>
    <row r="13406">
      <c r="A13406" s="9"/>
      <c r="B13406" s="9"/>
    </row>
    <row r="13407">
      <c r="A13407" s="9"/>
      <c r="B13407" s="9"/>
    </row>
    <row r="13408">
      <c r="A13408" s="9"/>
      <c r="B13408" s="9"/>
    </row>
    <row r="13409">
      <c r="A13409" s="9"/>
      <c r="B13409" s="9"/>
    </row>
    <row r="13410">
      <c r="A13410" s="9"/>
      <c r="B13410" s="9"/>
    </row>
    <row r="13411">
      <c r="A13411" s="9"/>
      <c r="B13411" s="9"/>
    </row>
    <row r="13412">
      <c r="A13412" s="9"/>
      <c r="B13412" s="9"/>
    </row>
    <row r="13413">
      <c r="A13413" s="9"/>
      <c r="B13413" s="9"/>
    </row>
    <row r="13414">
      <c r="A13414" s="9"/>
      <c r="B13414" s="9"/>
    </row>
    <row r="13415">
      <c r="A13415" s="9"/>
      <c r="B13415" s="9"/>
    </row>
    <row r="13416">
      <c r="A13416" s="9"/>
      <c r="B13416" s="9"/>
    </row>
    <row r="13417">
      <c r="A13417" s="9"/>
      <c r="B13417" s="9"/>
    </row>
    <row r="13418">
      <c r="A13418" s="9"/>
      <c r="B13418" s="9"/>
    </row>
    <row r="13419">
      <c r="A13419" s="9"/>
      <c r="B13419" s="9"/>
    </row>
    <row r="13420">
      <c r="A13420" s="9"/>
      <c r="B13420" s="9"/>
    </row>
    <row r="13421">
      <c r="A13421" s="9"/>
      <c r="B13421" s="9"/>
    </row>
    <row r="13422">
      <c r="A13422" s="9"/>
      <c r="B13422" s="9"/>
    </row>
    <row r="13423">
      <c r="A13423" s="9"/>
      <c r="B13423" s="9"/>
    </row>
    <row r="13424">
      <c r="A13424" s="9"/>
      <c r="B13424" s="9"/>
    </row>
    <row r="13425">
      <c r="A13425" s="9"/>
      <c r="B13425" s="9"/>
    </row>
    <row r="13426">
      <c r="A13426" s="9"/>
      <c r="B13426" s="9"/>
    </row>
    <row r="13427">
      <c r="A13427" s="9"/>
      <c r="B13427" s="9"/>
    </row>
    <row r="13428">
      <c r="A13428" s="9"/>
      <c r="B13428" s="9"/>
    </row>
    <row r="13429">
      <c r="A13429" s="9"/>
      <c r="B13429" s="9"/>
    </row>
    <row r="13430">
      <c r="A13430" s="9"/>
      <c r="B13430" s="9"/>
    </row>
    <row r="13431">
      <c r="A13431" s="9"/>
      <c r="B13431" s="9"/>
    </row>
    <row r="13432">
      <c r="A13432" s="9"/>
      <c r="B13432" s="9"/>
    </row>
    <row r="13433">
      <c r="A13433" s="9"/>
      <c r="B13433" s="9"/>
    </row>
    <row r="13434">
      <c r="A13434" s="9"/>
      <c r="B13434" s="9"/>
    </row>
    <row r="13435">
      <c r="A13435" s="9"/>
      <c r="B13435" s="9"/>
    </row>
    <row r="13436">
      <c r="A13436" s="9"/>
      <c r="B13436" s="9"/>
    </row>
    <row r="13437">
      <c r="A13437" s="9"/>
      <c r="B13437" s="9"/>
    </row>
    <row r="13438">
      <c r="A13438" s="9"/>
      <c r="B13438" s="9"/>
    </row>
    <row r="13439">
      <c r="A13439" s="9"/>
      <c r="B13439" s="9"/>
    </row>
    <row r="13440">
      <c r="A13440" s="9"/>
      <c r="B13440" s="9"/>
    </row>
    <row r="13441">
      <c r="A13441" s="9"/>
      <c r="B13441" s="9"/>
    </row>
    <row r="13442">
      <c r="A13442" s="9"/>
      <c r="B13442" s="9"/>
    </row>
    <row r="13443">
      <c r="A13443" s="9"/>
      <c r="B13443" s="9"/>
    </row>
    <row r="13444">
      <c r="A13444" s="9"/>
      <c r="B13444" s="9"/>
    </row>
    <row r="13445">
      <c r="A13445" s="9"/>
      <c r="B13445" s="9"/>
    </row>
    <row r="13446">
      <c r="A13446" s="9"/>
      <c r="B13446" s="9"/>
    </row>
    <row r="13447">
      <c r="A13447" s="9"/>
      <c r="B13447" s="9"/>
    </row>
    <row r="13448">
      <c r="A13448" s="9"/>
      <c r="B13448" s="9"/>
    </row>
    <row r="13449">
      <c r="A13449" s="9"/>
      <c r="B13449" s="9"/>
    </row>
    <row r="13450">
      <c r="A13450" s="9"/>
      <c r="B13450" s="9"/>
    </row>
    <row r="13451">
      <c r="A13451" s="9"/>
      <c r="B13451" s="9"/>
    </row>
    <row r="13452">
      <c r="A13452" s="9"/>
      <c r="B13452" s="9"/>
    </row>
    <row r="13453">
      <c r="A13453" s="9"/>
      <c r="B13453" s="9"/>
    </row>
    <row r="13454">
      <c r="A13454" s="9"/>
      <c r="B13454" s="9"/>
    </row>
    <row r="13455">
      <c r="A13455" s="9"/>
      <c r="B13455" s="9"/>
    </row>
    <row r="13456">
      <c r="A13456" s="9"/>
      <c r="B13456" s="9"/>
    </row>
    <row r="13457">
      <c r="A13457" s="9"/>
      <c r="B13457" s="9"/>
    </row>
    <row r="13458">
      <c r="A13458" s="9"/>
      <c r="B13458" s="9"/>
    </row>
    <row r="13459">
      <c r="A13459" s="9"/>
      <c r="B13459" s="9"/>
    </row>
    <row r="13460">
      <c r="A13460" s="9"/>
      <c r="B13460" s="9"/>
    </row>
    <row r="13461">
      <c r="A13461" s="9"/>
      <c r="B13461" s="9"/>
    </row>
    <row r="13462">
      <c r="A13462" s="9"/>
      <c r="B13462" s="9"/>
    </row>
    <row r="13463">
      <c r="A13463" s="9"/>
      <c r="B13463" s="9"/>
    </row>
    <row r="13464">
      <c r="A13464" s="9"/>
      <c r="B13464" s="9"/>
    </row>
    <row r="13465">
      <c r="A13465" s="9"/>
      <c r="B13465" s="9"/>
    </row>
    <row r="13466">
      <c r="A13466" s="9"/>
      <c r="B13466" s="9"/>
    </row>
    <row r="13467">
      <c r="A13467" s="9"/>
      <c r="B13467" s="9"/>
    </row>
    <row r="13468">
      <c r="A13468" s="9"/>
      <c r="B13468" s="9"/>
    </row>
    <row r="13469">
      <c r="A13469" s="9"/>
      <c r="B13469" s="9"/>
    </row>
    <row r="13470">
      <c r="A13470" s="9"/>
      <c r="B13470" s="9"/>
    </row>
    <row r="13471">
      <c r="A13471" s="9"/>
      <c r="B13471" s="9"/>
    </row>
    <row r="13472">
      <c r="A13472" s="9"/>
      <c r="B13472" s="9"/>
    </row>
    <row r="13473">
      <c r="A13473" s="9"/>
      <c r="B13473" s="9"/>
    </row>
    <row r="13474">
      <c r="A13474" s="9"/>
      <c r="B13474" s="9"/>
    </row>
    <row r="13475">
      <c r="A13475" s="9"/>
      <c r="B13475" s="9"/>
    </row>
    <row r="13476">
      <c r="A13476" s="9"/>
      <c r="B13476" s="9"/>
    </row>
    <row r="13477">
      <c r="A13477" s="9"/>
      <c r="B13477" s="9"/>
    </row>
    <row r="13478">
      <c r="A13478" s="9"/>
      <c r="B13478" s="9"/>
    </row>
    <row r="13479">
      <c r="A13479" s="9"/>
      <c r="B13479" s="9"/>
    </row>
    <row r="13480">
      <c r="A13480" s="9"/>
      <c r="B13480" s="9"/>
    </row>
    <row r="13481">
      <c r="A13481" s="9"/>
      <c r="B13481" s="9"/>
    </row>
    <row r="13482">
      <c r="A13482" s="9"/>
      <c r="B13482" s="9"/>
    </row>
    <row r="13483">
      <c r="A13483" s="9"/>
      <c r="B13483" s="9"/>
    </row>
    <row r="13484">
      <c r="A13484" s="9"/>
      <c r="B13484" s="9"/>
    </row>
    <row r="13485">
      <c r="A13485" s="9"/>
      <c r="B13485" s="9"/>
    </row>
    <row r="13486">
      <c r="A13486" s="9"/>
      <c r="B13486" s="9"/>
    </row>
    <row r="13487">
      <c r="A13487" s="9"/>
      <c r="B13487" s="9"/>
    </row>
    <row r="13488">
      <c r="A13488" s="9"/>
      <c r="B13488" s="9"/>
    </row>
    <row r="13489">
      <c r="A13489" s="9"/>
      <c r="B13489" s="9"/>
    </row>
    <row r="13490">
      <c r="A13490" s="9"/>
      <c r="B13490" s="9"/>
    </row>
    <row r="13491">
      <c r="A13491" s="9"/>
      <c r="B13491" s="9"/>
    </row>
    <row r="13492">
      <c r="A13492" s="9"/>
      <c r="B13492" s="9"/>
    </row>
    <row r="13493">
      <c r="A13493" s="9"/>
      <c r="B13493" s="9"/>
    </row>
    <row r="13494">
      <c r="A13494" s="9"/>
      <c r="B13494" s="9"/>
    </row>
    <row r="13495">
      <c r="A13495" s="9"/>
      <c r="B13495" s="9"/>
    </row>
    <row r="13496">
      <c r="A13496" s="9"/>
      <c r="B13496" s="9"/>
    </row>
    <row r="13497">
      <c r="A13497" s="9"/>
      <c r="B13497" s="9"/>
    </row>
    <row r="13498">
      <c r="A13498" s="9"/>
      <c r="B13498" s="9"/>
    </row>
    <row r="13499">
      <c r="A13499" s="9"/>
      <c r="B13499" s="9"/>
    </row>
    <row r="13500">
      <c r="A13500" s="9"/>
      <c r="B13500" s="9"/>
    </row>
    <row r="13501">
      <c r="A13501" s="9"/>
      <c r="B13501" s="9"/>
    </row>
    <row r="13502">
      <c r="A13502" s="9"/>
      <c r="B13502" s="9"/>
    </row>
    <row r="13503">
      <c r="A13503" s="9"/>
      <c r="B13503" s="9"/>
    </row>
    <row r="13504">
      <c r="A13504" s="9"/>
      <c r="B13504" s="9"/>
    </row>
    <row r="13505">
      <c r="A13505" s="9"/>
      <c r="B13505" s="9"/>
    </row>
    <row r="13506">
      <c r="A13506" s="9"/>
      <c r="B13506" s="9"/>
    </row>
    <row r="13507">
      <c r="A13507" s="9"/>
      <c r="B13507" s="9"/>
    </row>
    <row r="13508">
      <c r="A13508" s="9"/>
      <c r="B13508" s="9"/>
    </row>
    <row r="13509">
      <c r="A13509" s="9"/>
      <c r="B13509" s="9"/>
    </row>
    <row r="13510">
      <c r="A13510" s="9"/>
      <c r="B13510" s="9"/>
    </row>
    <row r="13511">
      <c r="A13511" s="9"/>
      <c r="B13511" s="9"/>
    </row>
    <row r="13512">
      <c r="A13512" s="9"/>
      <c r="B13512" s="9"/>
    </row>
    <row r="13513">
      <c r="A13513" s="9"/>
      <c r="B13513" s="9"/>
    </row>
    <row r="13514">
      <c r="A13514" s="9"/>
      <c r="B13514" s="9"/>
    </row>
    <row r="13515">
      <c r="A13515" s="9"/>
      <c r="B13515" s="9"/>
    </row>
    <row r="13516">
      <c r="A13516" s="9"/>
      <c r="B13516" s="9"/>
    </row>
    <row r="13517">
      <c r="A13517" s="9"/>
      <c r="B13517" s="9"/>
    </row>
    <row r="13518">
      <c r="A13518" s="9"/>
      <c r="B13518" s="9"/>
    </row>
    <row r="13519">
      <c r="A13519" s="9"/>
      <c r="B13519" s="9"/>
    </row>
    <row r="13520">
      <c r="A13520" s="9"/>
      <c r="B13520" s="9"/>
    </row>
    <row r="13521">
      <c r="A13521" s="9"/>
      <c r="B13521" s="9"/>
    </row>
    <row r="13522">
      <c r="A13522" s="9"/>
      <c r="B13522" s="9"/>
    </row>
    <row r="13523">
      <c r="A13523" s="9"/>
      <c r="B13523" s="9"/>
    </row>
    <row r="13524">
      <c r="A13524" s="9"/>
      <c r="B13524" s="9"/>
    </row>
    <row r="13525">
      <c r="A13525" s="9"/>
      <c r="B13525" s="9"/>
    </row>
    <row r="13526">
      <c r="A13526" s="9"/>
      <c r="B13526" s="9"/>
    </row>
    <row r="13527">
      <c r="A13527" s="9"/>
      <c r="B13527" s="9"/>
    </row>
    <row r="13528">
      <c r="A13528" s="9"/>
      <c r="B13528" s="9"/>
    </row>
    <row r="13529">
      <c r="A13529" s="9"/>
      <c r="B13529" s="9"/>
    </row>
    <row r="13530">
      <c r="A13530" s="9"/>
      <c r="B13530" s="9"/>
    </row>
    <row r="13531">
      <c r="A13531" s="9"/>
      <c r="B13531" s="9"/>
    </row>
    <row r="13532">
      <c r="A13532" s="9"/>
      <c r="B13532" s="9"/>
    </row>
    <row r="13533">
      <c r="A13533" s="9"/>
      <c r="B13533" s="9"/>
    </row>
    <row r="13534">
      <c r="A13534" s="9"/>
      <c r="B13534" s="9"/>
    </row>
    <row r="13535">
      <c r="A13535" s="9"/>
      <c r="B13535" s="9"/>
    </row>
    <row r="13536">
      <c r="A13536" s="9"/>
      <c r="B13536" s="9"/>
    </row>
    <row r="13537">
      <c r="A13537" s="9"/>
      <c r="B13537" s="9"/>
    </row>
    <row r="13538">
      <c r="A13538" s="9"/>
      <c r="B13538" s="9"/>
    </row>
    <row r="13539">
      <c r="A13539" s="9"/>
      <c r="B13539" s="9"/>
    </row>
    <row r="13540">
      <c r="A13540" s="9"/>
      <c r="B13540" s="9"/>
    </row>
    <row r="13541">
      <c r="A13541" s="9"/>
      <c r="B13541" s="9"/>
    </row>
    <row r="13542">
      <c r="A13542" s="9"/>
      <c r="B13542" s="9"/>
    </row>
    <row r="13543">
      <c r="A13543" s="9"/>
      <c r="B13543" s="9"/>
    </row>
    <row r="13544">
      <c r="A13544" s="9"/>
      <c r="B13544" s="9"/>
    </row>
    <row r="13545">
      <c r="A13545" s="9"/>
      <c r="B13545" s="9"/>
    </row>
    <row r="13546">
      <c r="A13546" s="9"/>
      <c r="B13546" s="9"/>
    </row>
    <row r="13547">
      <c r="A13547" s="9"/>
      <c r="B13547" s="9"/>
    </row>
    <row r="13548">
      <c r="A13548" s="9"/>
      <c r="B13548" s="9"/>
    </row>
    <row r="13549">
      <c r="A13549" s="9"/>
      <c r="B13549" s="9"/>
    </row>
    <row r="13550">
      <c r="A13550" s="9"/>
      <c r="B13550" s="9"/>
    </row>
    <row r="13551">
      <c r="A13551" s="9"/>
      <c r="B13551" s="9"/>
    </row>
    <row r="13552">
      <c r="A13552" s="9"/>
      <c r="B13552" s="9"/>
    </row>
    <row r="13553">
      <c r="A13553" s="9"/>
      <c r="B13553" s="9"/>
    </row>
    <row r="13554">
      <c r="A13554" s="9"/>
      <c r="B13554" s="9"/>
    </row>
    <row r="13555">
      <c r="A13555" s="9"/>
      <c r="B13555" s="9"/>
    </row>
    <row r="13556">
      <c r="A13556" s="9"/>
      <c r="B13556" s="9"/>
    </row>
    <row r="13557">
      <c r="A13557" s="9"/>
      <c r="B13557" s="9"/>
    </row>
    <row r="13558">
      <c r="A13558" s="9"/>
      <c r="B13558" s="9"/>
    </row>
    <row r="13559">
      <c r="A13559" s="9"/>
      <c r="B13559" s="9"/>
    </row>
    <row r="13560">
      <c r="A13560" s="9"/>
      <c r="B13560" s="9"/>
    </row>
    <row r="13561">
      <c r="A13561" s="9"/>
      <c r="B13561" s="9"/>
    </row>
    <row r="13562">
      <c r="A13562" s="9"/>
      <c r="B13562" s="9"/>
    </row>
    <row r="13563">
      <c r="A13563" s="9"/>
      <c r="B13563" s="9"/>
    </row>
    <row r="13564">
      <c r="A13564" s="9"/>
      <c r="B13564" s="9"/>
    </row>
    <row r="13565">
      <c r="A13565" s="9"/>
      <c r="B13565" s="9"/>
    </row>
    <row r="13566">
      <c r="A13566" s="9"/>
      <c r="B13566" s="9"/>
    </row>
    <row r="13567">
      <c r="A13567" s="9"/>
      <c r="B13567" s="9"/>
    </row>
    <row r="13568">
      <c r="A13568" s="9"/>
      <c r="B13568" s="9"/>
    </row>
    <row r="13569">
      <c r="A13569" s="9"/>
      <c r="B13569" s="9"/>
    </row>
    <row r="13570">
      <c r="A13570" s="9"/>
      <c r="B13570" s="9"/>
    </row>
    <row r="13571">
      <c r="A13571" s="9"/>
      <c r="B13571" s="9"/>
    </row>
    <row r="13572">
      <c r="A13572" s="9"/>
      <c r="B13572" s="9"/>
    </row>
    <row r="13573">
      <c r="A13573" s="9"/>
      <c r="B13573" s="9"/>
    </row>
    <row r="13574">
      <c r="A13574" s="9"/>
      <c r="B13574" s="9"/>
    </row>
    <row r="13575">
      <c r="A13575" s="9"/>
      <c r="B13575" s="9"/>
    </row>
    <row r="13576">
      <c r="A13576" s="9"/>
      <c r="B13576" s="9"/>
    </row>
    <row r="13577">
      <c r="A13577" s="9"/>
      <c r="B13577" s="9"/>
    </row>
    <row r="13578">
      <c r="A13578" s="9"/>
      <c r="B13578" s="9"/>
    </row>
    <row r="13579">
      <c r="A13579" s="9"/>
      <c r="B13579" s="9"/>
    </row>
    <row r="13580">
      <c r="A13580" s="9"/>
      <c r="B13580" s="9"/>
    </row>
    <row r="13581">
      <c r="A13581" s="9"/>
      <c r="B13581" s="9"/>
    </row>
    <row r="13582">
      <c r="A13582" s="9"/>
      <c r="B13582" s="9"/>
    </row>
    <row r="13583">
      <c r="A13583" s="9"/>
      <c r="B13583" s="9"/>
    </row>
    <row r="13584">
      <c r="A13584" s="9"/>
      <c r="B13584" s="9"/>
    </row>
    <row r="13585">
      <c r="A13585" s="9"/>
      <c r="B13585" s="9"/>
    </row>
    <row r="13586">
      <c r="A13586" s="9"/>
      <c r="B13586" s="9"/>
    </row>
    <row r="13587">
      <c r="A13587" s="9"/>
      <c r="B13587" s="9"/>
    </row>
    <row r="13588">
      <c r="A13588" s="9"/>
      <c r="B13588" s="9"/>
    </row>
    <row r="13589">
      <c r="A13589" s="9"/>
      <c r="B13589" s="9"/>
    </row>
    <row r="13590">
      <c r="A13590" s="9"/>
      <c r="B13590" s="9"/>
    </row>
    <row r="13591">
      <c r="A13591" s="9"/>
      <c r="B13591" s="9"/>
    </row>
    <row r="13592">
      <c r="A13592" s="9"/>
      <c r="B13592" s="9"/>
    </row>
    <row r="13593">
      <c r="A13593" s="9"/>
      <c r="B13593" s="9"/>
    </row>
    <row r="13594">
      <c r="A13594" s="9"/>
      <c r="B13594" s="9"/>
    </row>
    <row r="13595">
      <c r="A13595" s="9"/>
      <c r="B13595" s="9"/>
    </row>
    <row r="13596">
      <c r="A13596" s="9"/>
      <c r="B13596" s="9"/>
    </row>
    <row r="13597">
      <c r="A13597" s="9"/>
      <c r="B13597" s="9"/>
    </row>
    <row r="13598">
      <c r="A13598" s="9"/>
      <c r="B13598" s="9"/>
    </row>
    <row r="13599">
      <c r="A13599" s="9"/>
      <c r="B13599" s="9"/>
    </row>
    <row r="13600">
      <c r="A13600" s="9"/>
      <c r="B13600" s="9"/>
    </row>
    <row r="13601">
      <c r="A13601" s="9"/>
      <c r="B13601" s="9"/>
    </row>
    <row r="13602">
      <c r="A13602" s="9"/>
      <c r="B13602" s="9"/>
    </row>
    <row r="13603">
      <c r="A13603" s="9"/>
      <c r="B13603" s="9"/>
    </row>
    <row r="13604">
      <c r="A13604" s="9"/>
      <c r="B13604" s="9"/>
    </row>
    <row r="13605">
      <c r="A13605" s="9"/>
      <c r="B13605" s="9"/>
    </row>
    <row r="13606">
      <c r="A13606" s="9"/>
      <c r="B13606" s="9"/>
    </row>
    <row r="13607">
      <c r="A13607" s="9"/>
      <c r="B13607" s="9"/>
    </row>
    <row r="13608">
      <c r="A13608" s="9"/>
      <c r="B13608" s="9"/>
    </row>
    <row r="13609">
      <c r="A13609" s="9"/>
      <c r="B13609" s="9"/>
    </row>
    <row r="13610">
      <c r="A13610" s="9"/>
      <c r="B13610" s="9"/>
    </row>
    <row r="13611">
      <c r="A13611" s="9"/>
      <c r="B13611" s="9"/>
    </row>
    <row r="13612">
      <c r="A13612" s="9"/>
      <c r="B13612" s="9"/>
    </row>
    <row r="13613">
      <c r="A13613" s="9"/>
      <c r="B13613" s="9"/>
    </row>
    <row r="13614">
      <c r="A13614" s="9"/>
      <c r="B13614" s="9"/>
    </row>
    <row r="13615">
      <c r="A13615" s="9"/>
      <c r="B13615" s="9"/>
    </row>
    <row r="13616">
      <c r="A13616" s="9"/>
      <c r="B13616" s="9"/>
    </row>
    <row r="13617">
      <c r="A13617" s="9"/>
      <c r="B13617" s="9"/>
    </row>
    <row r="13618">
      <c r="A13618" s="9"/>
      <c r="B13618" s="9"/>
    </row>
    <row r="13619">
      <c r="A13619" s="9"/>
      <c r="B13619" s="9"/>
    </row>
    <row r="13620">
      <c r="A13620" s="9"/>
      <c r="B13620" s="9"/>
    </row>
    <row r="13621">
      <c r="A13621" s="9"/>
      <c r="B13621" s="9"/>
    </row>
    <row r="13622">
      <c r="A13622" s="9"/>
      <c r="B13622" s="9"/>
    </row>
    <row r="13623">
      <c r="A13623" s="9"/>
      <c r="B13623" s="9"/>
    </row>
    <row r="13624">
      <c r="A13624" s="9"/>
      <c r="B13624" s="9"/>
    </row>
    <row r="13625">
      <c r="A13625" s="9"/>
      <c r="B13625" s="9"/>
    </row>
    <row r="13626">
      <c r="A13626" s="9"/>
      <c r="B13626" s="9"/>
    </row>
    <row r="13627">
      <c r="A13627" s="9"/>
      <c r="B13627" s="9"/>
    </row>
    <row r="13628">
      <c r="A13628" s="9"/>
      <c r="B13628" s="9"/>
    </row>
    <row r="13629">
      <c r="A13629" s="9"/>
      <c r="B13629" s="9"/>
    </row>
    <row r="13630">
      <c r="A13630" s="9"/>
      <c r="B13630" s="9"/>
    </row>
    <row r="13631">
      <c r="A13631" s="9"/>
      <c r="B13631" s="9"/>
    </row>
    <row r="13632">
      <c r="A13632" s="9"/>
      <c r="B13632" s="9"/>
    </row>
    <row r="13633">
      <c r="A13633" s="9"/>
      <c r="B13633" s="9"/>
    </row>
    <row r="13634">
      <c r="A13634" s="9"/>
      <c r="B13634" s="9"/>
    </row>
    <row r="13635">
      <c r="A13635" s="9"/>
      <c r="B13635" s="9"/>
    </row>
    <row r="13636">
      <c r="A13636" s="9"/>
      <c r="B13636" s="9"/>
    </row>
    <row r="13637">
      <c r="A13637" s="9"/>
      <c r="B13637" s="9"/>
    </row>
    <row r="13638">
      <c r="A13638" s="9"/>
      <c r="B13638" s="9"/>
    </row>
    <row r="13639">
      <c r="A13639" s="9"/>
      <c r="B13639" s="9"/>
    </row>
    <row r="13640">
      <c r="A13640" s="9"/>
      <c r="B13640" s="9"/>
    </row>
    <row r="13641">
      <c r="A13641" s="9"/>
      <c r="B13641" s="9"/>
    </row>
    <row r="13642">
      <c r="A13642" s="9"/>
      <c r="B13642" s="9"/>
    </row>
    <row r="13643">
      <c r="A13643" s="9"/>
      <c r="B13643" s="9"/>
    </row>
    <row r="13644">
      <c r="A13644" s="9"/>
      <c r="B13644" s="9"/>
    </row>
    <row r="13645">
      <c r="A13645" s="9"/>
      <c r="B13645" s="9"/>
    </row>
    <row r="13646">
      <c r="A13646" s="9"/>
      <c r="B13646" s="9"/>
    </row>
    <row r="13647">
      <c r="A13647" s="9"/>
      <c r="B13647" s="9"/>
    </row>
    <row r="13648">
      <c r="A13648" s="9"/>
      <c r="B13648" s="9"/>
    </row>
    <row r="13649">
      <c r="A13649" s="9"/>
      <c r="B13649" s="9"/>
    </row>
    <row r="13650">
      <c r="A13650" s="9"/>
      <c r="B13650" s="9"/>
    </row>
    <row r="13651">
      <c r="A13651" s="9"/>
      <c r="B13651" s="9"/>
    </row>
    <row r="13652">
      <c r="A13652" s="9"/>
      <c r="B13652" s="9"/>
    </row>
    <row r="13653">
      <c r="A13653" s="9"/>
      <c r="B13653" s="9"/>
    </row>
    <row r="13654">
      <c r="A13654" s="9"/>
      <c r="B13654" s="9"/>
    </row>
    <row r="13655">
      <c r="A13655" s="9"/>
      <c r="B13655" s="9"/>
    </row>
    <row r="13656">
      <c r="A13656" s="9"/>
      <c r="B13656" s="9"/>
    </row>
    <row r="13657">
      <c r="A13657" s="9"/>
      <c r="B13657" s="9"/>
    </row>
    <row r="13658">
      <c r="A13658" s="9"/>
      <c r="B13658" s="9"/>
    </row>
    <row r="13659">
      <c r="A13659" s="9"/>
      <c r="B13659" s="9"/>
    </row>
    <row r="13660">
      <c r="A13660" s="9"/>
      <c r="B13660" s="9"/>
    </row>
    <row r="13661">
      <c r="A13661" s="9"/>
      <c r="B13661" s="9"/>
    </row>
    <row r="13662">
      <c r="A13662" s="9"/>
      <c r="B13662" s="9"/>
    </row>
    <row r="13663">
      <c r="A13663" s="9"/>
      <c r="B13663" s="9"/>
    </row>
    <row r="13664">
      <c r="A13664" s="9"/>
      <c r="B13664" s="9"/>
    </row>
    <row r="13665">
      <c r="A13665" s="9"/>
      <c r="B13665" s="9"/>
    </row>
    <row r="13666">
      <c r="A13666" s="9"/>
      <c r="B13666" s="9"/>
    </row>
    <row r="13667">
      <c r="A13667" s="9"/>
      <c r="B13667" s="9"/>
    </row>
    <row r="13668">
      <c r="A13668" s="9"/>
      <c r="B13668" s="9"/>
    </row>
    <row r="13669">
      <c r="A13669" s="9"/>
      <c r="B13669" s="9"/>
    </row>
    <row r="13670">
      <c r="A13670" s="9"/>
      <c r="B13670" s="9"/>
    </row>
    <row r="13671">
      <c r="A13671" s="9"/>
      <c r="B13671" s="9"/>
    </row>
    <row r="13672">
      <c r="A13672" s="9"/>
      <c r="B13672" s="9"/>
    </row>
    <row r="13673">
      <c r="A13673" s="9"/>
      <c r="B13673" s="9"/>
    </row>
    <row r="13674">
      <c r="A13674" s="9"/>
      <c r="B13674" s="9"/>
    </row>
    <row r="13675">
      <c r="A13675" s="9"/>
      <c r="B13675" s="9"/>
    </row>
    <row r="13676">
      <c r="A13676" s="9"/>
      <c r="B13676" s="9"/>
    </row>
    <row r="13677">
      <c r="A13677" s="9"/>
      <c r="B13677" s="9"/>
    </row>
    <row r="13678">
      <c r="A13678" s="9"/>
      <c r="B13678" s="9"/>
    </row>
    <row r="13679">
      <c r="A13679" s="9"/>
      <c r="B13679" s="9"/>
    </row>
    <row r="13680">
      <c r="A13680" s="9"/>
      <c r="B13680" s="9"/>
    </row>
    <row r="13681">
      <c r="A13681" s="9"/>
      <c r="B13681" s="9"/>
    </row>
    <row r="13682">
      <c r="A13682" s="9"/>
      <c r="B13682" s="9"/>
    </row>
    <row r="13683">
      <c r="A13683" s="9"/>
      <c r="B13683" s="9"/>
    </row>
    <row r="13684">
      <c r="A13684" s="9"/>
      <c r="B13684" s="9"/>
    </row>
    <row r="13685">
      <c r="A13685" s="9"/>
      <c r="B13685" s="9"/>
    </row>
    <row r="13686">
      <c r="A13686" s="9"/>
      <c r="B13686" s="9"/>
    </row>
    <row r="13687">
      <c r="A13687" s="9"/>
      <c r="B13687" s="9"/>
    </row>
    <row r="13688">
      <c r="A13688" s="9"/>
      <c r="B13688" s="9"/>
    </row>
    <row r="13689">
      <c r="A13689" s="9"/>
      <c r="B13689" s="9"/>
    </row>
    <row r="13690">
      <c r="A13690" s="9"/>
      <c r="B13690" s="9"/>
    </row>
    <row r="13691">
      <c r="A13691" s="9"/>
      <c r="B13691" s="9"/>
    </row>
    <row r="13692">
      <c r="A13692" s="9"/>
      <c r="B13692" s="9"/>
    </row>
    <row r="13693">
      <c r="A13693" s="9"/>
      <c r="B13693" s="9"/>
    </row>
    <row r="13694">
      <c r="A13694" s="9"/>
      <c r="B13694" s="9"/>
    </row>
    <row r="13695">
      <c r="A13695" s="9"/>
      <c r="B13695" s="9"/>
    </row>
    <row r="13696">
      <c r="A13696" s="9"/>
      <c r="B13696" s="9"/>
    </row>
    <row r="13697">
      <c r="A13697" s="9"/>
      <c r="B13697" s="9"/>
    </row>
    <row r="13698">
      <c r="A13698" s="9"/>
      <c r="B13698" s="9"/>
    </row>
    <row r="13699">
      <c r="A13699" s="9"/>
      <c r="B13699" s="9"/>
    </row>
    <row r="13700">
      <c r="A13700" s="9"/>
      <c r="B13700" s="9"/>
    </row>
    <row r="13701">
      <c r="A13701" s="9"/>
      <c r="B13701" s="9"/>
    </row>
    <row r="13702">
      <c r="A13702" s="9"/>
      <c r="B13702" s="9"/>
    </row>
    <row r="13703">
      <c r="A13703" s="9"/>
      <c r="B13703" s="9"/>
    </row>
    <row r="13704">
      <c r="A13704" s="9"/>
      <c r="B13704" s="9"/>
    </row>
    <row r="13705">
      <c r="A13705" s="9"/>
      <c r="B13705" s="9"/>
    </row>
    <row r="13706">
      <c r="A13706" s="9"/>
      <c r="B13706" s="9"/>
    </row>
    <row r="13707">
      <c r="A13707" s="9"/>
      <c r="B13707" s="9"/>
    </row>
    <row r="13708">
      <c r="A13708" s="9"/>
      <c r="B13708" s="9"/>
    </row>
    <row r="13709">
      <c r="A13709" s="9"/>
      <c r="B13709" s="9"/>
    </row>
    <row r="13710">
      <c r="A13710" s="9"/>
      <c r="B13710" s="9"/>
    </row>
    <row r="13711">
      <c r="A13711" s="9"/>
      <c r="B13711" s="9"/>
    </row>
    <row r="13712">
      <c r="A13712" s="9"/>
      <c r="B13712" s="9"/>
    </row>
    <row r="13713">
      <c r="A13713" s="9"/>
      <c r="B13713" s="9"/>
    </row>
    <row r="13714">
      <c r="A13714" s="9"/>
      <c r="B13714" s="9"/>
    </row>
    <row r="13715">
      <c r="A13715" s="9"/>
      <c r="B13715" s="9"/>
    </row>
    <row r="13716">
      <c r="A13716" s="9"/>
      <c r="B13716" s="9"/>
    </row>
    <row r="13717">
      <c r="A13717" s="9"/>
      <c r="B13717" s="9"/>
    </row>
    <row r="13718">
      <c r="A13718" s="9"/>
      <c r="B13718" s="9"/>
    </row>
    <row r="13719">
      <c r="A13719" s="9"/>
      <c r="B13719" s="9"/>
    </row>
    <row r="13720">
      <c r="A13720" s="9"/>
      <c r="B13720" s="9"/>
    </row>
    <row r="13721">
      <c r="A13721" s="9"/>
      <c r="B13721" s="9"/>
    </row>
    <row r="13722">
      <c r="A13722" s="9"/>
      <c r="B13722" s="9"/>
    </row>
    <row r="13723">
      <c r="A13723" s="9"/>
      <c r="B13723" s="9"/>
    </row>
    <row r="13724">
      <c r="A13724" s="9"/>
      <c r="B13724" s="9"/>
    </row>
    <row r="13725">
      <c r="A13725" s="9"/>
      <c r="B13725" s="9"/>
    </row>
    <row r="13726">
      <c r="A13726" s="9"/>
      <c r="B13726" s="9"/>
    </row>
    <row r="13727">
      <c r="A13727" s="9"/>
      <c r="B13727" s="9"/>
    </row>
    <row r="13728">
      <c r="A13728" s="9"/>
      <c r="B13728" s="9"/>
    </row>
    <row r="13729">
      <c r="A13729" s="9"/>
      <c r="B13729" s="9"/>
    </row>
    <row r="13730">
      <c r="A13730" s="9"/>
      <c r="B13730" s="9"/>
    </row>
    <row r="13731">
      <c r="A13731" s="9"/>
      <c r="B13731" s="9"/>
    </row>
    <row r="13732">
      <c r="A13732" s="9"/>
      <c r="B13732" s="9"/>
    </row>
    <row r="13733">
      <c r="A13733" s="9"/>
      <c r="B13733" s="9"/>
    </row>
    <row r="13734">
      <c r="A13734" s="9"/>
      <c r="B13734" s="9"/>
    </row>
    <row r="13735">
      <c r="A13735" s="9"/>
      <c r="B13735" s="9"/>
    </row>
    <row r="13736">
      <c r="A13736" s="9"/>
      <c r="B13736" s="9"/>
    </row>
    <row r="13737">
      <c r="A13737" s="9"/>
      <c r="B13737" s="9"/>
    </row>
    <row r="13738">
      <c r="A13738" s="9"/>
      <c r="B13738" s="9"/>
    </row>
    <row r="13739">
      <c r="A13739" s="9"/>
      <c r="B13739" s="9"/>
    </row>
    <row r="13740">
      <c r="A13740" s="9"/>
      <c r="B13740" s="9"/>
    </row>
    <row r="13741">
      <c r="A13741" s="9"/>
      <c r="B13741" s="9"/>
    </row>
    <row r="13742">
      <c r="A13742" s="9"/>
      <c r="B13742" s="9"/>
    </row>
    <row r="13743">
      <c r="A13743" s="9"/>
      <c r="B13743" s="9"/>
    </row>
    <row r="13744">
      <c r="A13744" s="9"/>
      <c r="B13744" s="9"/>
    </row>
    <row r="13745">
      <c r="A13745" s="9"/>
      <c r="B13745" s="9"/>
    </row>
    <row r="13746">
      <c r="A13746" s="9"/>
      <c r="B13746" s="9"/>
    </row>
    <row r="13747">
      <c r="A13747" s="9"/>
      <c r="B13747" s="9"/>
    </row>
    <row r="13748">
      <c r="A13748" s="9"/>
      <c r="B13748" s="9"/>
    </row>
    <row r="13749">
      <c r="A13749" s="9"/>
      <c r="B13749" s="9"/>
    </row>
    <row r="13750">
      <c r="A13750" s="9"/>
      <c r="B13750" s="9"/>
    </row>
    <row r="13751">
      <c r="A13751" s="9"/>
      <c r="B13751" s="9"/>
    </row>
    <row r="13752">
      <c r="A13752" s="9"/>
      <c r="B13752" s="9"/>
    </row>
    <row r="13753">
      <c r="A13753" s="9"/>
      <c r="B13753" s="9"/>
    </row>
    <row r="13754">
      <c r="A13754" s="9"/>
      <c r="B13754" s="9"/>
    </row>
    <row r="13755">
      <c r="A13755" s="9"/>
      <c r="B13755" s="9"/>
    </row>
    <row r="13756">
      <c r="A13756" s="9"/>
      <c r="B13756" s="9"/>
    </row>
    <row r="13757">
      <c r="A13757" s="9"/>
      <c r="B13757" s="9"/>
    </row>
    <row r="13758">
      <c r="A13758" s="9"/>
      <c r="B13758" s="9"/>
    </row>
    <row r="13759">
      <c r="A13759" s="9"/>
      <c r="B13759" s="9"/>
    </row>
    <row r="13760">
      <c r="A13760" s="9"/>
      <c r="B13760" s="9"/>
    </row>
    <row r="13761">
      <c r="A13761" s="9"/>
      <c r="B13761" s="9"/>
    </row>
    <row r="13762">
      <c r="A13762" s="9"/>
      <c r="B13762" s="9"/>
    </row>
    <row r="13763">
      <c r="A13763" s="9"/>
      <c r="B13763" s="9"/>
    </row>
    <row r="13764">
      <c r="A13764" s="9"/>
      <c r="B13764" s="9"/>
    </row>
    <row r="13765">
      <c r="A13765" s="9"/>
      <c r="B13765" s="9"/>
    </row>
    <row r="13766">
      <c r="A13766" s="9"/>
      <c r="B13766" s="9"/>
    </row>
    <row r="13767">
      <c r="A13767" s="9"/>
      <c r="B13767" s="9"/>
    </row>
    <row r="13768">
      <c r="A13768" s="9"/>
      <c r="B13768" s="9"/>
    </row>
    <row r="13769">
      <c r="A13769" s="9"/>
      <c r="B13769" s="9"/>
    </row>
    <row r="13770">
      <c r="A13770" s="9"/>
      <c r="B13770" s="9"/>
    </row>
    <row r="13771">
      <c r="A13771" s="9"/>
      <c r="B13771" s="9"/>
    </row>
    <row r="13772">
      <c r="A13772" s="9"/>
      <c r="B13772" s="9"/>
    </row>
    <row r="13773">
      <c r="A13773" s="9"/>
      <c r="B13773" s="9"/>
    </row>
    <row r="13774">
      <c r="A13774" s="9"/>
      <c r="B13774" s="9"/>
    </row>
    <row r="13775">
      <c r="A13775" s="9"/>
      <c r="B13775" s="9"/>
    </row>
    <row r="13776">
      <c r="A13776" s="9"/>
      <c r="B13776" s="9"/>
    </row>
    <row r="13777">
      <c r="A13777" s="9"/>
      <c r="B13777" s="9"/>
    </row>
    <row r="13778">
      <c r="A13778" s="9"/>
      <c r="B13778" s="9"/>
    </row>
    <row r="13779">
      <c r="A13779" s="9"/>
      <c r="B13779" s="9"/>
    </row>
    <row r="13780">
      <c r="A13780" s="9"/>
      <c r="B13780" s="9"/>
    </row>
    <row r="13781">
      <c r="A13781" s="9"/>
      <c r="B13781" s="9"/>
    </row>
    <row r="13782">
      <c r="A13782" s="9"/>
      <c r="B13782" s="9"/>
    </row>
    <row r="13783">
      <c r="A13783" s="9"/>
      <c r="B13783" s="9"/>
    </row>
    <row r="13784">
      <c r="A13784" s="9"/>
      <c r="B13784" s="9"/>
    </row>
    <row r="13785">
      <c r="A13785" s="9"/>
      <c r="B13785" s="9"/>
    </row>
    <row r="13786">
      <c r="A13786" s="9"/>
      <c r="B13786" s="9"/>
    </row>
    <row r="13787">
      <c r="A13787" s="9"/>
      <c r="B13787" s="9"/>
    </row>
    <row r="13788">
      <c r="A13788" s="9"/>
      <c r="B13788" s="9"/>
    </row>
    <row r="13789">
      <c r="A13789" s="9"/>
      <c r="B13789" s="9"/>
    </row>
    <row r="13790">
      <c r="A13790" s="9"/>
      <c r="B13790" s="9"/>
    </row>
    <row r="13791">
      <c r="A13791" s="9"/>
      <c r="B13791" s="9"/>
    </row>
    <row r="13792">
      <c r="A13792" s="9"/>
      <c r="B13792" s="9"/>
    </row>
    <row r="13793">
      <c r="A13793" s="9"/>
      <c r="B13793" s="9"/>
    </row>
    <row r="13794">
      <c r="A13794" s="9"/>
      <c r="B13794" s="9"/>
    </row>
    <row r="13795">
      <c r="A13795" s="9"/>
      <c r="B13795" s="9"/>
    </row>
    <row r="13796">
      <c r="A13796" s="9"/>
      <c r="B13796" s="9"/>
    </row>
    <row r="13797">
      <c r="A13797" s="9"/>
      <c r="B13797" s="9"/>
    </row>
    <row r="13798">
      <c r="A13798" s="9"/>
      <c r="B13798" s="9"/>
    </row>
    <row r="13799">
      <c r="A13799" s="9"/>
      <c r="B13799" s="9"/>
    </row>
    <row r="13800">
      <c r="A13800" s="9"/>
      <c r="B13800" s="9"/>
    </row>
    <row r="13801">
      <c r="A13801" s="9"/>
      <c r="B13801" s="9"/>
    </row>
    <row r="13802">
      <c r="A13802" s="9"/>
      <c r="B13802" s="9"/>
    </row>
    <row r="13803">
      <c r="A13803" s="9"/>
      <c r="B13803" s="9"/>
    </row>
    <row r="13804">
      <c r="A13804" s="9"/>
      <c r="B13804" s="9"/>
    </row>
    <row r="13805">
      <c r="A13805" s="9"/>
      <c r="B13805" s="9"/>
    </row>
    <row r="13806">
      <c r="A13806" s="9"/>
      <c r="B13806" s="9"/>
    </row>
    <row r="13807">
      <c r="A13807" s="9"/>
      <c r="B13807" s="9"/>
    </row>
    <row r="13808">
      <c r="A13808" s="9"/>
      <c r="B13808" s="9"/>
    </row>
    <row r="13809">
      <c r="A13809" s="9"/>
      <c r="B13809" s="9"/>
    </row>
    <row r="13810">
      <c r="A13810" s="9"/>
      <c r="B13810" s="9"/>
    </row>
    <row r="13811">
      <c r="A13811" s="9"/>
      <c r="B13811" s="9"/>
    </row>
    <row r="13812">
      <c r="A13812" s="9"/>
      <c r="B13812" s="9"/>
    </row>
    <row r="13813">
      <c r="A13813" s="9"/>
      <c r="B13813" s="9"/>
    </row>
    <row r="13814">
      <c r="A13814" s="9"/>
      <c r="B13814" s="9"/>
    </row>
    <row r="13815">
      <c r="A13815" s="9"/>
      <c r="B13815" s="9"/>
    </row>
    <row r="13816">
      <c r="A13816" s="9"/>
      <c r="B13816" s="9"/>
    </row>
    <row r="13817">
      <c r="A13817" s="9"/>
      <c r="B13817" s="9"/>
    </row>
    <row r="13818">
      <c r="A13818" s="9"/>
      <c r="B13818" s="9"/>
    </row>
    <row r="13819">
      <c r="A13819" s="9"/>
      <c r="B13819" s="9"/>
    </row>
    <row r="13820">
      <c r="A13820" s="9"/>
      <c r="B13820" s="9"/>
    </row>
    <row r="13821">
      <c r="A13821" s="9"/>
      <c r="B13821" s="9"/>
    </row>
    <row r="13822">
      <c r="A13822" s="9"/>
      <c r="B13822" s="9"/>
    </row>
    <row r="13823">
      <c r="A13823" s="9"/>
      <c r="B13823" s="9"/>
    </row>
    <row r="13824">
      <c r="A13824" s="9"/>
      <c r="B13824" s="9"/>
    </row>
    <row r="13825">
      <c r="A13825" s="9"/>
      <c r="B13825" s="9"/>
    </row>
    <row r="13826">
      <c r="A13826" s="9"/>
      <c r="B13826" s="9"/>
    </row>
    <row r="13827">
      <c r="A13827" s="9"/>
      <c r="B13827" s="9"/>
    </row>
    <row r="13828">
      <c r="A13828" s="9"/>
      <c r="B13828" s="9"/>
    </row>
    <row r="13829">
      <c r="A13829" s="9"/>
      <c r="B13829" s="9"/>
    </row>
    <row r="13830">
      <c r="A13830" s="9"/>
      <c r="B13830" s="9"/>
    </row>
    <row r="13831">
      <c r="A13831" s="9"/>
      <c r="B13831" s="9"/>
    </row>
    <row r="13832">
      <c r="A13832" s="9"/>
      <c r="B13832" s="9"/>
    </row>
    <row r="13833">
      <c r="A13833" s="9"/>
      <c r="B13833" s="9"/>
    </row>
    <row r="13834">
      <c r="A13834" s="9"/>
      <c r="B13834" s="9"/>
    </row>
    <row r="13835">
      <c r="A13835" s="9"/>
      <c r="B13835" s="9"/>
    </row>
    <row r="13836">
      <c r="A13836" s="9"/>
      <c r="B13836" s="9"/>
    </row>
    <row r="13837">
      <c r="A13837" s="9"/>
      <c r="B13837" s="9"/>
    </row>
    <row r="13838">
      <c r="A13838" s="9"/>
      <c r="B13838" s="9"/>
    </row>
    <row r="13839">
      <c r="A13839" s="9"/>
      <c r="B13839" s="9"/>
    </row>
    <row r="13840">
      <c r="A13840" s="9"/>
      <c r="B13840" s="9"/>
    </row>
    <row r="13841">
      <c r="A13841" s="9"/>
      <c r="B13841" s="9"/>
    </row>
    <row r="13842">
      <c r="A13842" s="9"/>
      <c r="B13842" s="9"/>
    </row>
    <row r="13843">
      <c r="A13843" s="9"/>
      <c r="B13843" s="9"/>
    </row>
    <row r="13844">
      <c r="A13844" s="9"/>
      <c r="B13844" s="9"/>
    </row>
    <row r="13845">
      <c r="A13845" s="9"/>
      <c r="B13845" s="9"/>
    </row>
    <row r="13846">
      <c r="A13846" s="9"/>
      <c r="B13846" s="9"/>
    </row>
    <row r="13847">
      <c r="A13847" s="9"/>
      <c r="B13847" s="9"/>
    </row>
    <row r="13848">
      <c r="A13848" s="9"/>
      <c r="B13848" s="9"/>
    </row>
    <row r="13849">
      <c r="A13849" s="9"/>
      <c r="B13849" s="9"/>
    </row>
    <row r="13850">
      <c r="A13850" s="9"/>
      <c r="B13850" s="9"/>
    </row>
    <row r="13851">
      <c r="A13851" s="9"/>
      <c r="B13851" s="9"/>
    </row>
    <row r="13852">
      <c r="A13852" s="9"/>
      <c r="B13852" s="9"/>
    </row>
    <row r="13853">
      <c r="A13853" s="9"/>
      <c r="B13853" s="9"/>
    </row>
    <row r="13854">
      <c r="A13854" s="9"/>
      <c r="B13854" s="9"/>
    </row>
    <row r="13855">
      <c r="A13855" s="9"/>
      <c r="B13855" s="9"/>
    </row>
    <row r="13856">
      <c r="A13856" s="9"/>
      <c r="B13856" s="9"/>
    </row>
    <row r="13857">
      <c r="A13857" s="9"/>
      <c r="B13857" s="9"/>
    </row>
    <row r="13858">
      <c r="A13858" s="9"/>
      <c r="B13858" s="9"/>
    </row>
    <row r="13859">
      <c r="A13859" s="9"/>
      <c r="B13859" s="9"/>
    </row>
    <row r="13860">
      <c r="A13860" s="9"/>
      <c r="B13860" s="9"/>
    </row>
    <row r="13861">
      <c r="A13861" s="9"/>
      <c r="B13861" s="9"/>
    </row>
    <row r="13862">
      <c r="A13862" s="9"/>
      <c r="B13862" s="9"/>
    </row>
    <row r="13863">
      <c r="A13863" s="9"/>
      <c r="B13863" s="9"/>
    </row>
    <row r="13864">
      <c r="A13864" s="9"/>
      <c r="B13864" s="9"/>
    </row>
    <row r="13865">
      <c r="A13865" s="9"/>
      <c r="B13865" s="9"/>
    </row>
    <row r="13866">
      <c r="A13866" s="9"/>
      <c r="B13866" s="9"/>
    </row>
    <row r="13867">
      <c r="A13867" s="9"/>
      <c r="B13867" s="9"/>
    </row>
    <row r="13868">
      <c r="A13868" s="9"/>
      <c r="B13868" s="9"/>
    </row>
    <row r="13869">
      <c r="A13869" s="9"/>
      <c r="B13869" s="9"/>
    </row>
    <row r="13870">
      <c r="A13870" s="9"/>
      <c r="B13870" s="9"/>
    </row>
    <row r="13871">
      <c r="A13871" s="9"/>
      <c r="B13871" s="9"/>
    </row>
    <row r="13872">
      <c r="A13872" s="9"/>
      <c r="B13872" s="9"/>
    </row>
    <row r="13873">
      <c r="A13873" s="9"/>
      <c r="B13873" s="9"/>
    </row>
    <row r="13874">
      <c r="A13874" s="9"/>
      <c r="B13874" s="9"/>
    </row>
    <row r="13875">
      <c r="A13875" s="9"/>
      <c r="B13875" s="9"/>
    </row>
    <row r="13876">
      <c r="A13876" s="9"/>
      <c r="B13876" s="9"/>
    </row>
    <row r="13877">
      <c r="A13877" s="9"/>
      <c r="B13877" s="9"/>
    </row>
    <row r="13878">
      <c r="A13878" s="9"/>
      <c r="B13878" s="9"/>
    </row>
    <row r="13879">
      <c r="A13879" s="9"/>
      <c r="B13879" s="9"/>
    </row>
    <row r="13880">
      <c r="A13880" s="9"/>
      <c r="B13880" s="9"/>
    </row>
    <row r="13881">
      <c r="A13881" s="9"/>
      <c r="B13881" s="9"/>
    </row>
    <row r="13882">
      <c r="A13882" s="9"/>
      <c r="B13882" s="9"/>
    </row>
    <row r="13883">
      <c r="A13883" s="9"/>
      <c r="B13883" s="9"/>
    </row>
    <row r="13884">
      <c r="A13884" s="9"/>
      <c r="B13884" s="9"/>
    </row>
    <row r="13885">
      <c r="A13885" s="9"/>
      <c r="B13885" s="9"/>
    </row>
    <row r="13886">
      <c r="A13886" s="9"/>
      <c r="B13886" s="9"/>
    </row>
    <row r="13887">
      <c r="A13887" s="9"/>
      <c r="B13887" s="9"/>
    </row>
    <row r="13888">
      <c r="A13888" s="9"/>
      <c r="B13888" s="9"/>
    </row>
    <row r="13889">
      <c r="A13889" s="9"/>
      <c r="B13889" s="9"/>
    </row>
    <row r="13890">
      <c r="A13890" s="9"/>
      <c r="B13890" s="9"/>
    </row>
    <row r="13891">
      <c r="A13891" s="9"/>
      <c r="B13891" s="9"/>
    </row>
    <row r="13892">
      <c r="A13892" s="9"/>
      <c r="B13892" s="9"/>
    </row>
    <row r="13893">
      <c r="A13893" s="9"/>
      <c r="B13893" s="9"/>
    </row>
    <row r="13894">
      <c r="A13894" s="9"/>
      <c r="B13894" s="9"/>
    </row>
    <row r="13895">
      <c r="A13895" s="9"/>
      <c r="B13895" s="9"/>
    </row>
    <row r="13896">
      <c r="A13896" s="9"/>
      <c r="B13896" s="9"/>
    </row>
    <row r="13897">
      <c r="A13897" s="9"/>
      <c r="B13897" s="9"/>
    </row>
    <row r="13898">
      <c r="A13898" s="9"/>
      <c r="B13898" s="9"/>
    </row>
    <row r="13899">
      <c r="A13899" s="9"/>
      <c r="B13899" s="9"/>
    </row>
    <row r="13900">
      <c r="A13900" s="9"/>
      <c r="B13900" s="9"/>
    </row>
    <row r="13901">
      <c r="A13901" s="9"/>
      <c r="B13901" s="9"/>
    </row>
    <row r="13902">
      <c r="A13902" s="9"/>
      <c r="B13902" s="9"/>
    </row>
    <row r="13903">
      <c r="A13903" s="9"/>
      <c r="B13903" s="9"/>
    </row>
    <row r="13904">
      <c r="A13904" s="9"/>
      <c r="B13904" s="9"/>
    </row>
    <row r="13905">
      <c r="A13905" s="9"/>
      <c r="B13905" s="9"/>
    </row>
    <row r="13906">
      <c r="A13906" s="9"/>
      <c r="B13906" s="9"/>
    </row>
    <row r="13907">
      <c r="A13907" s="9"/>
      <c r="B13907" s="9"/>
    </row>
    <row r="13908">
      <c r="A13908" s="9"/>
      <c r="B13908" s="9"/>
    </row>
    <row r="13909">
      <c r="A13909" s="9"/>
      <c r="B13909" s="9"/>
    </row>
    <row r="13910">
      <c r="A13910" s="9"/>
      <c r="B13910" s="9"/>
    </row>
    <row r="13911">
      <c r="A13911" s="9"/>
      <c r="B13911" s="9"/>
    </row>
    <row r="13912">
      <c r="A13912" s="9"/>
      <c r="B13912" s="9"/>
    </row>
    <row r="13913">
      <c r="A13913" s="9"/>
      <c r="B13913" s="9"/>
    </row>
    <row r="13914">
      <c r="A13914" s="9"/>
      <c r="B13914" s="9"/>
    </row>
    <row r="13915">
      <c r="A13915" s="9"/>
      <c r="B13915" s="9"/>
    </row>
    <row r="13916">
      <c r="A13916" s="9"/>
      <c r="B13916" s="9"/>
    </row>
    <row r="13917">
      <c r="A13917" s="9"/>
      <c r="B13917" s="9"/>
    </row>
    <row r="13918">
      <c r="A13918" s="9"/>
      <c r="B13918" s="9"/>
    </row>
    <row r="13919">
      <c r="A13919" s="9"/>
      <c r="B13919" s="9"/>
    </row>
    <row r="13920">
      <c r="A13920" s="9"/>
      <c r="B13920" s="9"/>
    </row>
    <row r="13921">
      <c r="A13921" s="9"/>
      <c r="B13921" s="9"/>
    </row>
    <row r="13922">
      <c r="A13922" s="9"/>
      <c r="B13922" s="9"/>
    </row>
    <row r="13923">
      <c r="A13923" s="9"/>
      <c r="B13923" s="9"/>
    </row>
    <row r="13924">
      <c r="A13924" s="9"/>
      <c r="B13924" s="9"/>
    </row>
    <row r="13925">
      <c r="A13925" s="9"/>
      <c r="B13925" s="9"/>
    </row>
    <row r="13926">
      <c r="A13926" s="9"/>
      <c r="B13926" s="9"/>
    </row>
    <row r="13927">
      <c r="A13927" s="9"/>
      <c r="B13927" s="9"/>
    </row>
    <row r="13928">
      <c r="A13928" s="9"/>
      <c r="B13928" s="9"/>
    </row>
    <row r="13929">
      <c r="A13929" s="9"/>
      <c r="B13929" s="9"/>
    </row>
    <row r="13930">
      <c r="A13930" s="9"/>
      <c r="B13930" s="9"/>
    </row>
    <row r="13931">
      <c r="A13931" s="9"/>
      <c r="B13931" s="9"/>
    </row>
    <row r="13932">
      <c r="A13932" s="9"/>
      <c r="B13932" s="9"/>
    </row>
    <row r="13933">
      <c r="A13933" s="9"/>
      <c r="B13933" s="9"/>
    </row>
    <row r="13934">
      <c r="A13934" s="9"/>
      <c r="B13934" s="9"/>
    </row>
    <row r="13935">
      <c r="A13935" s="9"/>
      <c r="B13935" s="9"/>
    </row>
    <row r="13936">
      <c r="A13936" s="9"/>
      <c r="B13936" s="9"/>
    </row>
    <row r="13937">
      <c r="A13937" s="9"/>
      <c r="B13937" s="9"/>
    </row>
    <row r="13938">
      <c r="A13938" s="9"/>
      <c r="B13938" s="9"/>
    </row>
    <row r="13939">
      <c r="A13939" s="9"/>
      <c r="B13939" s="9"/>
    </row>
    <row r="13940">
      <c r="A13940" s="9"/>
      <c r="B13940" s="9"/>
    </row>
    <row r="13941">
      <c r="A13941" s="9"/>
      <c r="B13941" s="9"/>
    </row>
    <row r="13942">
      <c r="A13942" s="9"/>
      <c r="B13942" s="9"/>
    </row>
    <row r="13943">
      <c r="A13943" s="9"/>
      <c r="B13943" s="9"/>
    </row>
    <row r="13944">
      <c r="A13944" s="9"/>
      <c r="B13944" s="9"/>
    </row>
    <row r="13945">
      <c r="A13945" s="9"/>
      <c r="B13945" s="9"/>
    </row>
    <row r="13946">
      <c r="A13946" s="9"/>
      <c r="B13946" s="9"/>
    </row>
    <row r="13947">
      <c r="A13947" s="9"/>
      <c r="B13947" s="9"/>
    </row>
    <row r="13948">
      <c r="A13948" s="9"/>
      <c r="B13948" s="9"/>
    </row>
    <row r="13949">
      <c r="A13949" s="9"/>
      <c r="B13949" s="9"/>
    </row>
    <row r="13950">
      <c r="A13950" s="9"/>
      <c r="B13950" s="9"/>
    </row>
    <row r="13951">
      <c r="A13951" s="9"/>
      <c r="B13951" s="9"/>
    </row>
    <row r="13952">
      <c r="A13952" s="9"/>
      <c r="B13952" s="9"/>
    </row>
    <row r="13953">
      <c r="A13953" s="9"/>
      <c r="B13953" s="9"/>
    </row>
    <row r="13954">
      <c r="A13954" s="9"/>
      <c r="B13954" s="9"/>
    </row>
    <row r="13955">
      <c r="A13955" s="9"/>
      <c r="B13955" s="9"/>
    </row>
    <row r="13956">
      <c r="A13956" s="9"/>
      <c r="B13956" s="9"/>
    </row>
    <row r="13957">
      <c r="A13957" s="9"/>
      <c r="B13957" s="9"/>
    </row>
    <row r="13958">
      <c r="A13958" s="9"/>
      <c r="B13958" s="9"/>
    </row>
    <row r="13959">
      <c r="A13959" s="9"/>
      <c r="B13959" s="9"/>
    </row>
    <row r="13960">
      <c r="A13960" s="9"/>
      <c r="B13960" s="9"/>
    </row>
    <row r="13961">
      <c r="A13961" s="9"/>
      <c r="B13961" s="9"/>
    </row>
    <row r="13962">
      <c r="A13962" s="9"/>
      <c r="B13962" s="9"/>
    </row>
    <row r="13963">
      <c r="A13963" s="9"/>
      <c r="B13963" s="9"/>
    </row>
    <row r="13964">
      <c r="A13964" s="9"/>
      <c r="B13964" s="9"/>
    </row>
    <row r="13965">
      <c r="A13965" s="9"/>
      <c r="B13965" s="9"/>
    </row>
    <row r="13966">
      <c r="A13966" s="9"/>
      <c r="B13966" s="9"/>
    </row>
    <row r="13967">
      <c r="A13967" s="9"/>
      <c r="B13967" s="9"/>
    </row>
    <row r="13968">
      <c r="A13968" s="9"/>
      <c r="B13968" s="9"/>
    </row>
    <row r="13969">
      <c r="A13969" s="9"/>
      <c r="B13969" s="9"/>
    </row>
    <row r="13970">
      <c r="A13970" s="9"/>
      <c r="B13970" s="9"/>
    </row>
    <row r="13971">
      <c r="A13971" s="9"/>
      <c r="B13971" s="9"/>
    </row>
    <row r="13972">
      <c r="A13972" s="9"/>
      <c r="B13972" s="9"/>
    </row>
    <row r="13973">
      <c r="A13973" s="9"/>
      <c r="B13973" s="9"/>
    </row>
    <row r="13974">
      <c r="A13974" s="9"/>
      <c r="B13974" s="9"/>
    </row>
    <row r="13975">
      <c r="A13975" s="9"/>
      <c r="B13975" s="9"/>
    </row>
    <row r="13976">
      <c r="A13976" s="9"/>
      <c r="B13976" s="9"/>
    </row>
    <row r="13977">
      <c r="A13977" s="9"/>
      <c r="B13977" s="9"/>
    </row>
    <row r="13978">
      <c r="A13978" s="9"/>
      <c r="B13978" s="9"/>
    </row>
    <row r="13979">
      <c r="A13979" s="9"/>
      <c r="B13979" s="9"/>
    </row>
    <row r="13980">
      <c r="A13980" s="9"/>
      <c r="B13980" s="9"/>
    </row>
    <row r="13981">
      <c r="A13981" s="9"/>
      <c r="B13981" s="9"/>
    </row>
    <row r="13982">
      <c r="A13982" s="9"/>
      <c r="B13982" s="9"/>
    </row>
    <row r="13983">
      <c r="A13983" s="9"/>
      <c r="B13983" s="9"/>
    </row>
    <row r="13984">
      <c r="A13984" s="9"/>
      <c r="B13984" s="9"/>
    </row>
    <row r="13985">
      <c r="A13985" s="9"/>
      <c r="B13985" s="9"/>
    </row>
    <row r="13986">
      <c r="A13986" s="9"/>
      <c r="B13986" s="9"/>
    </row>
    <row r="13987">
      <c r="A13987" s="9"/>
      <c r="B13987" s="9"/>
    </row>
    <row r="13988">
      <c r="A13988" s="9"/>
      <c r="B13988" s="9"/>
    </row>
    <row r="13989">
      <c r="A13989" s="9"/>
      <c r="B13989" s="9"/>
    </row>
    <row r="13990">
      <c r="A13990" s="9"/>
      <c r="B13990" s="9"/>
    </row>
    <row r="13991">
      <c r="A13991" s="9"/>
      <c r="B13991" s="9"/>
    </row>
    <row r="13992">
      <c r="A13992" s="9"/>
      <c r="B13992" s="9"/>
    </row>
    <row r="13993">
      <c r="A13993" s="9"/>
      <c r="B13993" s="9"/>
    </row>
    <row r="13994">
      <c r="A13994" s="9"/>
      <c r="B13994" s="9"/>
    </row>
    <row r="13995">
      <c r="A13995" s="9"/>
      <c r="B13995" s="9"/>
    </row>
    <row r="13996">
      <c r="A13996" s="9"/>
      <c r="B13996" s="9"/>
    </row>
    <row r="13997">
      <c r="A13997" s="9"/>
      <c r="B13997" s="9"/>
    </row>
    <row r="13998">
      <c r="A13998" s="9"/>
      <c r="B13998" s="9"/>
    </row>
    <row r="13999">
      <c r="A13999" s="9"/>
      <c r="B13999" s="9"/>
    </row>
    <row r="14000">
      <c r="A14000" s="9"/>
      <c r="B14000" s="9"/>
    </row>
    <row r="14001">
      <c r="A14001" s="9"/>
      <c r="B14001" s="9"/>
    </row>
    <row r="14002">
      <c r="A14002" s="9"/>
      <c r="B14002" s="9"/>
    </row>
    <row r="14003">
      <c r="A14003" s="9"/>
      <c r="B14003" s="9"/>
    </row>
    <row r="14004">
      <c r="A14004" s="9"/>
      <c r="B14004" s="9"/>
    </row>
    <row r="14005">
      <c r="A14005" s="9"/>
      <c r="B14005" s="9"/>
    </row>
    <row r="14006">
      <c r="A14006" s="9"/>
      <c r="B14006" s="9"/>
    </row>
    <row r="14007">
      <c r="A14007" s="9"/>
      <c r="B14007" s="9"/>
    </row>
    <row r="14008">
      <c r="A14008" s="9"/>
      <c r="B14008" s="9"/>
    </row>
    <row r="14009">
      <c r="A14009" s="9"/>
      <c r="B14009" s="9"/>
    </row>
    <row r="14010">
      <c r="A14010" s="9"/>
      <c r="B14010" s="9"/>
    </row>
    <row r="14011">
      <c r="A14011" s="9"/>
      <c r="B14011" s="9"/>
    </row>
    <row r="14012">
      <c r="A14012" s="9"/>
      <c r="B14012" s="9"/>
    </row>
    <row r="14013">
      <c r="A14013" s="9"/>
      <c r="B14013" s="9"/>
    </row>
    <row r="14014">
      <c r="A14014" s="9"/>
      <c r="B14014" s="9"/>
    </row>
    <row r="14015">
      <c r="A14015" s="9"/>
      <c r="B14015" s="9"/>
    </row>
    <row r="14016">
      <c r="A14016" s="9"/>
      <c r="B14016" s="9"/>
    </row>
    <row r="14017">
      <c r="A14017" s="9"/>
      <c r="B14017" s="9"/>
    </row>
    <row r="14018">
      <c r="A14018" s="9"/>
      <c r="B14018" s="9"/>
    </row>
    <row r="14019">
      <c r="A14019" s="9"/>
      <c r="B14019" s="9"/>
    </row>
    <row r="14020">
      <c r="A14020" s="9"/>
      <c r="B14020" s="9"/>
    </row>
    <row r="14021">
      <c r="A14021" s="9"/>
      <c r="B14021" s="9"/>
    </row>
    <row r="14022">
      <c r="A14022" s="9"/>
      <c r="B14022" s="9"/>
    </row>
    <row r="14023">
      <c r="A14023" s="9"/>
      <c r="B14023" s="9"/>
    </row>
    <row r="14024">
      <c r="A14024" s="9"/>
      <c r="B14024" s="9"/>
    </row>
    <row r="14025">
      <c r="A14025" s="9"/>
      <c r="B14025" s="9"/>
    </row>
    <row r="14026">
      <c r="A14026" s="9"/>
      <c r="B14026" s="9"/>
    </row>
    <row r="14027">
      <c r="A14027" s="9"/>
      <c r="B14027" s="9"/>
    </row>
    <row r="14028">
      <c r="A14028" s="9"/>
      <c r="B14028" s="9"/>
    </row>
    <row r="14029">
      <c r="A14029" s="9"/>
      <c r="B14029" s="9"/>
    </row>
    <row r="14030">
      <c r="A14030" s="9"/>
      <c r="B14030" s="9"/>
    </row>
    <row r="14031">
      <c r="A14031" s="9"/>
      <c r="B14031" s="9"/>
    </row>
    <row r="14032">
      <c r="A14032" s="9"/>
      <c r="B14032" s="9"/>
    </row>
    <row r="14033">
      <c r="A14033" s="9"/>
      <c r="B14033" s="9"/>
    </row>
    <row r="14034">
      <c r="A14034" s="9"/>
      <c r="B14034" s="9"/>
    </row>
    <row r="14035">
      <c r="A14035" s="9"/>
      <c r="B14035" s="9"/>
    </row>
    <row r="14036">
      <c r="A14036" s="9"/>
      <c r="B14036" s="9"/>
    </row>
    <row r="14037">
      <c r="A14037" s="9"/>
      <c r="B14037" s="9"/>
    </row>
    <row r="14038">
      <c r="A14038" s="9"/>
      <c r="B14038" s="9"/>
    </row>
    <row r="14039">
      <c r="A14039" s="9"/>
      <c r="B14039" s="9"/>
    </row>
    <row r="14040">
      <c r="A14040" s="9"/>
      <c r="B14040" s="9"/>
    </row>
    <row r="14041">
      <c r="A14041" s="9"/>
      <c r="B14041" s="9"/>
    </row>
    <row r="14042">
      <c r="A14042" s="9"/>
      <c r="B14042" s="9"/>
    </row>
    <row r="14043">
      <c r="A14043" s="9"/>
      <c r="B14043" s="9"/>
    </row>
    <row r="14044">
      <c r="A14044" s="9"/>
      <c r="B14044" s="9"/>
    </row>
    <row r="14045">
      <c r="A14045" s="9"/>
      <c r="B14045" s="9"/>
    </row>
    <row r="14046">
      <c r="A14046" s="9"/>
      <c r="B14046" s="9"/>
    </row>
    <row r="14047">
      <c r="A14047" s="9"/>
      <c r="B14047" s="9"/>
    </row>
    <row r="14048">
      <c r="A14048" s="9"/>
      <c r="B14048" s="9"/>
    </row>
    <row r="14049">
      <c r="A14049" s="9"/>
      <c r="B14049" s="9"/>
    </row>
    <row r="14050">
      <c r="A14050" s="9"/>
      <c r="B14050" s="9"/>
    </row>
    <row r="14051">
      <c r="A14051" s="9"/>
      <c r="B14051" s="9"/>
    </row>
    <row r="14052">
      <c r="A14052" s="9"/>
      <c r="B14052" s="9"/>
    </row>
    <row r="14053">
      <c r="A14053" s="9"/>
      <c r="B14053" s="9"/>
    </row>
    <row r="14054">
      <c r="A14054" s="9"/>
      <c r="B14054" s="9"/>
    </row>
    <row r="14055">
      <c r="A14055" s="9"/>
      <c r="B14055" s="9"/>
    </row>
    <row r="14056">
      <c r="A14056" s="9"/>
      <c r="B14056" s="9"/>
    </row>
    <row r="14057">
      <c r="A14057" s="9"/>
      <c r="B14057" s="9"/>
    </row>
    <row r="14058">
      <c r="A14058" s="9"/>
      <c r="B14058" s="9"/>
    </row>
    <row r="14059">
      <c r="A14059" s="9"/>
      <c r="B14059" s="9"/>
    </row>
    <row r="14060">
      <c r="A14060" s="9"/>
      <c r="B14060" s="9"/>
    </row>
    <row r="14061">
      <c r="A14061" s="9"/>
      <c r="B14061" s="9"/>
    </row>
    <row r="14062">
      <c r="A14062" s="9"/>
      <c r="B14062" s="9"/>
    </row>
    <row r="14063">
      <c r="A14063" s="9"/>
      <c r="B14063" s="9"/>
    </row>
    <row r="14064">
      <c r="A14064" s="9"/>
      <c r="B14064" s="9"/>
    </row>
    <row r="14065">
      <c r="A14065" s="9"/>
      <c r="B14065" s="9"/>
    </row>
    <row r="14066">
      <c r="A14066" s="9"/>
      <c r="B14066" s="9"/>
    </row>
    <row r="14067">
      <c r="A14067" s="9"/>
      <c r="B14067" s="9"/>
    </row>
    <row r="14068">
      <c r="A14068" s="9"/>
      <c r="B14068" s="9"/>
    </row>
    <row r="14069">
      <c r="A14069" s="9"/>
      <c r="B14069" s="9"/>
    </row>
    <row r="14070">
      <c r="A14070" s="9"/>
      <c r="B14070" s="9"/>
    </row>
    <row r="14071">
      <c r="A14071" s="9"/>
      <c r="B14071" s="9"/>
    </row>
    <row r="14072">
      <c r="A14072" s="9"/>
      <c r="B14072" s="9"/>
    </row>
    <row r="14073">
      <c r="A14073" s="9"/>
      <c r="B14073" s="9"/>
    </row>
    <row r="14074">
      <c r="A14074" s="9"/>
      <c r="B14074" s="9"/>
    </row>
    <row r="14075">
      <c r="A14075" s="9"/>
      <c r="B14075" s="9"/>
    </row>
    <row r="14076">
      <c r="A14076" s="9"/>
      <c r="B14076" s="9"/>
    </row>
    <row r="14077">
      <c r="A14077" s="9"/>
      <c r="B14077" s="9"/>
    </row>
    <row r="14078">
      <c r="A14078" s="9"/>
      <c r="B14078" s="9"/>
    </row>
    <row r="14079">
      <c r="A14079" s="9"/>
      <c r="B14079" s="9"/>
    </row>
    <row r="14080">
      <c r="A14080" s="9"/>
      <c r="B14080" s="9"/>
    </row>
    <row r="14081">
      <c r="A14081" s="9"/>
      <c r="B14081" s="9"/>
    </row>
    <row r="14082">
      <c r="A14082" s="9"/>
      <c r="B14082" s="9"/>
    </row>
    <row r="14083">
      <c r="A14083" s="9"/>
      <c r="B14083" s="9"/>
    </row>
    <row r="14084">
      <c r="A14084" s="9"/>
      <c r="B14084" s="9"/>
    </row>
    <row r="14085">
      <c r="A14085" s="9"/>
      <c r="B14085" s="9"/>
    </row>
    <row r="14086">
      <c r="A14086" s="9"/>
      <c r="B14086" s="9"/>
    </row>
    <row r="14087">
      <c r="A14087" s="9"/>
      <c r="B14087" s="9"/>
    </row>
    <row r="14088">
      <c r="A14088" s="9"/>
      <c r="B14088" s="9"/>
    </row>
    <row r="14089">
      <c r="A14089" s="9"/>
      <c r="B14089" s="9"/>
    </row>
    <row r="14090">
      <c r="A14090" s="9"/>
      <c r="B14090" s="9"/>
    </row>
    <row r="14091">
      <c r="A14091" s="9"/>
      <c r="B14091" s="9"/>
    </row>
    <row r="14092">
      <c r="A14092" s="9"/>
      <c r="B14092" s="9"/>
    </row>
    <row r="14093">
      <c r="A14093" s="9"/>
      <c r="B14093" s="9"/>
    </row>
    <row r="14094">
      <c r="A14094" s="9"/>
      <c r="B14094" s="9"/>
    </row>
    <row r="14095">
      <c r="A14095" s="9"/>
      <c r="B14095" s="9"/>
    </row>
    <row r="14096">
      <c r="A14096" s="9"/>
      <c r="B14096" s="9"/>
    </row>
    <row r="14097">
      <c r="A14097" s="9"/>
      <c r="B14097" s="9"/>
    </row>
    <row r="14098">
      <c r="A14098" s="9"/>
      <c r="B14098" s="9"/>
    </row>
    <row r="14099">
      <c r="A14099" s="9"/>
      <c r="B14099" s="9"/>
    </row>
    <row r="14100">
      <c r="A14100" s="9"/>
      <c r="B14100" s="9"/>
    </row>
    <row r="14101">
      <c r="A14101" s="9"/>
      <c r="B14101" s="9"/>
    </row>
    <row r="14102">
      <c r="A14102" s="9"/>
      <c r="B14102" s="9"/>
    </row>
    <row r="14103">
      <c r="A14103" s="9"/>
      <c r="B14103" s="9"/>
    </row>
    <row r="14104">
      <c r="A14104" s="9"/>
      <c r="B14104" s="9"/>
    </row>
    <row r="14105">
      <c r="A14105" s="9"/>
      <c r="B14105" s="9"/>
    </row>
    <row r="14106">
      <c r="A14106" s="9"/>
      <c r="B14106" s="9"/>
    </row>
    <row r="14107">
      <c r="A14107" s="9"/>
      <c r="B14107" s="9"/>
    </row>
    <row r="14108">
      <c r="A14108" s="9"/>
      <c r="B14108" s="9"/>
    </row>
    <row r="14109">
      <c r="A14109" s="9"/>
      <c r="B14109" s="9"/>
    </row>
    <row r="14110">
      <c r="A14110" s="9"/>
      <c r="B14110" s="9"/>
    </row>
    <row r="14111">
      <c r="A14111" s="9"/>
      <c r="B14111" s="9"/>
    </row>
    <row r="14112">
      <c r="A14112" s="9"/>
      <c r="B14112" s="9"/>
    </row>
    <row r="14113">
      <c r="A14113" s="9"/>
      <c r="B14113" s="9"/>
    </row>
    <row r="14114">
      <c r="A14114" s="9"/>
      <c r="B14114" s="9"/>
    </row>
    <row r="14115">
      <c r="A14115" s="9"/>
      <c r="B14115" s="9"/>
    </row>
    <row r="14116">
      <c r="A14116" s="9"/>
      <c r="B14116" s="9"/>
    </row>
    <row r="14117">
      <c r="A14117" s="9"/>
      <c r="B14117" s="9"/>
    </row>
    <row r="14118">
      <c r="A14118" s="9"/>
      <c r="B14118" s="9"/>
    </row>
    <row r="14119">
      <c r="A14119" s="9"/>
      <c r="B14119" s="9"/>
    </row>
    <row r="14120">
      <c r="A14120" s="9"/>
      <c r="B14120" s="9"/>
    </row>
    <row r="14121">
      <c r="A14121" s="9"/>
      <c r="B14121" s="9"/>
    </row>
    <row r="14122">
      <c r="A14122" s="9"/>
      <c r="B14122" s="9"/>
    </row>
    <row r="14123">
      <c r="A14123" s="9"/>
      <c r="B14123" s="9"/>
    </row>
    <row r="14124">
      <c r="A14124" s="9"/>
      <c r="B14124" s="9"/>
    </row>
    <row r="14125">
      <c r="A14125" s="9"/>
      <c r="B14125" s="9"/>
    </row>
    <row r="14126">
      <c r="A14126" s="9"/>
      <c r="B14126" s="9"/>
    </row>
    <row r="14127">
      <c r="A14127" s="9"/>
      <c r="B14127" s="9"/>
    </row>
    <row r="14128">
      <c r="A14128" s="9"/>
      <c r="B14128" s="9"/>
    </row>
    <row r="14129">
      <c r="A14129" s="9"/>
      <c r="B14129" s="9"/>
    </row>
    <row r="14130">
      <c r="A14130" s="9"/>
      <c r="B14130" s="9"/>
    </row>
    <row r="14131">
      <c r="A14131" s="9"/>
      <c r="B14131" s="9"/>
    </row>
    <row r="14132">
      <c r="A14132" s="9"/>
      <c r="B14132" s="9"/>
    </row>
    <row r="14133">
      <c r="A14133" s="9"/>
      <c r="B14133" s="9"/>
    </row>
    <row r="14134">
      <c r="A14134" s="9"/>
      <c r="B14134" s="9"/>
    </row>
    <row r="14135">
      <c r="A14135" s="9"/>
      <c r="B14135" s="9"/>
    </row>
    <row r="14136">
      <c r="A14136" s="9"/>
      <c r="B14136" s="9"/>
    </row>
    <row r="14137">
      <c r="A14137" s="9"/>
      <c r="B14137" s="9"/>
    </row>
    <row r="14138">
      <c r="A14138" s="9"/>
      <c r="B14138" s="9"/>
    </row>
    <row r="14139">
      <c r="A14139" s="9"/>
      <c r="B14139" s="9"/>
    </row>
    <row r="14140">
      <c r="A14140" s="9"/>
      <c r="B14140" s="9"/>
    </row>
    <row r="14141">
      <c r="A14141" s="9"/>
      <c r="B14141" s="9"/>
    </row>
    <row r="14142">
      <c r="A14142" s="9"/>
      <c r="B14142" s="9"/>
    </row>
    <row r="14143">
      <c r="A14143" s="9"/>
      <c r="B14143" s="9"/>
    </row>
    <row r="14144">
      <c r="A14144" s="9"/>
      <c r="B14144" s="9"/>
    </row>
    <row r="14145">
      <c r="A14145" s="9"/>
      <c r="B14145" s="9"/>
    </row>
    <row r="14146">
      <c r="A14146" s="9"/>
      <c r="B14146" s="9"/>
    </row>
    <row r="14147">
      <c r="A14147" s="9"/>
      <c r="B14147" s="9"/>
    </row>
    <row r="14148">
      <c r="A14148" s="9"/>
      <c r="B14148" s="9"/>
    </row>
    <row r="14149">
      <c r="A14149" s="9"/>
      <c r="B14149" s="9"/>
    </row>
    <row r="14150">
      <c r="A14150" s="9"/>
      <c r="B14150" s="9"/>
    </row>
    <row r="14151">
      <c r="A14151" s="9"/>
      <c r="B14151" s="9"/>
    </row>
    <row r="14152">
      <c r="A14152" s="9"/>
      <c r="B14152" s="9"/>
    </row>
    <row r="14153">
      <c r="A14153" s="9"/>
      <c r="B14153" s="9"/>
    </row>
    <row r="14154">
      <c r="A14154" s="9"/>
      <c r="B14154" s="9"/>
    </row>
    <row r="14155">
      <c r="A14155" s="9"/>
      <c r="B14155" s="9"/>
    </row>
    <row r="14156">
      <c r="A14156" s="9"/>
      <c r="B14156" s="9"/>
    </row>
    <row r="14157">
      <c r="A14157" s="9"/>
      <c r="B14157" s="9"/>
    </row>
    <row r="14158">
      <c r="A14158" s="9"/>
      <c r="B14158" s="9"/>
    </row>
    <row r="14159">
      <c r="A14159" s="9"/>
      <c r="B14159" s="9"/>
    </row>
    <row r="14160">
      <c r="A14160" s="9"/>
      <c r="B14160" s="9"/>
    </row>
    <row r="14161">
      <c r="A14161" s="9"/>
      <c r="B14161" s="9"/>
    </row>
    <row r="14162">
      <c r="A14162" s="9"/>
      <c r="B14162" s="9"/>
    </row>
    <row r="14163">
      <c r="A14163" s="9"/>
      <c r="B14163" s="9"/>
    </row>
    <row r="14164">
      <c r="A14164" s="9"/>
      <c r="B14164" s="9"/>
    </row>
    <row r="14165">
      <c r="A14165" s="9"/>
      <c r="B14165" s="9"/>
    </row>
    <row r="14166">
      <c r="A14166" s="9"/>
      <c r="B14166" s="9"/>
    </row>
    <row r="14167">
      <c r="A14167" s="9"/>
      <c r="B14167" s="9"/>
    </row>
    <row r="14168">
      <c r="A14168" s="9"/>
      <c r="B14168" s="9"/>
    </row>
    <row r="14169">
      <c r="A14169" s="9"/>
      <c r="B14169" s="9"/>
    </row>
    <row r="14170">
      <c r="A14170" s="9"/>
      <c r="B14170" s="9"/>
    </row>
    <row r="14171">
      <c r="A14171" s="9"/>
      <c r="B14171" s="9"/>
    </row>
    <row r="14172">
      <c r="A14172" s="9"/>
      <c r="B14172" s="9"/>
    </row>
    <row r="14173">
      <c r="A14173" s="9"/>
      <c r="B14173" s="9"/>
    </row>
    <row r="14174">
      <c r="A14174" s="9"/>
      <c r="B14174" s="9"/>
    </row>
    <row r="14175">
      <c r="A14175" s="9"/>
      <c r="B14175" s="9"/>
    </row>
    <row r="14176">
      <c r="A14176" s="9"/>
      <c r="B14176" s="9"/>
    </row>
    <row r="14177">
      <c r="A14177" s="9"/>
      <c r="B14177" s="9"/>
    </row>
    <row r="14178">
      <c r="A14178" s="9"/>
      <c r="B14178" s="9"/>
    </row>
    <row r="14179">
      <c r="A14179" s="9"/>
      <c r="B14179" s="9"/>
    </row>
    <row r="14180">
      <c r="A14180" s="9"/>
      <c r="B14180" s="9"/>
    </row>
    <row r="14181">
      <c r="A14181" s="9"/>
      <c r="B14181" s="9"/>
    </row>
    <row r="14182">
      <c r="A14182" s="9"/>
      <c r="B14182" s="9"/>
    </row>
    <row r="14183">
      <c r="A14183" s="9"/>
      <c r="B14183" s="9"/>
    </row>
    <row r="14184">
      <c r="A14184" s="9"/>
      <c r="B14184" s="9"/>
    </row>
    <row r="14185">
      <c r="A14185" s="9"/>
      <c r="B14185" s="9"/>
    </row>
    <row r="14186">
      <c r="A14186" s="9"/>
      <c r="B14186" s="9"/>
    </row>
    <row r="14187">
      <c r="A14187" s="9"/>
      <c r="B14187" s="9"/>
    </row>
    <row r="14188">
      <c r="A14188" s="9"/>
      <c r="B14188" s="9"/>
    </row>
    <row r="14189">
      <c r="A14189" s="9"/>
      <c r="B14189" s="9"/>
    </row>
    <row r="14190">
      <c r="A14190" s="9"/>
      <c r="B14190" s="9"/>
    </row>
    <row r="14191">
      <c r="A14191" s="9"/>
      <c r="B14191" s="9"/>
    </row>
    <row r="14192">
      <c r="A14192" s="9"/>
      <c r="B14192" s="9"/>
    </row>
    <row r="14193">
      <c r="A14193" s="9"/>
      <c r="B14193" s="9"/>
    </row>
    <row r="14194">
      <c r="A14194" s="9"/>
      <c r="B14194" s="9"/>
    </row>
    <row r="14195">
      <c r="A14195" s="9"/>
      <c r="B14195" s="9"/>
    </row>
    <row r="14196">
      <c r="A14196" s="9"/>
      <c r="B14196" s="9"/>
    </row>
    <row r="14197">
      <c r="A14197" s="9"/>
      <c r="B14197" s="9"/>
    </row>
    <row r="14198">
      <c r="A14198" s="9"/>
      <c r="B14198" s="9"/>
    </row>
    <row r="14199">
      <c r="A14199" s="9"/>
      <c r="B14199" s="9"/>
    </row>
    <row r="14200">
      <c r="A14200" s="9"/>
      <c r="B14200" s="9"/>
    </row>
    <row r="14201">
      <c r="A14201" s="9"/>
      <c r="B14201" s="9"/>
    </row>
    <row r="14202">
      <c r="A14202" s="9"/>
      <c r="B14202" s="9"/>
    </row>
    <row r="14203">
      <c r="A14203" s="9"/>
      <c r="B14203" s="9"/>
    </row>
    <row r="14204">
      <c r="A14204" s="9"/>
      <c r="B14204" s="9"/>
    </row>
    <row r="14205">
      <c r="A14205" s="9"/>
      <c r="B14205" s="9"/>
    </row>
    <row r="14206">
      <c r="A14206" s="9"/>
      <c r="B14206" s="9"/>
    </row>
    <row r="14207">
      <c r="A14207" s="9"/>
      <c r="B14207" s="9"/>
    </row>
    <row r="14208">
      <c r="A14208" s="9"/>
      <c r="B14208" s="9"/>
    </row>
    <row r="14209">
      <c r="A14209" s="9"/>
      <c r="B14209" s="9"/>
    </row>
    <row r="14210">
      <c r="A14210" s="9"/>
      <c r="B14210" s="9"/>
    </row>
    <row r="14211">
      <c r="A14211" s="9"/>
      <c r="B14211" s="9"/>
    </row>
    <row r="14212">
      <c r="A14212" s="9"/>
      <c r="B14212" s="9"/>
    </row>
    <row r="14213">
      <c r="A14213" s="9"/>
      <c r="B14213" s="9"/>
    </row>
    <row r="14214">
      <c r="A14214" s="9"/>
      <c r="B14214" s="9"/>
    </row>
    <row r="14215">
      <c r="A14215" s="9"/>
      <c r="B14215" s="9"/>
    </row>
    <row r="14216">
      <c r="A14216" s="9"/>
      <c r="B14216" s="9"/>
    </row>
    <row r="14217">
      <c r="A14217" s="9"/>
      <c r="B14217" s="9"/>
    </row>
    <row r="14218">
      <c r="A14218" s="9"/>
      <c r="B14218" s="9"/>
    </row>
    <row r="14219">
      <c r="A14219" s="9"/>
      <c r="B14219" s="9"/>
    </row>
    <row r="14220">
      <c r="A14220" s="9"/>
      <c r="B14220" s="9"/>
    </row>
    <row r="14221">
      <c r="A14221" s="9"/>
      <c r="B14221" s="9"/>
    </row>
    <row r="14222">
      <c r="A14222" s="9"/>
      <c r="B14222" s="9"/>
    </row>
    <row r="14223">
      <c r="A14223" s="9"/>
      <c r="B14223" s="9"/>
    </row>
    <row r="14224">
      <c r="A14224" s="9"/>
      <c r="B14224" s="9"/>
    </row>
    <row r="14225">
      <c r="A14225" s="9"/>
      <c r="B14225" s="9"/>
    </row>
    <row r="14226">
      <c r="A14226" s="9"/>
      <c r="B14226" s="9"/>
    </row>
    <row r="14227">
      <c r="A14227" s="9"/>
      <c r="B14227" s="9"/>
    </row>
    <row r="14228">
      <c r="A14228" s="9"/>
      <c r="B14228" s="9"/>
    </row>
    <row r="14229">
      <c r="A14229" s="9"/>
      <c r="B14229" s="9"/>
    </row>
    <row r="14230">
      <c r="A14230" s="9"/>
      <c r="B14230" s="9"/>
    </row>
    <row r="14231">
      <c r="A14231" s="9"/>
      <c r="B14231" s="9"/>
    </row>
    <row r="14232">
      <c r="A14232" s="9"/>
      <c r="B14232" s="9"/>
    </row>
    <row r="14233">
      <c r="A14233" s="9"/>
      <c r="B14233" s="9"/>
    </row>
    <row r="14234">
      <c r="A14234" s="9"/>
      <c r="B14234" s="9"/>
    </row>
    <row r="14235">
      <c r="A14235" s="9"/>
      <c r="B14235" s="9"/>
    </row>
    <row r="14236">
      <c r="A14236" s="9"/>
      <c r="B14236" s="9"/>
    </row>
    <row r="14237">
      <c r="A14237" s="9"/>
      <c r="B14237" s="9"/>
    </row>
    <row r="14238">
      <c r="A14238" s="9"/>
      <c r="B14238" s="9"/>
    </row>
    <row r="14239">
      <c r="A14239" s="9"/>
      <c r="B14239" s="9"/>
    </row>
    <row r="14240">
      <c r="A14240" s="9"/>
      <c r="B14240" s="9"/>
    </row>
    <row r="14241">
      <c r="A14241" s="9"/>
      <c r="B14241" s="9"/>
    </row>
    <row r="14242">
      <c r="A14242" s="9"/>
      <c r="B14242" s="9"/>
    </row>
    <row r="14243">
      <c r="A14243" s="9"/>
      <c r="B14243" s="9"/>
    </row>
    <row r="14244">
      <c r="A14244" s="9"/>
      <c r="B14244" s="9"/>
    </row>
    <row r="14245">
      <c r="A14245" s="9"/>
      <c r="B14245" s="9"/>
    </row>
    <row r="14246">
      <c r="A14246" s="9"/>
      <c r="B14246" s="9"/>
    </row>
    <row r="14247">
      <c r="A14247" s="9"/>
      <c r="B14247" s="9"/>
    </row>
    <row r="14248">
      <c r="A14248" s="9"/>
      <c r="B14248" s="9"/>
    </row>
    <row r="14249">
      <c r="A14249" s="9"/>
      <c r="B14249" s="9"/>
    </row>
    <row r="14250">
      <c r="A14250" s="9"/>
      <c r="B14250" s="9"/>
    </row>
    <row r="14251">
      <c r="A14251" s="9"/>
      <c r="B14251" s="9"/>
    </row>
    <row r="14252">
      <c r="A14252" s="9"/>
      <c r="B14252" s="9"/>
    </row>
    <row r="14253">
      <c r="A14253" s="9"/>
      <c r="B14253" s="9"/>
    </row>
    <row r="14254">
      <c r="A14254" s="9"/>
      <c r="B14254" s="9"/>
    </row>
    <row r="14255">
      <c r="A14255" s="9"/>
      <c r="B14255" s="9"/>
    </row>
    <row r="14256">
      <c r="A14256" s="9"/>
      <c r="B14256" s="9"/>
    </row>
    <row r="14257">
      <c r="A14257" s="9"/>
      <c r="B14257" s="9"/>
    </row>
    <row r="14258">
      <c r="A14258" s="9"/>
      <c r="B14258" s="9"/>
    </row>
    <row r="14259">
      <c r="A14259" s="9"/>
      <c r="B14259" s="9"/>
    </row>
    <row r="14260">
      <c r="A14260" s="9"/>
      <c r="B14260" s="9"/>
    </row>
    <row r="14261">
      <c r="A14261" s="9"/>
      <c r="B14261" s="9"/>
    </row>
    <row r="14262">
      <c r="A14262" s="9"/>
      <c r="B14262" s="9"/>
    </row>
    <row r="14263">
      <c r="A14263" s="9"/>
      <c r="B14263" s="9"/>
    </row>
    <row r="14264">
      <c r="A14264" s="9"/>
      <c r="B14264" s="9"/>
    </row>
    <row r="14265">
      <c r="A14265" s="9"/>
      <c r="B14265" s="9"/>
    </row>
    <row r="14266">
      <c r="A14266" s="9"/>
      <c r="B14266" s="9"/>
    </row>
    <row r="14267">
      <c r="A14267" s="9"/>
      <c r="B14267" s="9"/>
    </row>
    <row r="14268">
      <c r="A14268" s="9"/>
      <c r="B14268" s="9"/>
    </row>
    <row r="14269">
      <c r="A14269" s="9"/>
      <c r="B14269" s="9"/>
    </row>
    <row r="14270">
      <c r="A14270" s="9"/>
      <c r="B14270" s="9"/>
    </row>
    <row r="14271">
      <c r="A14271" s="9"/>
      <c r="B14271" s="9"/>
    </row>
    <row r="14272">
      <c r="A14272" s="9"/>
      <c r="B14272" s="9"/>
    </row>
    <row r="14273">
      <c r="A14273" s="9"/>
      <c r="B14273" s="9"/>
    </row>
    <row r="14274">
      <c r="A14274" s="9"/>
      <c r="B14274" s="9"/>
    </row>
    <row r="14275">
      <c r="A14275" s="9"/>
      <c r="B14275" s="9"/>
    </row>
    <row r="14276">
      <c r="A14276" s="9"/>
      <c r="B14276" s="9"/>
    </row>
    <row r="14277">
      <c r="A14277" s="9"/>
      <c r="B14277" s="9"/>
    </row>
    <row r="14278">
      <c r="A14278" s="9"/>
      <c r="B14278" s="9"/>
    </row>
    <row r="14279">
      <c r="A14279" s="9"/>
      <c r="B14279" s="9"/>
    </row>
    <row r="14280">
      <c r="A14280" s="9"/>
      <c r="B14280" s="9"/>
    </row>
    <row r="14281">
      <c r="A14281" s="9"/>
      <c r="B14281" s="9"/>
    </row>
    <row r="14282">
      <c r="A14282" s="9"/>
      <c r="B14282" s="9"/>
    </row>
    <row r="14283">
      <c r="A14283" s="9"/>
      <c r="B14283" s="9"/>
    </row>
    <row r="14284">
      <c r="A14284" s="9"/>
      <c r="B14284" s="9"/>
    </row>
    <row r="14285">
      <c r="A14285" s="9"/>
      <c r="B14285" s="9"/>
    </row>
    <row r="14286">
      <c r="A14286" s="9"/>
      <c r="B14286" s="9"/>
    </row>
    <row r="14287">
      <c r="A14287" s="9"/>
      <c r="B14287" s="9"/>
    </row>
    <row r="14288">
      <c r="A14288" s="9"/>
      <c r="B14288" s="9"/>
    </row>
    <row r="14289">
      <c r="A14289" s="9"/>
      <c r="B14289" s="9"/>
    </row>
    <row r="14290">
      <c r="A14290" s="9"/>
      <c r="B14290" s="9"/>
    </row>
    <row r="14291">
      <c r="A14291" s="9"/>
      <c r="B14291" s="9"/>
    </row>
    <row r="14292">
      <c r="A14292" s="9"/>
      <c r="B14292" s="9"/>
    </row>
    <row r="14293">
      <c r="A14293" s="9"/>
      <c r="B14293" s="9"/>
    </row>
    <row r="14294">
      <c r="A14294" s="9"/>
      <c r="B14294" s="9"/>
    </row>
    <row r="14295">
      <c r="A14295" s="9"/>
      <c r="B14295" s="9"/>
    </row>
    <row r="14296">
      <c r="A14296" s="9"/>
      <c r="B14296" s="9"/>
    </row>
    <row r="14297">
      <c r="A14297" s="9"/>
      <c r="B14297" s="9"/>
    </row>
    <row r="14298">
      <c r="A14298" s="9"/>
      <c r="B14298" s="9"/>
    </row>
    <row r="14299">
      <c r="A14299" s="9"/>
      <c r="B14299" s="9"/>
    </row>
    <row r="14300">
      <c r="A14300" s="9"/>
      <c r="B14300" s="9"/>
    </row>
    <row r="14301">
      <c r="A14301" s="9"/>
      <c r="B14301" s="9"/>
    </row>
    <row r="14302">
      <c r="A14302" s="9"/>
      <c r="B14302" s="9"/>
    </row>
    <row r="14303">
      <c r="A14303" s="9"/>
      <c r="B14303" s="9"/>
    </row>
    <row r="14304">
      <c r="A14304" s="9"/>
      <c r="B14304" s="9"/>
    </row>
    <row r="14305">
      <c r="A14305" s="9"/>
      <c r="B14305" s="9"/>
    </row>
    <row r="14306">
      <c r="A14306" s="9"/>
      <c r="B14306" s="9"/>
    </row>
    <row r="14307">
      <c r="A14307" s="9"/>
      <c r="B14307" s="9"/>
    </row>
    <row r="14308">
      <c r="A14308" s="9"/>
      <c r="B14308" s="9"/>
    </row>
    <row r="14309">
      <c r="A14309" s="9"/>
      <c r="B14309" s="9"/>
    </row>
    <row r="14310">
      <c r="A14310" s="9"/>
      <c r="B14310" s="9"/>
    </row>
    <row r="14311">
      <c r="A14311" s="9"/>
      <c r="B14311" s="9"/>
    </row>
    <row r="14312">
      <c r="A14312" s="9"/>
      <c r="B14312" s="9"/>
    </row>
    <row r="14313">
      <c r="A14313" s="9"/>
      <c r="B14313" s="9"/>
    </row>
    <row r="14314">
      <c r="A14314" s="9"/>
      <c r="B14314" s="9"/>
    </row>
    <row r="14315">
      <c r="A14315" s="9"/>
      <c r="B14315" s="9"/>
    </row>
    <row r="14316">
      <c r="A14316" s="9"/>
      <c r="B14316" s="9"/>
    </row>
    <row r="14317">
      <c r="A14317" s="9"/>
      <c r="B14317" s="9"/>
    </row>
    <row r="14318">
      <c r="A14318" s="9"/>
      <c r="B14318" s="9"/>
    </row>
    <row r="14319">
      <c r="A14319" s="9"/>
      <c r="B14319" s="9"/>
    </row>
    <row r="14320">
      <c r="A14320" s="9"/>
      <c r="B14320" s="9"/>
    </row>
    <row r="14321">
      <c r="A14321" s="9"/>
      <c r="B14321" s="9"/>
    </row>
    <row r="14322">
      <c r="A14322" s="9"/>
      <c r="B14322" s="9"/>
    </row>
    <row r="14323">
      <c r="A14323" s="9"/>
      <c r="B14323" s="9"/>
    </row>
    <row r="14324">
      <c r="A14324" s="9"/>
      <c r="B14324" s="9"/>
    </row>
    <row r="14325">
      <c r="A14325" s="9"/>
      <c r="B14325" s="9"/>
    </row>
    <row r="14326">
      <c r="A14326" s="9"/>
      <c r="B14326" s="9"/>
    </row>
    <row r="14327">
      <c r="A14327" s="9"/>
      <c r="B14327" s="9"/>
    </row>
    <row r="14328">
      <c r="A14328" s="9"/>
      <c r="B14328" s="9"/>
    </row>
    <row r="14329">
      <c r="A14329" s="9"/>
      <c r="B14329" s="9"/>
    </row>
    <row r="14330">
      <c r="A14330" s="9"/>
      <c r="B14330" s="9"/>
    </row>
    <row r="14331">
      <c r="A14331" s="9"/>
      <c r="B14331" s="9"/>
    </row>
    <row r="14332">
      <c r="A14332" s="9"/>
      <c r="B14332" s="9"/>
    </row>
    <row r="14333">
      <c r="A14333" s="9"/>
      <c r="B14333" s="9"/>
    </row>
    <row r="14334">
      <c r="A14334" s="9"/>
      <c r="B14334" s="9"/>
    </row>
    <row r="14335">
      <c r="A14335" s="9"/>
      <c r="B14335" s="9"/>
    </row>
    <row r="14336">
      <c r="A14336" s="9"/>
      <c r="B14336" s="9"/>
    </row>
    <row r="14337">
      <c r="A14337" s="9"/>
      <c r="B14337" s="9"/>
    </row>
    <row r="14338">
      <c r="A14338" s="9"/>
      <c r="B14338" s="9"/>
    </row>
    <row r="14339">
      <c r="A14339" s="9"/>
      <c r="B14339" s="9"/>
    </row>
    <row r="14340">
      <c r="A14340" s="9"/>
      <c r="B14340" s="9"/>
    </row>
    <row r="14341">
      <c r="A14341" s="9"/>
      <c r="B14341" s="9"/>
    </row>
    <row r="14342">
      <c r="A14342" s="9"/>
      <c r="B14342" s="9"/>
    </row>
    <row r="14343">
      <c r="A14343" s="9"/>
      <c r="B14343" s="9"/>
    </row>
    <row r="14344">
      <c r="A14344" s="9"/>
      <c r="B14344" s="9"/>
    </row>
    <row r="14345">
      <c r="A14345" s="9"/>
      <c r="B14345" s="9"/>
    </row>
    <row r="14346">
      <c r="A14346" s="9"/>
      <c r="B14346" s="9"/>
    </row>
    <row r="14347">
      <c r="A14347" s="9"/>
      <c r="B14347" s="9"/>
    </row>
    <row r="14348">
      <c r="A14348" s="9"/>
      <c r="B14348" s="9"/>
    </row>
    <row r="14349">
      <c r="A14349" s="9"/>
      <c r="B14349" s="9"/>
    </row>
    <row r="14350">
      <c r="A14350" s="9"/>
      <c r="B14350" s="9"/>
    </row>
    <row r="14351">
      <c r="A14351" s="9"/>
      <c r="B14351" s="9"/>
    </row>
    <row r="14352">
      <c r="A14352" s="9"/>
      <c r="B14352" s="9"/>
    </row>
    <row r="14353">
      <c r="A14353" s="9"/>
      <c r="B14353" s="9"/>
    </row>
    <row r="14354">
      <c r="A14354" s="9"/>
      <c r="B14354" s="9"/>
    </row>
    <row r="14355">
      <c r="A14355" s="9"/>
      <c r="B14355" s="9"/>
    </row>
    <row r="14356">
      <c r="A14356" s="9"/>
      <c r="B14356" s="9"/>
    </row>
    <row r="14357">
      <c r="A14357" s="9"/>
      <c r="B14357" s="9"/>
    </row>
    <row r="14358">
      <c r="A14358" s="9"/>
      <c r="B14358" s="9"/>
    </row>
    <row r="14359">
      <c r="A14359" s="9"/>
      <c r="B14359" s="9"/>
    </row>
    <row r="14360">
      <c r="A14360" s="9"/>
      <c r="B14360" s="9"/>
    </row>
    <row r="14361">
      <c r="A14361" s="9"/>
      <c r="B14361" s="9"/>
    </row>
    <row r="14362">
      <c r="A14362" s="9"/>
      <c r="B14362" s="9"/>
    </row>
    <row r="14363">
      <c r="A14363" s="9"/>
      <c r="B14363" s="9"/>
    </row>
    <row r="14364">
      <c r="A14364" s="9"/>
      <c r="B14364" s="9"/>
    </row>
    <row r="14365">
      <c r="A14365" s="9"/>
      <c r="B14365" s="9"/>
    </row>
    <row r="14366">
      <c r="A14366" s="9"/>
      <c r="B14366" s="9"/>
    </row>
    <row r="14367">
      <c r="A14367" s="9"/>
      <c r="B14367" s="9"/>
    </row>
    <row r="14368">
      <c r="A14368" s="9"/>
      <c r="B14368" s="9"/>
    </row>
    <row r="14369">
      <c r="A14369" s="9"/>
      <c r="B14369" s="9"/>
    </row>
    <row r="14370">
      <c r="A14370" s="9"/>
      <c r="B14370" s="9"/>
    </row>
    <row r="14371">
      <c r="A14371" s="9"/>
      <c r="B14371" s="9"/>
    </row>
    <row r="14372">
      <c r="A14372" s="9"/>
      <c r="B14372" s="9"/>
    </row>
    <row r="14373">
      <c r="A14373" s="9"/>
      <c r="B14373" s="9"/>
    </row>
    <row r="14374">
      <c r="A14374" s="9"/>
      <c r="B14374" s="9"/>
    </row>
    <row r="14375">
      <c r="A14375" s="9"/>
      <c r="B14375" s="9"/>
    </row>
    <row r="14376">
      <c r="A14376" s="9"/>
      <c r="B14376" s="9"/>
    </row>
    <row r="14377">
      <c r="A14377" s="9"/>
      <c r="B14377" s="9"/>
    </row>
    <row r="14378">
      <c r="A14378" s="9"/>
      <c r="B14378" s="9"/>
    </row>
    <row r="14379">
      <c r="A14379" s="9"/>
      <c r="B14379" s="9"/>
    </row>
    <row r="14380">
      <c r="A14380" s="9"/>
      <c r="B14380" s="9"/>
    </row>
    <row r="14381">
      <c r="A14381" s="9"/>
      <c r="B14381" s="9"/>
    </row>
    <row r="14382">
      <c r="A14382" s="9"/>
      <c r="B14382" s="9"/>
    </row>
    <row r="14383">
      <c r="A14383" s="9"/>
      <c r="B14383" s="9"/>
    </row>
    <row r="14384">
      <c r="A14384" s="9"/>
      <c r="B14384" s="9"/>
    </row>
    <row r="14385">
      <c r="A14385" s="9"/>
      <c r="B14385" s="9"/>
    </row>
    <row r="14386">
      <c r="A14386" s="9"/>
      <c r="B14386" s="9"/>
    </row>
    <row r="14387">
      <c r="A14387" s="9"/>
      <c r="B14387" s="9"/>
    </row>
    <row r="14388">
      <c r="A14388" s="9"/>
      <c r="B14388" s="9"/>
    </row>
    <row r="14389">
      <c r="A14389" s="9"/>
      <c r="B14389" s="9"/>
    </row>
    <row r="14390">
      <c r="A14390" s="9"/>
      <c r="B14390" s="9"/>
    </row>
    <row r="14391">
      <c r="A14391" s="9"/>
      <c r="B14391" s="9"/>
    </row>
    <row r="14392">
      <c r="A14392" s="9"/>
      <c r="B14392" s="9"/>
    </row>
    <row r="14393">
      <c r="A14393" s="9"/>
      <c r="B14393" s="9"/>
    </row>
    <row r="14394">
      <c r="A14394" s="9"/>
      <c r="B14394" s="9"/>
    </row>
    <row r="14395">
      <c r="A14395" s="9"/>
      <c r="B14395" s="9"/>
    </row>
    <row r="14396">
      <c r="A14396" s="9"/>
      <c r="B14396" s="9"/>
    </row>
    <row r="14397">
      <c r="A14397" s="9"/>
      <c r="B14397" s="9"/>
    </row>
    <row r="14398">
      <c r="A14398" s="9"/>
      <c r="B14398" s="9"/>
    </row>
    <row r="14399">
      <c r="A14399" s="9"/>
      <c r="B14399" s="9"/>
    </row>
    <row r="14400">
      <c r="A14400" s="9"/>
      <c r="B14400" s="9"/>
    </row>
    <row r="14401">
      <c r="A14401" s="9"/>
      <c r="B14401" s="9"/>
    </row>
    <row r="14402">
      <c r="A14402" s="9"/>
      <c r="B14402" s="9"/>
    </row>
    <row r="14403">
      <c r="A14403" s="9"/>
      <c r="B14403" s="9"/>
    </row>
    <row r="14404">
      <c r="A14404" s="9"/>
      <c r="B14404" s="9"/>
    </row>
    <row r="14405">
      <c r="A14405" s="9"/>
      <c r="B14405" s="9"/>
    </row>
    <row r="14406">
      <c r="A14406" s="9"/>
      <c r="B14406" s="9"/>
    </row>
    <row r="14407">
      <c r="A14407" s="9"/>
      <c r="B14407" s="9"/>
    </row>
    <row r="14408">
      <c r="A14408" s="9"/>
      <c r="B14408" s="9"/>
    </row>
    <row r="14409">
      <c r="A14409" s="9"/>
      <c r="B14409" s="9"/>
    </row>
    <row r="14410">
      <c r="A14410" s="9"/>
      <c r="B14410" s="9"/>
    </row>
    <row r="14411">
      <c r="A14411" s="9"/>
      <c r="B14411" s="9"/>
    </row>
    <row r="14412">
      <c r="A14412" s="9"/>
      <c r="B14412" s="9"/>
    </row>
    <row r="14413">
      <c r="A14413" s="9"/>
      <c r="B14413" s="9"/>
    </row>
    <row r="14414">
      <c r="A14414" s="9"/>
      <c r="B14414" s="9"/>
    </row>
    <row r="14415">
      <c r="A14415" s="9"/>
      <c r="B14415" s="9"/>
    </row>
    <row r="14416">
      <c r="A14416" s="9"/>
      <c r="B14416" s="9"/>
    </row>
    <row r="14417">
      <c r="A14417" s="9"/>
      <c r="B14417" s="9"/>
    </row>
    <row r="14418">
      <c r="A14418" s="9"/>
      <c r="B14418" s="9"/>
    </row>
    <row r="14419">
      <c r="A14419" s="9"/>
      <c r="B14419" s="9"/>
    </row>
    <row r="14420">
      <c r="A14420" s="9"/>
      <c r="B14420" s="9"/>
    </row>
    <row r="14421">
      <c r="A14421" s="9"/>
      <c r="B14421" s="9"/>
    </row>
    <row r="14422">
      <c r="A14422" s="9"/>
      <c r="B14422" s="9"/>
    </row>
    <row r="14423">
      <c r="A14423" s="9"/>
      <c r="B14423" s="9"/>
    </row>
    <row r="14424">
      <c r="A14424" s="9"/>
      <c r="B14424" s="9"/>
    </row>
    <row r="14425">
      <c r="A14425" s="9"/>
      <c r="B14425" s="9"/>
    </row>
    <row r="14426">
      <c r="A14426" s="9"/>
      <c r="B14426" s="9"/>
    </row>
    <row r="14427">
      <c r="A14427" s="9"/>
      <c r="B14427" s="9"/>
    </row>
    <row r="14428">
      <c r="A14428" s="9"/>
      <c r="B14428" s="9"/>
    </row>
    <row r="14429">
      <c r="A14429" s="9"/>
      <c r="B14429" s="9"/>
    </row>
    <row r="14430">
      <c r="A14430" s="9"/>
      <c r="B14430" s="9"/>
    </row>
    <row r="14431">
      <c r="A14431" s="9"/>
      <c r="B14431" s="9"/>
    </row>
    <row r="14432">
      <c r="A14432" s="9"/>
      <c r="B14432" s="9"/>
    </row>
    <row r="14433">
      <c r="A14433" s="9"/>
      <c r="B14433" s="9"/>
    </row>
    <row r="14434">
      <c r="A14434" s="9"/>
      <c r="B14434" s="9"/>
    </row>
    <row r="14435">
      <c r="A14435" s="9"/>
      <c r="B14435" s="9"/>
    </row>
    <row r="14436">
      <c r="A14436" s="9"/>
      <c r="B14436" s="9"/>
    </row>
    <row r="14437">
      <c r="A14437" s="9"/>
      <c r="B14437" s="9"/>
    </row>
    <row r="14438">
      <c r="A14438" s="9"/>
      <c r="B14438" s="9"/>
    </row>
    <row r="14439">
      <c r="A14439" s="9"/>
      <c r="B14439" s="9"/>
    </row>
    <row r="14440">
      <c r="A14440" s="9"/>
      <c r="B14440" s="9"/>
    </row>
    <row r="14441">
      <c r="A14441" s="9"/>
      <c r="B14441" s="9"/>
    </row>
    <row r="14442">
      <c r="A14442" s="9"/>
      <c r="B14442" s="9"/>
    </row>
    <row r="14443">
      <c r="A14443" s="9"/>
      <c r="B14443" s="9"/>
    </row>
    <row r="14444">
      <c r="A14444" s="9"/>
      <c r="B14444" s="9"/>
    </row>
    <row r="14445">
      <c r="A14445" s="9"/>
      <c r="B14445" s="9"/>
    </row>
    <row r="14446">
      <c r="A14446" s="9"/>
      <c r="B14446" s="9"/>
    </row>
    <row r="14447">
      <c r="A14447" s="9"/>
      <c r="B14447" s="9"/>
    </row>
    <row r="14448">
      <c r="A14448" s="9"/>
      <c r="B14448" s="9"/>
    </row>
    <row r="14449">
      <c r="A14449" s="9"/>
      <c r="B14449" s="9"/>
    </row>
    <row r="14450">
      <c r="A14450" s="9"/>
      <c r="B14450" s="9"/>
    </row>
    <row r="14451">
      <c r="A14451" s="9"/>
      <c r="B14451" s="9"/>
    </row>
    <row r="14452">
      <c r="A14452" s="9"/>
      <c r="B14452" s="9"/>
    </row>
    <row r="14453">
      <c r="A14453" s="9"/>
      <c r="B14453" s="9"/>
    </row>
    <row r="14454">
      <c r="A14454" s="9"/>
      <c r="B14454" s="9"/>
    </row>
    <row r="14455">
      <c r="A14455" s="9"/>
      <c r="B14455" s="9"/>
    </row>
    <row r="14456">
      <c r="A14456" s="9"/>
      <c r="B14456" s="9"/>
    </row>
    <row r="14457">
      <c r="A14457" s="9"/>
      <c r="B14457" s="9"/>
    </row>
    <row r="14458">
      <c r="A14458" s="9"/>
      <c r="B14458" s="9"/>
    </row>
    <row r="14459">
      <c r="A14459" s="9"/>
      <c r="B14459" s="9"/>
    </row>
    <row r="14460">
      <c r="A14460" s="9"/>
      <c r="B14460" s="9"/>
    </row>
    <row r="14461">
      <c r="A14461" s="9"/>
      <c r="B14461" s="9"/>
    </row>
    <row r="14462">
      <c r="A14462" s="9"/>
      <c r="B14462" s="9"/>
    </row>
    <row r="14463">
      <c r="A14463" s="9"/>
      <c r="B14463" s="9"/>
    </row>
    <row r="14464">
      <c r="A14464" s="9"/>
      <c r="B14464" s="9"/>
    </row>
    <row r="14465">
      <c r="A14465" s="9"/>
      <c r="B14465" s="9"/>
    </row>
    <row r="14466">
      <c r="A14466" s="9"/>
      <c r="B14466" s="9"/>
    </row>
    <row r="14467">
      <c r="A14467" s="9"/>
      <c r="B14467" s="9"/>
    </row>
    <row r="14468">
      <c r="A14468" s="9"/>
      <c r="B14468" s="9"/>
    </row>
    <row r="14469">
      <c r="A14469" s="9"/>
      <c r="B14469" s="9"/>
    </row>
    <row r="14470">
      <c r="A14470" s="9"/>
      <c r="B14470" s="9"/>
    </row>
    <row r="14471">
      <c r="A14471" s="9"/>
      <c r="B14471" s="9"/>
    </row>
    <row r="14472">
      <c r="A14472" s="9"/>
      <c r="B14472" s="9"/>
    </row>
    <row r="14473">
      <c r="A14473" s="9"/>
      <c r="B14473" s="9"/>
    </row>
    <row r="14474">
      <c r="A14474" s="9"/>
      <c r="B14474" s="9"/>
    </row>
    <row r="14475">
      <c r="A14475" s="9"/>
      <c r="B14475" s="9"/>
    </row>
    <row r="14476">
      <c r="A14476" s="9"/>
      <c r="B14476" s="9"/>
    </row>
    <row r="14477">
      <c r="A14477" s="9"/>
      <c r="B14477" s="9"/>
    </row>
    <row r="14478">
      <c r="A14478" s="9"/>
      <c r="B14478" s="9"/>
    </row>
    <row r="14479">
      <c r="A14479" s="9"/>
      <c r="B14479" s="9"/>
    </row>
    <row r="14480">
      <c r="A14480" s="9"/>
      <c r="B14480" s="9"/>
    </row>
    <row r="14481">
      <c r="A14481" s="9"/>
      <c r="B14481" s="9"/>
    </row>
    <row r="14482">
      <c r="A14482" s="9"/>
      <c r="B14482" s="9"/>
    </row>
    <row r="14483">
      <c r="A14483" s="9"/>
      <c r="B14483" s="9"/>
    </row>
    <row r="14484">
      <c r="A14484" s="9"/>
      <c r="B14484" s="9"/>
    </row>
    <row r="14485">
      <c r="A14485" s="9"/>
      <c r="B14485" s="9"/>
    </row>
    <row r="14486">
      <c r="A14486" s="9"/>
      <c r="B14486" s="9"/>
    </row>
    <row r="14487">
      <c r="A14487" s="9"/>
      <c r="B14487" s="9"/>
    </row>
    <row r="14488">
      <c r="A14488" s="9"/>
      <c r="B14488" s="9"/>
    </row>
    <row r="14489">
      <c r="A14489" s="9"/>
      <c r="B14489" s="9"/>
    </row>
    <row r="14490">
      <c r="A14490" s="9"/>
      <c r="B14490" s="9"/>
    </row>
    <row r="14491">
      <c r="A14491" s="9"/>
      <c r="B14491" s="9"/>
    </row>
    <row r="14492">
      <c r="A14492" s="9"/>
      <c r="B14492" s="9"/>
    </row>
    <row r="14493">
      <c r="A14493" s="9"/>
      <c r="B14493" s="9"/>
    </row>
    <row r="14494">
      <c r="A14494" s="9"/>
      <c r="B14494" s="9"/>
    </row>
    <row r="14495">
      <c r="A14495" s="9"/>
      <c r="B14495" s="9"/>
    </row>
    <row r="14496">
      <c r="A14496" s="9"/>
      <c r="B14496" s="9"/>
    </row>
    <row r="14497">
      <c r="A14497" s="9"/>
      <c r="B14497" s="9"/>
    </row>
    <row r="14498">
      <c r="A14498" s="9"/>
      <c r="B14498" s="9"/>
    </row>
    <row r="14499">
      <c r="A14499" s="9"/>
      <c r="B14499" s="9"/>
    </row>
    <row r="14500">
      <c r="A14500" s="9"/>
      <c r="B14500" s="9"/>
    </row>
    <row r="14501">
      <c r="A14501" s="9"/>
      <c r="B14501" s="9"/>
    </row>
    <row r="14502">
      <c r="A14502" s="9"/>
      <c r="B14502" s="9"/>
    </row>
    <row r="14503">
      <c r="A14503" s="9"/>
      <c r="B14503" s="9"/>
    </row>
    <row r="14504">
      <c r="A14504" s="9"/>
      <c r="B14504" s="9"/>
    </row>
    <row r="14505">
      <c r="A14505" s="9"/>
      <c r="B14505" s="9"/>
    </row>
    <row r="14506">
      <c r="A14506" s="9"/>
      <c r="B14506" s="9"/>
    </row>
    <row r="14507">
      <c r="A14507" s="9"/>
      <c r="B14507" s="9"/>
    </row>
    <row r="14508">
      <c r="A14508" s="9"/>
      <c r="B14508" s="9"/>
    </row>
    <row r="14509">
      <c r="A14509" s="9"/>
      <c r="B14509" s="9"/>
    </row>
    <row r="14510">
      <c r="A14510" s="9"/>
      <c r="B14510" s="9"/>
    </row>
    <row r="14511">
      <c r="A14511" s="9"/>
      <c r="B14511" s="9"/>
    </row>
    <row r="14512">
      <c r="A14512" s="9"/>
      <c r="B14512" s="9"/>
    </row>
    <row r="14513">
      <c r="A14513" s="9"/>
      <c r="B14513" s="9"/>
    </row>
    <row r="14514">
      <c r="A14514" s="9"/>
      <c r="B14514" s="9"/>
    </row>
    <row r="14515">
      <c r="A14515" s="9"/>
      <c r="B14515" s="9"/>
    </row>
    <row r="14516">
      <c r="A14516" s="9"/>
      <c r="B14516" s="9"/>
    </row>
    <row r="14517">
      <c r="A14517" s="9"/>
      <c r="B14517" s="9"/>
    </row>
    <row r="14518">
      <c r="A14518" s="9"/>
      <c r="B14518" s="9"/>
    </row>
    <row r="14519">
      <c r="A14519" s="9"/>
      <c r="B14519" s="9"/>
    </row>
    <row r="14520">
      <c r="A14520" s="9"/>
      <c r="B14520" s="9"/>
    </row>
    <row r="14521">
      <c r="A14521" s="9"/>
      <c r="B14521" s="9"/>
    </row>
    <row r="14522">
      <c r="A14522" s="9"/>
      <c r="B14522" s="9"/>
    </row>
    <row r="14523">
      <c r="A14523" s="9"/>
      <c r="B14523" s="9"/>
    </row>
    <row r="14524">
      <c r="A14524" s="9"/>
      <c r="B14524" s="9"/>
    </row>
    <row r="14525">
      <c r="A14525" s="9"/>
      <c r="B14525" s="9"/>
    </row>
    <row r="14526">
      <c r="A14526" s="9"/>
      <c r="B14526" s="9"/>
    </row>
    <row r="14527">
      <c r="A14527" s="9"/>
      <c r="B14527" s="9"/>
    </row>
    <row r="14528">
      <c r="A14528" s="9"/>
      <c r="B14528" s="9"/>
    </row>
    <row r="14529">
      <c r="A14529" s="9"/>
      <c r="B14529" s="9"/>
    </row>
    <row r="14530">
      <c r="A14530" s="9"/>
      <c r="B14530" s="9"/>
    </row>
    <row r="14531">
      <c r="A14531" s="9"/>
      <c r="B14531" s="9"/>
    </row>
    <row r="14532">
      <c r="A14532" s="9"/>
      <c r="B14532" s="9"/>
    </row>
    <row r="14533">
      <c r="A14533" s="9"/>
      <c r="B14533" s="9"/>
    </row>
    <row r="14534">
      <c r="A14534" s="9"/>
      <c r="B14534" s="9"/>
    </row>
    <row r="14535">
      <c r="A14535" s="9"/>
      <c r="B14535" s="9"/>
    </row>
    <row r="14536">
      <c r="A14536" s="9"/>
      <c r="B14536" s="9"/>
    </row>
    <row r="14537">
      <c r="A14537" s="9"/>
      <c r="B14537" s="9"/>
    </row>
    <row r="14538">
      <c r="A14538" s="9"/>
      <c r="B14538" s="9"/>
    </row>
    <row r="14539">
      <c r="A14539" s="9"/>
      <c r="B14539" s="9"/>
    </row>
    <row r="14540">
      <c r="A14540" s="9"/>
      <c r="B14540" s="9"/>
    </row>
    <row r="14541">
      <c r="A14541" s="9"/>
      <c r="B14541" s="9"/>
    </row>
    <row r="14542">
      <c r="A14542" s="9"/>
      <c r="B14542" s="9"/>
    </row>
    <row r="14543">
      <c r="A14543" s="9"/>
      <c r="B14543" s="9"/>
    </row>
    <row r="14544">
      <c r="A14544" s="9"/>
      <c r="B14544" s="9"/>
    </row>
    <row r="14545">
      <c r="A14545" s="9"/>
      <c r="B14545" s="9"/>
    </row>
    <row r="14546">
      <c r="A14546" s="9"/>
      <c r="B14546" s="9"/>
    </row>
    <row r="14547">
      <c r="A14547" s="9"/>
      <c r="B14547" s="9"/>
    </row>
    <row r="14548">
      <c r="A14548" s="9"/>
      <c r="B14548" s="9"/>
    </row>
    <row r="14549">
      <c r="A14549" s="9"/>
      <c r="B14549" s="9"/>
    </row>
    <row r="14550">
      <c r="A14550" s="9"/>
      <c r="B14550" s="9"/>
    </row>
    <row r="14551">
      <c r="A14551" s="9"/>
      <c r="B14551" s="9"/>
    </row>
    <row r="14552">
      <c r="A14552" s="9"/>
      <c r="B14552" s="9"/>
    </row>
    <row r="14553">
      <c r="A14553" s="9"/>
      <c r="B14553" s="9"/>
    </row>
    <row r="14554">
      <c r="A14554" s="9"/>
      <c r="B14554" s="9"/>
    </row>
    <row r="14555">
      <c r="A14555" s="9"/>
      <c r="B14555" s="9"/>
    </row>
    <row r="14556">
      <c r="A14556" s="9"/>
      <c r="B14556" s="9"/>
    </row>
    <row r="14557">
      <c r="A14557" s="9"/>
      <c r="B14557" s="9"/>
    </row>
    <row r="14558">
      <c r="A14558" s="9"/>
      <c r="B14558" s="9"/>
    </row>
    <row r="14559">
      <c r="A14559" s="9"/>
      <c r="B14559" s="9"/>
    </row>
    <row r="14560">
      <c r="A14560" s="9"/>
      <c r="B14560" s="9"/>
    </row>
    <row r="14561">
      <c r="A14561" s="9"/>
      <c r="B14561" s="9"/>
    </row>
    <row r="14562">
      <c r="A14562" s="9"/>
      <c r="B14562" s="9"/>
    </row>
    <row r="14563">
      <c r="A14563" s="9"/>
      <c r="B14563" s="9"/>
    </row>
    <row r="14564">
      <c r="A14564" s="9"/>
      <c r="B14564" s="9"/>
    </row>
    <row r="14565">
      <c r="A14565" s="9"/>
      <c r="B14565" s="9"/>
    </row>
    <row r="14566">
      <c r="A14566" s="9"/>
      <c r="B14566" s="9"/>
    </row>
    <row r="14567">
      <c r="A14567" s="9"/>
      <c r="B14567" s="9"/>
    </row>
    <row r="14568">
      <c r="A14568" s="9"/>
      <c r="B14568" s="9"/>
    </row>
    <row r="14569">
      <c r="A14569" s="9"/>
      <c r="B14569" s="9"/>
    </row>
    <row r="14570">
      <c r="A14570" s="9"/>
      <c r="B14570" s="9"/>
    </row>
    <row r="14571">
      <c r="A14571" s="9"/>
      <c r="B14571" s="9"/>
    </row>
    <row r="14572">
      <c r="A14572" s="9"/>
      <c r="B14572" s="9"/>
    </row>
    <row r="14573">
      <c r="A14573" s="9"/>
      <c r="B14573" s="9"/>
    </row>
    <row r="14574">
      <c r="A14574" s="9"/>
      <c r="B14574" s="9"/>
    </row>
    <row r="14575">
      <c r="A14575" s="9"/>
      <c r="B14575" s="9"/>
    </row>
    <row r="14576">
      <c r="A14576" s="9"/>
      <c r="B14576" s="9"/>
    </row>
    <row r="14577">
      <c r="A14577" s="9"/>
      <c r="B14577" s="9"/>
    </row>
    <row r="14578">
      <c r="A14578" s="9"/>
      <c r="B14578" s="9"/>
    </row>
    <row r="14579">
      <c r="A14579" s="9"/>
      <c r="B14579" s="9"/>
    </row>
    <row r="14580">
      <c r="A14580" s="9"/>
      <c r="B14580" s="9"/>
    </row>
    <row r="14581">
      <c r="A14581" s="9"/>
      <c r="B14581" s="9"/>
    </row>
    <row r="14582">
      <c r="A14582" s="9"/>
      <c r="B14582" s="9"/>
    </row>
    <row r="14583">
      <c r="A14583" s="9"/>
      <c r="B14583" s="9"/>
    </row>
    <row r="14584">
      <c r="A14584" s="9"/>
      <c r="B14584" s="9"/>
    </row>
    <row r="14585">
      <c r="A14585" s="9"/>
      <c r="B14585" s="9"/>
    </row>
    <row r="14586">
      <c r="A14586" s="9"/>
      <c r="B14586" s="9"/>
    </row>
    <row r="14587">
      <c r="A14587" s="9"/>
      <c r="B14587" s="9"/>
    </row>
    <row r="14588">
      <c r="A14588" s="9"/>
      <c r="B14588" s="9"/>
    </row>
    <row r="14589">
      <c r="A14589" s="9"/>
      <c r="B14589" s="9"/>
    </row>
    <row r="14590">
      <c r="A14590" s="9"/>
      <c r="B14590" s="9"/>
    </row>
    <row r="14591">
      <c r="A14591" s="9"/>
      <c r="B14591" s="9"/>
    </row>
    <row r="14592">
      <c r="A14592" s="9"/>
      <c r="B14592" s="9"/>
    </row>
    <row r="14593">
      <c r="A14593" s="9"/>
      <c r="B14593" s="9"/>
    </row>
    <row r="14594">
      <c r="A14594" s="9"/>
      <c r="B14594" s="9"/>
    </row>
    <row r="14595">
      <c r="A14595" s="9"/>
      <c r="B14595" s="9"/>
    </row>
    <row r="14596">
      <c r="A14596" s="9"/>
      <c r="B14596" s="9"/>
    </row>
    <row r="14597">
      <c r="A14597" s="9"/>
      <c r="B14597" s="9"/>
    </row>
    <row r="14598">
      <c r="A14598" s="9"/>
      <c r="B14598" s="9"/>
    </row>
    <row r="14599">
      <c r="A14599" s="9"/>
      <c r="B14599" s="9"/>
    </row>
    <row r="14600">
      <c r="A14600" s="9"/>
      <c r="B14600" s="9"/>
    </row>
    <row r="14601">
      <c r="A14601" s="9"/>
      <c r="B14601" s="9"/>
    </row>
    <row r="14602">
      <c r="A14602" s="9"/>
      <c r="B14602" s="9"/>
    </row>
    <row r="14603">
      <c r="A14603" s="9"/>
      <c r="B14603" s="9"/>
    </row>
    <row r="14604">
      <c r="A14604" s="9"/>
      <c r="B14604" s="9"/>
    </row>
    <row r="14605">
      <c r="A14605" s="9"/>
      <c r="B14605" s="9"/>
    </row>
    <row r="14606">
      <c r="A14606" s="9"/>
      <c r="B14606" s="9"/>
    </row>
    <row r="14607">
      <c r="A14607" s="9"/>
      <c r="B14607" s="9"/>
    </row>
    <row r="14608">
      <c r="A14608" s="9"/>
      <c r="B14608" s="9"/>
    </row>
    <row r="14609">
      <c r="A14609" s="9"/>
      <c r="B14609" s="9"/>
    </row>
    <row r="14610">
      <c r="A14610" s="9"/>
      <c r="B14610" s="9"/>
    </row>
    <row r="14611">
      <c r="A14611" s="9"/>
      <c r="B14611" s="9"/>
    </row>
    <row r="14612">
      <c r="A14612" s="9"/>
      <c r="B14612" s="9"/>
    </row>
    <row r="14613">
      <c r="A14613" s="9"/>
      <c r="B14613" s="9"/>
    </row>
    <row r="14614">
      <c r="A14614" s="9"/>
      <c r="B14614" s="9"/>
    </row>
    <row r="14615">
      <c r="A14615" s="9"/>
      <c r="B14615" s="9"/>
    </row>
    <row r="14616">
      <c r="A14616" s="9"/>
      <c r="B14616" s="9"/>
    </row>
    <row r="14617">
      <c r="A14617" s="9"/>
      <c r="B14617" s="9"/>
    </row>
    <row r="14618">
      <c r="A14618" s="9"/>
      <c r="B14618" s="9"/>
    </row>
    <row r="14619">
      <c r="A14619" s="9"/>
      <c r="B14619" s="9"/>
    </row>
    <row r="14620">
      <c r="A14620" s="9"/>
      <c r="B14620" s="9"/>
    </row>
    <row r="14621">
      <c r="A14621" s="9"/>
      <c r="B14621" s="9"/>
    </row>
    <row r="14622">
      <c r="A14622" s="9"/>
      <c r="B14622" s="9"/>
    </row>
    <row r="14623">
      <c r="A14623" s="9"/>
      <c r="B14623" s="9"/>
    </row>
    <row r="14624">
      <c r="A14624" s="9"/>
      <c r="B14624" s="9"/>
    </row>
    <row r="14625">
      <c r="A14625" s="9"/>
      <c r="B14625" s="9"/>
    </row>
    <row r="14626">
      <c r="A14626" s="9"/>
      <c r="B14626" s="9"/>
    </row>
    <row r="14627">
      <c r="A14627" s="9"/>
      <c r="B14627" s="9"/>
    </row>
    <row r="14628">
      <c r="A14628" s="9"/>
      <c r="B14628" s="9"/>
    </row>
    <row r="14629">
      <c r="A14629" s="9"/>
      <c r="B14629" s="9"/>
    </row>
    <row r="14630">
      <c r="A14630" s="9"/>
      <c r="B14630" s="9"/>
    </row>
    <row r="14631">
      <c r="A14631" s="9"/>
      <c r="B14631" s="9"/>
    </row>
    <row r="14632">
      <c r="A14632" s="9"/>
      <c r="B14632" s="9"/>
    </row>
    <row r="14633">
      <c r="A14633" s="9"/>
      <c r="B14633" s="9"/>
    </row>
    <row r="14634">
      <c r="A14634" s="9"/>
      <c r="B14634" s="9"/>
    </row>
    <row r="14635">
      <c r="A14635" s="9"/>
      <c r="B14635" s="9"/>
    </row>
    <row r="14636">
      <c r="A14636" s="9"/>
      <c r="B14636" s="9"/>
    </row>
    <row r="14637">
      <c r="A14637" s="9"/>
      <c r="B14637" s="9"/>
    </row>
    <row r="14638">
      <c r="A14638" s="9"/>
      <c r="B14638" s="9"/>
    </row>
    <row r="14639">
      <c r="A14639" s="9"/>
      <c r="B14639" s="9"/>
    </row>
    <row r="14640">
      <c r="A14640" s="9"/>
      <c r="B14640" s="9"/>
    </row>
    <row r="14641">
      <c r="A14641" s="9"/>
      <c r="B14641" s="9"/>
    </row>
    <row r="14642">
      <c r="A14642" s="9"/>
      <c r="B14642" s="9"/>
    </row>
    <row r="14643">
      <c r="A14643" s="9"/>
      <c r="B14643" s="9"/>
    </row>
    <row r="14644">
      <c r="A14644" s="9"/>
      <c r="B14644" s="9"/>
    </row>
    <row r="14645">
      <c r="A14645" s="9"/>
      <c r="B14645" s="9"/>
    </row>
    <row r="14646">
      <c r="A14646" s="9"/>
      <c r="B14646" s="9"/>
    </row>
    <row r="14647">
      <c r="A14647" s="9"/>
      <c r="B14647" s="9"/>
    </row>
    <row r="14648">
      <c r="A14648" s="9"/>
      <c r="B14648" s="9"/>
    </row>
    <row r="14649">
      <c r="A14649" s="9"/>
      <c r="B14649" s="9"/>
    </row>
    <row r="14650">
      <c r="A14650" s="9"/>
      <c r="B14650" s="9"/>
    </row>
    <row r="14651">
      <c r="A14651" s="9"/>
      <c r="B14651" s="9"/>
    </row>
    <row r="14652">
      <c r="A14652" s="9"/>
      <c r="B14652" s="9"/>
    </row>
    <row r="14653">
      <c r="A14653" s="9"/>
      <c r="B14653" s="9"/>
    </row>
    <row r="14654">
      <c r="A14654" s="9"/>
      <c r="B14654" s="9"/>
    </row>
    <row r="14655">
      <c r="A14655" s="9"/>
      <c r="B14655" s="9"/>
    </row>
    <row r="14656">
      <c r="A14656" s="9"/>
      <c r="B14656" s="9"/>
    </row>
    <row r="14657">
      <c r="A14657" s="9"/>
      <c r="B14657" s="9"/>
    </row>
    <row r="14658">
      <c r="A14658" s="9"/>
      <c r="B14658" s="9"/>
    </row>
    <row r="14659">
      <c r="A14659" s="9"/>
      <c r="B14659" s="9"/>
    </row>
    <row r="14660">
      <c r="A14660" s="9"/>
      <c r="B14660" s="9"/>
    </row>
    <row r="14661">
      <c r="A14661" s="9"/>
      <c r="B14661" s="9"/>
    </row>
    <row r="14662">
      <c r="A14662" s="9"/>
      <c r="B14662" s="9"/>
    </row>
    <row r="14663">
      <c r="A14663" s="9"/>
      <c r="B14663" s="9"/>
    </row>
    <row r="14664">
      <c r="A14664" s="9"/>
      <c r="B14664" s="9"/>
    </row>
    <row r="14665">
      <c r="A14665" s="9"/>
      <c r="B14665" s="9"/>
    </row>
    <row r="14666">
      <c r="A14666" s="9"/>
      <c r="B14666" s="9"/>
    </row>
    <row r="14667">
      <c r="A14667" s="9"/>
      <c r="B14667" s="9"/>
    </row>
    <row r="14668">
      <c r="A14668" s="9"/>
      <c r="B14668" s="9"/>
    </row>
    <row r="14669">
      <c r="A14669" s="9"/>
      <c r="B14669" s="9"/>
    </row>
    <row r="14670">
      <c r="A14670" s="9"/>
      <c r="B14670" s="9"/>
    </row>
    <row r="14671">
      <c r="A14671" s="9"/>
      <c r="B14671" s="9"/>
    </row>
    <row r="14672">
      <c r="A14672" s="9"/>
      <c r="B14672" s="9"/>
    </row>
    <row r="14673">
      <c r="A14673" s="9"/>
      <c r="B14673" s="9"/>
    </row>
    <row r="14674">
      <c r="A14674" s="9"/>
      <c r="B14674" s="9"/>
    </row>
    <row r="14675">
      <c r="A14675" s="9"/>
      <c r="B14675" s="9"/>
    </row>
    <row r="14676">
      <c r="A14676" s="9"/>
      <c r="B14676" s="9"/>
    </row>
    <row r="14677">
      <c r="A14677" s="9"/>
      <c r="B14677" s="9"/>
    </row>
    <row r="14678">
      <c r="A14678" s="9"/>
      <c r="B14678" s="9"/>
    </row>
    <row r="14679">
      <c r="A14679" s="9"/>
      <c r="B14679" s="9"/>
    </row>
    <row r="14680">
      <c r="A14680" s="9"/>
      <c r="B14680" s="9"/>
    </row>
    <row r="14681">
      <c r="A14681" s="9"/>
      <c r="B14681" s="9"/>
    </row>
    <row r="14682">
      <c r="A14682" s="9"/>
      <c r="B14682" s="9"/>
    </row>
    <row r="14683">
      <c r="A14683" s="9"/>
      <c r="B14683" s="9"/>
    </row>
    <row r="14684">
      <c r="A14684" s="9"/>
      <c r="B14684" s="9"/>
    </row>
    <row r="14685">
      <c r="A14685" s="9"/>
      <c r="B14685" s="9"/>
    </row>
    <row r="14686">
      <c r="A14686" s="9"/>
      <c r="B14686" s="9"/>
    </row>
    <row r="14687">
      <c r="A14687" s="9"/>
      <c r="B14687" s="9"/>
    </row>
    <row r="14688">
      <c r="A14688" s="9"/>
      <c r="B14688" s="9"/>
    </row>
    <row r="14689">
      <c r="A14689" s="9"/>
      <c r="B14689" s="9"/>
    </row>
    <row r="14690">
      <c r="A14690" s="9"/>
      <c r="B14690" s="9"/>
    </row>
    <row r="14691">
      <c r="A14691" s="9"/>
      <c r="B14691" s="9"/>
    </row>
    <row r="14692">
      <c r="A14692" s="9"/>
      <c r="B14692" s="9"/>
    </row>
    <row r="14693">
      <c r="A14693" s="9"/>
      <c r="B14693" s="9"/>
    </row>
    <row r="14694">
      <c r="A14694" s="9"/>
      <c r="B14694" s="9"/>
    </row>
    <row r="14695">
      <c r="A14695" s="9"/>
      <c r="B14695" s="9"/>
    </row>
    <row r="14696">
      <c r="A14696" s="9"/>
      <c r="B14696" s="9"/>
    </row>
    <row r="14697">
      <c r="A14697" s="9"/>
      <c r="B14697" s="9"/>
    </row>
    <row r="14698">
      <c r="A14698" s="9"/>
      <c r="B14698" s="9"/>
    </row>
    <row r="14699">
      <c r="A14699" s="9"/>
      <c r="B14699" s="9"/>
    </row>
    <row r="14700">
      <c r="A14700" s="9"/>
      <c r="B14700" s="9"/>
    </row>
    <row r="14701">
      <c r="A14701" s="9"/>
      <c r="B14701" s="9"/>
    </row>
    <row r="14702">
      <c r="A14702" s="9"/>
      <c r="B14702" s="9"/>
    </row>
    <row r="14703">
      <c r="A14703" s="9"/>
      <c r="B14703" s="9"/>
    </row>
    <row r="14704">
      <c r="A14704" s="9"/>
      <c r="B14704" s="9"/>
    </row>
    <row r="14705">
      <c r="A14705" s="9"/>
      <c r="B14705" s="9"/>
    </row>
    <row r="14706">
      <c r="A14706" s="9"/>
      <c r="B14706" s="9"/>
    </row>
    <row r="14707">
      <c r="A14707" s="9"/>
      <c r="B14707" s="9"/>
    </row>
    <row r="14708">
      <c r="A14708" s="9"/>
      <c r="B14708" s="9"/>
    </row>
    <row r="14709">
      <c r="A14709" s="9"/>
      <c r="B14709" s="9"/>
    </row>
    <row r="14710">
      <c r="A14710" s="9"/>
      <c r="B14710" s="9"/>
    </row>
    <row r="14711">
      <c r="A14711" s="9"/>
      <c r="B14711" s="9"/>
    </row>
    <row r="14712">
      <c r="A14712" s="9"/>
      <c r="B14712" s="9"/>
    </row>
    <row r="14713">
      <c r="A14713" s="9"/>
      <c r="B14713" s="9"/>
    </row>
    <row r="14714">
      <c r="A14714" s="9"/>
      <c r="B14714" s="9"/>
    </row>
    <row r="14715">
      <c r="A14715" s="9"/>
      <c r="B14715" s="9"/>
    </row>
    <row r="14716">
      <c r="A14716" s="9"/>
      <c r="B14716" s="9"/>
    </row>
    <row r="14717">
      <c r="A14717" s="9"/>
      <c r="B14717" s="9"/>
    </row>
    <row r="14718">
      <c r="A14718" s="9"/>
      <c r="B14718" s="9"/>
    </row>
    <row r="14719">
      <c r="A14719" s="9"/>
      <c r="B14719" s="9"/>
    </row>
    <row r="14720">
      <c r="A14720" s="9"/>
      <c r="B14720" s="9"/>
    </row>
    <row r="14721">
      <c r="A14721" s="9"/>
      <c r="B14721" s="9"/>
    </row>
    <row r="14722">
      <c r="A14722" s="9"/>
      <c r="B14722" s="9"/>
    </row>
    <row r="14723">
      <c r="A14723" s="9"/>
      <c r="B14723" s="9"/>
    </row>
    <row r="14724">
      <c r="A14724" s="9"/>
      <c r="B14724" s="9"/>
    </row>
    <row r="14725">
      <c r="A14725" s="9"/>
      <c r="B14725" s="9"/>
    </row>
    <row r="14726">
      <c r="A14726" s="9"/>
      <c r="B14726" s="9"/>
    </row>
    <row r="14727">
      <c r="A14727" s="9"/>
      <c r="B14727" s="9"/>
    </row>
    <row r="14728">
      <c r="A14728" s="9"/>
      <c r="B14728" s="9"/>
    </row>
    <row r="14729">
      <c r="A14729" s="9"/>
      <c r="B14729" s="9"/>
    </row>
    <row r="14730">
      <c r="A14730" s="9"/>
      <c r="B14730" s="9"/>
    </row>
    <row r="14731">
      <c r="A14731" s="9"/>
      <c r="B14731" s="9"/>
    </row>
    <row r="14732">
      <c r="A14732" s="9"/>
      <c r="B14732" s="9"/>
    </row>
    <row r="14733">
      <c r="A14733" s="9"/>
      <c r="B14733" s="9"/>
    </row>
    <row r="14734">
      <c r="A14734" s="9"/>
      <c r="B14734" s="9"/>
    </row>
    <row r="14735">
      <c r="A14735" s="9"/>
      <c r="B14735" s="9"/>
    </row>
    <row r="14736">
      <c r="A14736" s="9"/>
      <c r="B14736" s="9"/>
    </row>
    <row r="14737">
      <c r="A14737" s="9"/>
      <c r="B14737" s="9"/>
    </row>
    <row r="14738">
      <c r="A14738" s="9"/>
      <c r="B14738" s="9"/>
    </row>
    <row r="14739">
      <c r="A14739" s="9"/>
      <c r="B14739" s="9"/>
    </row>
    <row r="14740">
      <c r="A14740" s="9"/>
      <c r="B14740" s="9"/>
    </row>
    <row r="14741">
      <c r="A14741" s="9"/>
      <c r="B14741" s="9"/>
    </row>
    <row r="14742">
      <c r="A14742" s="9"/>
      <c r="B14742" s="9"/>
    </row>
    <row r="14743">
      <c r="A14743" s="9"/>
      <c r="B14743" s="9"/>
    </row>
    <row r="14744">
      <c r="A14744" s="9"/>
      <c r="B14744" s="9"/>
    </row>
    <row r="14745">
      <c r="A14745" s="9"/>
      <c r="B14745" s="9"/>
    </row>
    <row r="14746">
      <c r="A14746" s="9"/>
      <c r="B14746" s="9"/>
    </row>
    <row r="14747">
      <c r="A14747" s="9"/>
      <c r="B14747" s="9"/>
    </row>
    <row r="14748">
      <c r="A14748" s="9"/>
      <c r="B14748" s="9"/>
    </row>
    <row r="14749">
      <c r="A14749" s="9"/>
      <c r="B14749" s="9"/>
    </row>
    <row r="14750">
      <c r="A14750" s="9"/>
      <c r="B14750" s="9"/>
    </row>
    <row r="14751">
      <c r="A14751" s="9"/>
      <c r="B14751" s="9"/>
    </row>
    <row r="14752">
      <c r="A14752" s="9"/>
      <c r="B14752" s="9"/>
    </row>
    <row r="14753">
      <c r="A14753" s="9"/>
      <c r="B14753" s="9"/>
    </row>
    <row r="14754">
      <c r="A14754" s="9"/>
      <c r="B14754" s="9"/>
    </row>
    <row r="14755">
      <c r="A14755" s="9"/>
      <c r="B14755" s="9"/>
    </row>
    <row r="14756">
      <c r="A14756" s="9"/>
      <c r="B14756" s="9"/>
    </row>
    <row r="14757">
      <c r="A14757" s="9"/>
      <c r="B14757" s="9"/>
    </row>
    <row r="14758">
      <c r="A14758" s="9"/>
      <c r="B14758" s="9"/>
    </row>
    <row r="14759">
      <c r="A14759" s="9"/>
      <c r="B14759" s="9"/>
    </row>
    <row r="14760">
      <c r="A14760" s="9"/>
      <c r="B14760" s="9"/>
    </row>
    <row r="14761">
      <c r="A14761" s="9"/>
      <c r="B14761" s="9"/>
    </row>
    <row r="14762">
      <c r="A14762" s="9"/>
      <c r="B14762" s="9"/>
    </row>
    <row r="14763">
      <c r="A14763" s="9"/>
      <c r="B14763" s="9"/>
    </row>
    <row r="14764">
      <c r="A14764" s="9"/>
      <c r="B14764" s="9"/>
    </row>
    <row r="14765">
      <c r="A14765" s="9"/>
      <c r="B14765" s="9"/>
    </row>
    <row r="14766">
      <c r="A14766" s="9"/>
      <c r="B14766" s="9"/>
    </row>
    <row r="14767">
      <c r="A14767" s="9"/>
      <c r="B14767" s="9"/>
    </row>
    <row r="14768">
      <c r="A14768" s="9"/>
      <c r="B14768" s="9"/>
    </row>
    <row r="14769">
      <c r="A14769" s="9"/>
      <c r="B14769" s="9"/>
    </row>
    <row r="14770">
      <c r="A14770" s="9"/>
      <c r="B14770" s="9"/>
    </row>
    <row r="14771">
      <c r="A14771" s="9"/>
      <c r="B14771" s="9"/>
    </row>
    <row r="14772">
      <c r="A14772" s="9"/>
      <c r="B14772" s="9"/>
    </row>
    <row r="14773">
      <c r="A14773" s="9"/>
      <c r="B14773" s="9"/>
    </row>
    <row r="14774">
      <c r="A14774" s="9"/>
      <c r="B14774" s="9"/>
    </row>
    <row r="14775">
      <c r="A14775" s="9"/>
      <c r="B14775" s="9"/>
    </row>
    <row r="14776">
      <c r="A14776" s="9"/>
      <c r="B14776" s="9"/>
    </row>
    <row r="14777">
      <c r="A14777" s="9"/>
      <c r="B14777" s="9"/>
    </row>
    <row r="14778">
      <c r="A14778" s="9"/>
      <c r="B14778" s="9"/>
    </row>
    <row r="14779">
      <c r="A14779" s="9"/>
      <c r="B14779" s="9"/>
    </row>
    <row r="14780">
      <c r="A14780" s="9"/>
      <c r="B14780" s="9"/>
    </row>
    <row r="14781">
      <c r="A14781" s="9"/>
      <c r="B14781" s="9"/>
    </row>
    <row r="14782">
      <c r="A14782" s="9"/>
      <c r="B14782" s="9"/>
    </row>
    <row r="14783">
      <c r="A14783" s="9"/>
      <c r="B14783" s="9"/>
    </row>
    <row r="14784">
      <c r="A14784" s="9"/>
      <c r="B14784" s="9"/>
    </row>
    <row r="14785">
      <c r="A14785" s="9"/>
      <c r="B14785" s="9"/>
    </row>
    <row r="14786">
      <c r="A14786" s="9"/>
      <c r="B14786" s="9"/>
    </row>
    <row r="14787">
      <c r="A14787" s="9"/>
      <c r="B14787" s="9"/>
    </row>
    <row r="14788">
      <c r="A14788" s="9"/>
      <c r="B14788" s="9"/>
    </row>
    <row r="14789">
      <c r="A14789" s="9"/>
      <c r="B14789" s="9"/>
    </row>
    <row r="14790">
      <c r="A14790" s="9"/>
      <c r="B14790" s="9"/>
    </row>
    <row r="14791">
      <c r="A14791" s="9"/>
      <c r="B14791" s="9"/>
    </row>
    <row r="14792">
      <c r="A14792" s="9"/>
      <c r="B14792" s="9"/>
    </row>
    <row r="14793">
      <c r="A14793" s="9"/>
      <c r="B14793" s="9"/>
    </row>
    <row r="14794">
      <c r="A14794" s="9"/>
      <c r="B14794" s="9"/>
    </row>
    <row r="14795">
      <c r="A14795" s="9"/>
      <c r="B14795" s="9"/>
    </row>
    <row r="14796">
      <c r="A14796" s="9"/>
      <c r="B14796" s="9"/>
    </row>
    <row r="14797">
      <c r="A14797" s="9"/>
      <c r="B14797" s="9"/>
    </row>
    <row r="14798">
      <c r="A14798" s="9"/>
      <c r="B14798" s="9"/>
    </row>
    <row r="14799">
      <c r="A14799" s="9"/>
      <c r="B14799" s="9"/>
    </row>
    <row r="14800">
      <c r="A14800" s="9"/>
      <c r="B14800" s="9"/>
    </row>
    <row r="14801">
      <c r="A14801" s="9"/>
      <c r="B14801" s="9"/>
    </row>
    <row r="14802">
      <c r="A14802" s="9"/>
      <c r="B14802" s="9"/>
    </row>
    <row r="14803">
      <c r="A14803" s="9"/>
      <c r="B14803" s="9"/>
    </row>
    <row r="14804">
      <c r="A14804" s="9"/>
      <c r="B14804" s="9"/>
    </row>
    <row r="14805">
      <c r="A14805" s="9"/>
      <c r="B14805" s="9"/>
    </row>
    <row r="14806">
      <c r="A14806" s="9"/>
      <c r="B14806" s="9"/>
    </row>
    <row r="14807">
      <c r="A14807" s="9"/>
      <c r="B14807" s="9"/>
    </row>
    <row r="14808">
      <c r="A14808" s="9"/>
      <c r="B14808" s="9"/>
    </row>
    <row r="14809">
      <c r="A14809" s="9"/>
      <c r="B14809" s="9"/>
    </row>
    <row r="14810">
      <c r="A14810" s="9"/>
      <c r="B14810" s="9"/>
    </row>
    <row r="14811">
      <c r="A14811" s="9"/>
      <c r="B14811" s="9"/>
    </row>
    <row r="14812">
      <c r="A14812" s="9"/>
      <c r="B14812" s="9"/>
    </row>
    <row r="14813">
      <c r="A14813" s="9"/>
      <c r="B14813" s="9"/>
    </row>
    <row r="14814">
      <c r="A14814" s="9"/>
      <c r="B14814" s="9"/>
    </row>
    <row r="14815">
      <c r="A14815" s="9"/>
      <c r="B14815" s="9"/>
    </row>
    <row r="14816">
      <c r="A14816" s="9"/>
      <c r="B14816" s="9"/>
    </row>
    <row r="14817">
      <c r="A14817" s="9"/>
      <c r="B14817" s="9"/>
    </row>
    <row r="14818">
      <c r="A14818" s="9"/>
      <c r="B14818" s="9"/>
    </row>
    <row r="14819">
      <c r="A14819" s="9"/>
      <c r="B14819" s="9"/>
    </row>
    <row r="14820">
      <c r="A14820" s="9"/>
      <c r="B14820" s="9"/>
    </row>
    <row r="14821">
      <c r="A14821" s="9"/>
      <c r="B14821" s="9"/>
    </row>
    <row r="14822">
      <c r="A14822" s="9"/>
      <c r="B14822" s="9"/>
    </row>
    <row r="14823">
      <c r="A14823" s="9"/>
      <c r="B14823" s="9"/>
    </row>
    <row r="14824">
      <c r="A14824" s="9"/>
      <c r="B14824" s="9"/>
    </row>
    <row r="14825">
      <c r="A14825" s="9"/>
      <c r="B14825" s="9"/>
    </row>
    <row r="14826">
      <c r="A14826" s="9"/>
      <c r="B14826" s="9"/>
    </row>
    <row r="14827">
      <c r="A14827" s="9"/>
      <c r="B14827" s="9"/>
    </row>
    <row r="14828">
      <c r="A14828" s="9"/>
      <c r="B14828" s="9"/>
    </row>
    <row r="14829">
      <c r="A14829" s="9"/>
      <c r="B14829" s="9"/>
    </row>
    <row r="14830">
      <c r="A14830" s="9"/>
      <c r="B14830" s="9"/>
    </row>
    <row r="14831">
      <c r="A14831" s="9"/>
      <c r="B14831" s="9"/>
    </row>
    <row r="14832">
      <c r="A14832" s="9"/>
      <c r="B14832" s="9"/>
    </row>
    <row r="14833">
      <c r="A14833" s="9"/>
      <c r="B14833" s="9"/>
    </row>
    <row r="14834">
      <c r="A14834" s="9"/>
      <c r="B14834" s="9"/>
    </row>
    <row r="14835">
      <c r="A14835" s="9"/>
      <c r="B14835" s="9"/>
    </row>
    <row r="14836">
      <c r="A14836" s="9"/>
      <c r="B14836" s="9"/>
    </row>
    <row r="14837">
      <c r="A14837" s="9"/>
      <c r="B14837" s="9"/>
    </row>
    <row r="14838">
      <c r="A14838" s="9"/>
      <c r="B14838" s="9"/>
    </row>
    <row r="14839">
      <c r="A14839" s="9"/>
      <c r="B14839" s="9"/>
    </row>
    <row r="14840">
      <c r="A14840" s="9"/>
      <c r="B14840" s="9"/>
    </row>
    <row r="14841">
      <c r="A14841" s="9"/>
      <c r="B14841" s="9"/>
    </row>
    <row r="14842">
      <c r="A14842" s="9"/>
      <c r="B14842" s="9"/>
    </row>
    <row r="14843">
      <c r="A14843" s="9"/>
      <c r="B14843" s="9"/>
    </row>
    <row r="14844">
      <c r="A14844" s="9"/>
      <c r="B14844" s="9"/>
    </row>
    <row r="14845">
      <c r="A14845" s="9"/>
      <c r="B14845" s="9"/>
    </row>
    <row r="14846">
      <c r="A14846" s="9"/>
      <c r="B14846" s="9"/>
    </row>
    <row r="14847">
      <c r="A14847" s="9"/>
      <c r="B14847" s="9"/>
    </row>
    <row r="14848">
      <c r="A14848" s="9"/>
      <c r="B14848" s="9"/>
    </row>
    <row r="14849">
      <c r="A14849" s="9"/>
      <c r="B14849" s="9"/>
    </row>
    <row r="14850">
      <c r="A14850" s="9"/>
      <c r="B14850" s="9"/>
    </row>
    <row r="14851">
      <c r="A14851" s="9"/>
      <c r="B14851" s="9"/>
    </row>
    <row r="14852">
      <c r="A14852" s="9"/>
      <c r="B14852" s="9"/>
    </row>
    <row r="14853">
      <c r="A14853" s="9"/>
      <c r="B14853" s="9"/>
    </row>
    <row r="14854">
      <c r="A14854" s="9"/>
      <c r="B14854" s="9"/>
    </row>
    <row r="14855">
      <c r="A14855" s="9"/>
      <c r="B14855" s="9"/>
    </row>
    <row r="14856">
      <c r="A14856" s="9"/>
      <c r="B14856" s="9"/>
    </row>
    <row r="14857">
      <c r="A14857" s="9"/>
      <c r="B14857" s="9"/>
    </row>
    <row r="14858">
      <c r="A14858" s="9"/>
      <c r="B14858" s="9"/>
    </row>
    <row r="14859">
      <c r="A14859" s="9"/>
      <c r="B14859" s="9"/>
    </row>
    <row r="14860">
      <c r="A14860" s="9"/>
      <c r="B14860" s="9"/>
    </row>
    <row r="14861">
      <c r="A14861" s="9"/>
      <c r="B14861" s="9"/>
    </row>
    <row r="14862">
      <c r="A14862" s="9"/>
      <c r="B14862" s="9"/>
    </row>
    <row r="14863">
      <c r="A14863" s="9"/>
      <c r="B14863" s="9"/>
    </row>
    <row r="14864">
      <c r="A14864" s="9"/>
      <c r="B14864" s="9"/>
    </row>
    <row r="14865">
      <c r="A14865" s="9"/>
      <c r="B14865" s="9"/>
    </row>
    <row r="14866">
      <c r="A14866" s="9"/>
      <c r="B14866" s="9"/>
    </row>
    <row r="14867">
      <c r="A14867" s="9"/>
      <c r="B14867" s="9"/>
    </row>
    <row r="14868">
      <c r="A14868" s="9"/>
      <c r="B14868" s="9"/>
    </row>
    <row r="14869">
      <c r="A14869" s="9"/>
      <c r="B14869" s="9"/>
    </row>
    <row r="14870">
      <c r="A14870" s="9"/>
      <c r="B14870" s="9"/>
    </row>
    <row r="14871">
      <c r="A14871" s="9"/>
      <c r="B14871" s="9"/>
    </row>
    <row r="14872">
      <c r="A14872" s="9"/>
      <c r="B14872" s="9"/>
    </row>
    <row r="14873">
      <c r="A14873" s="9"/>
      <c r="B14873" s="9"/>
    </row>
    <row r="14874">
      <c r="A14874" s="9"/>
      <c r="B14874" s="9"/>
    </row>
    <row r="14875">
      <c r="A14875" s="9"/>
      <c r="B14875" s="9"/>
    </row>
    <row r="14876">
      <c r="A14876" s="9"/>
      <c r="B14876" s="9"/>
    </row>
    <row r="14877">
      <c r="A14877" s="9"/>
      <c r="B14877" s="9"/>
    </row>
    <row r="14878">
      <c r="A14878" s="9"/>
      <c r="B14878" s="9"/>
    </row>
    <row r="14879">
      <c r="A14879" s="9"/>
      <c r="B14879" s="9"/>
    </row>
    <row r="14880">
      <c r="A14880" s="9"/>
      <c r="B14880" s="9"/>
    </row>
    <row r="14881">
      <c r="A14881" s="9"/>
      <c r="B14881" s="9"/>
    </row>
    <row r="14882">
      <c r="A14882" s="9"/>
      <c r="B14882" s="9"/>
    </row>
    <row r="14883">
      <c r="A14883" s="9"/>
      <c r="B14883" s="9"/>
    </row>
    <row r="14884">
      <c r="A14884" s="9"/>
      <c r="B14884" s="9"/>
    </row>
    <row r="14885">
      <c r="A14885" s="9"/>
      <c r="B14885" s="9"/>
    </row>
    <row r="14886">
      <c r="A14886" s="9"/>
      <c r="B14886" s="9"/>
    </row>
    <row r="14887">
      <c r="A14887" s="9"/>
      <c r="B14887" s="9"/>
    </row>
    <row r="14888">
      <c r="A14888" s="9"/>
      <c r="B14888" s="9"/>
    </row>
    <row r="14889">
      <c r="A14889" s="9"/>
      <c r="B14889" s="9"/>
    </row>
    <row r="14890">
      <c r="A14890" s="9"/>
      <c r="B14890" s="9"/>
    </row>
    <row r="14891">
      <c r="A14891" s="9"/>
      <c r="B14891" s="9"/>
    </row>
    <row r="14892">
      <c r="A14892" s="9"/>
      <c r="B14892" s="9"/>
    </row>
    <row r="14893">
      <c r="A14893" s="9"/>
      <c r="B14893" s="9"/>
    </row>
    <row r="14894">
      <c r="A14894" s="9"/>
      <c r="B14894" s="9"/>
    </row>
    <row r="14895">
      <c r="A14895" s="9"/>
      <c r="B14895" s="9"/>
    </row>
    <row r="14896">
      <c r="A14896" s="9"/>
      <c r="B14896" s="9"/>
    </row>
    <row r="14897">
      <c r="A14897" s="9"/>
      <c r="B14897" s="9"/>
    </row>
    <row r="14898">
      <c r="A14898" s="9"/>
      <c r="B14898" s="9"/>
    </row>
    <row r="14899">
      <c r="A14899" s="9"/>
      <c r="B14899" s="9"/>
    </row>
    <row r="14900">
      <c r="A14900" s="9"/>
      <c r="B14900" s="9"/>
    </row>
    <row r="14901">
      <c r="A14901" s="9"/>
      <c r="B14901" s="9"/>
    </row>
    <row r="14902">
      <c r="A14902" s="9"/>
      <c r="B14902" s="9"/>
    </row>
    <row r="14903">
      <c r="A14903" s="9"/>
      <c r="B14903" s="9"/>
    </row>
    <row r="14904">
      <c r="A14904" s="9"/>
      <c r="B14904" s="9"/>
    </row>
    <row r="14905">
      <c r="A14905" s="9"/>
      <c r="B14905" s="9"/>
    </row>
    <row r="14906">
      <c r="A14906" s="9"/>
      <c r="B14906" s="9"/>
    </row>
    <row r="14907">
      <c r="A14907" s="9"/>
      <c r="B14907" s="9"/>
    </row>
    <row r="14908">
      <c r="A14908" s="9"/>
      <c r="B14908" s="9"/>
    </row>
    <row r="14909">
      <c r="A14909" s="9"/>
      <c r="B14909" s="9"/>
    </row>
    <row r="14910">
      <c r="A14910" s="9"/>
      <c r="B14910" s="9"/>
    </row>
    <row r="14911">
      <c r="A14911" s="9"/>
      <c r="B14911" s="9"/>
    </row>
    <row r="14912">
      <c r="A14912" s="9"/>
      <c r="B14912" s="9"/>
    </row>
    <row r="14913">
      <c r="A14913" s="9"/>
      <c r="B14913" s="9"/>
    </row>
    <row r="14914">
      <c r="A14914" s="9"/>
      <c r="B14914" s="9"/>
    </row>
    <row r="14915">
      <c r="A14915" s="9"/>
      <c r="B14915" s="9"/>
    </row>
    <row r="14916">
      <c r="A14916" s="9"/>
      <c r="B14916" s="9"/>
    </row>
    <row r="14917">
      <c r="A14917" s="9"/>
      <c r="B14917" s="9"/>
    </row>
    <row r="14918">
      <c r="A14918" s="9"/>
      <c r="B14918" s="9"/>
    </row>
    <row r="14919">
      <c r="A14919" s="9"/>
      <c r="B14919" s="9"/>
    </row>
    <row r="14920">
      <c r="A14920" s="9"/>
      <c r="B14920" s="9"/>
    </row>
    <row r="14921">
      <c r="A14921" s="9"/>
      <c r="B14921" s="9"/>
    </row>
    <row r="14922">
      <c r="A14922" s="9"/>
      <c r="B14922" s="9"/>
    </row>
    <row r="14923">
      <c r="A14923" s="9"/>
      <c r="B14923" s="9"/>
    </row>
    <row r="14924">
      <c r="A14924" s="9"/>
      <c r="B14924" s="9"/>
    </row>
    <row r="14925">
      <c r="A14925" s="9"/>
      <c r="B14925" s="9"/>
    </row>
    <row r="14926">
      <c r="A14926" s="9"/>
      <c r="B14926" s="9"/>
    </row>
    <row r="14927">
      <c r="A14927" s="9"/>
      <c r="B14927" s="9"/>
    </row>
    <row r="14928">
      <c r="A14928" s="9"/>
      <c r="B14928" s="9"/>
    </row>
    <row r="14929">
      <c r="A14929" s="9"/>
      <c r="B14929" s="9"/>
    </row>
    <row r="14930">
      <c r="A14930" s="9"/>
      <c r="B14930" s="9"/>
    </row>
    <row r="14931">
      <c r="A14931" s="9"/>
      <c r="B14931" s="9"/>
    </row>
    <row r="14932">
      <c r="A14932" s="9"/>
      <c r="B14932" s="9"/>
    </row>
    <row r="14933">
      <c r="A14933" s="9"/>
      <c r="B14933" s="9"/>
    </row>
    <row r="14934">
      <c r="A14934" s="9"/>
      <c r="B14934" s="9"/>
    </row>
    <row r="14935">
      <c r="A14935" s="9"/>
      <c r="B14935" s="9"/>
    </row>
    <row r="14936">
      <c r="A14936" s="9"/>
      <c r="B14936" s="9"/>
    </row>
    <row r="14937">
      <c r="A14937" s="9"/>
      <c r="B14937" s="9"/>
    </row>
    <row r="14938">
      <c r="A14938" s="9"/>
      <c r="B14938" s="9"/>
    </row>
    <row r="14939">
      <c r="A14939" s="9"/>
      <c r="B14939" s="9"/>
    </row>
    <row r="14940">
      <c r="A14940" s="9"/>
      <c r="B14940" s="9"/>
    </row>
    <row r="14941">
      <c r="A14941" s="9"/>
      <c r="B14941" s="9"/>
    </row>
    <row r="14942">
      <c r="A14942" s="9"/>
      <c r="B14942" s="9"/>
    </row>
    <row r="14943">
      <c r="A14943" s="9"/>
      <c r="B14943" s="9"/>
    </row>
    <row r="14944">
      <c r="A14944" s="9"/>
      <c r="B14944" s="9"/>
    </row>
    <row r="14945">
      <c r="A14945" s="9"/>
      <c r="B14945" s="9"/>
    </row>
    <row r="14946">
      <c r="A14946" s="9"/>
      <c r="B14946" s="9"/>
    </row>
    <row r="14947">
      <c r="A14947" s="9"/>
      <c r="B14947" s="9"/>
    </row>
    <row r="14948">
      <c r="A14948" s="9"/>
      <c r="B14948" s="9"/>
    </row>
    <row r="14949">
      <c r="A14949" s="9"/>
      <c r="B14949" s="9"/>
    </row>
    <row r="14950">
      <c r="A14950" s="9"/>
      <c r="B14950" s="9"/>
    </row>
    <row r="14951">
      <c r="A14951" s="9"/>
      <c r="B14951" s="9"/>
    </row>
    <row r="14952">
      <c r="A14952" s="9"/>
      <c r="B14952" s="9"/>
    </row>
    <row r="14953">
      <c r="A14953" s="9"/>
      <c r="B14953" s="9"/>
    </row>
    <row r="14954">
      <c r="A14954" s="9"/>
      <c r="B14954" s="9"/>
    </row>
    <row r="14955">
      <c r="A14955" s="9"/>
      <c r="B14955" s="9"/>
    </row>
    <row r="14956">
      <c r="A14956" s="9"/>
      <c r="B14956" s="9"/>
    </row>
    <row r="14957">
      <c r="A14957" s="9"/>
      <c r="B14957" s="9"/>
    </row>
    <row r="14958">
      <c r="A14958" s="9"/>
      <c r="B14958" s="9"/>
    </row>
    <row r="14959">
      <c r="A14959" s="9"/>
      <c r="B14959" s="9"/>
    </row>
    <row r="14960">
      <c r="A14960" s="9"/>
      <c r="B14960" s="9"/>
    </row>
    <row r="14961">
      <c r="A14961" s="9"/>
      <c r="B14961" s="9"/>
    </row>
    <row r="14962">
      <c r="A14962" s="9"/>
      <c r="B14962" s="9"/>
    </row>
  </sheetData>
  <autoFilter ref="$G$4524:$G$479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75"/>
    <col customWidth="1" min="2" max="2" width="51.63"/>
  </cols>
  <sheetData>
    <row r="1">
      <c r="A1" s="1" t="s">
        <v>32970</v>
      </c>
      <c r="B1" s="1" t="s">
        <v>5</v>
      </c>
      <c r="C1" s="1"/>
      <c r="D1" s="1" t="s">
        <v>7</v>
      </c>
      <c r="E1" s="1" t="s">
        <v>28</v>
      </c>
      <c r="F1" s="1"/>
      <c r="G1" s="1" t="s">
        <v>29</v>
      </c>
      <c r="H1" s="1" t="s">
        <v>28</v>
      </c>
      <c r="I1" s="1"/>
      <c r="J1" s="1" t="s">
        <v>32971</v>
      </c>
      <c r="K1" s="1" t="s">
        <v>31</v>
      </c>
      <c r="L1" s="1"/>
      <c r="M1" s="8" t="s">
        <v>12</v>
      </c>
      <c r="N1" s="1" t="s">
        <v>31</v>
      </c>
    </row>
    <row r="2">
      <c r="A2" s="9" t="s">
        <v>32972</v>
      </c>
      <c r="B2" s="9" t="s">
        <v>32973</v>
      </c>
      <c r="D2" s="9" t="s">
        <v>32974</v>
      </c>
      <c r="G2" s="9" t="s">
        <v>32975</v>
      </c>
      <c r="J2" s="9" t="s">
        <v>32976</v>
      </c>
    </row>
    <row r="3">
      <c r="A3" s="9" t="s">
        <v>32977</v>
      </c>
      <c r="B3" s="9" t="s">
        <v>32978</v>
      </c>
      <c r="D3" s="9" t="s">
        <v>32979</v>
      </c>
      <c r="G3" s="9" t="s">
        <v>32980</v>
      </c>
      <c r="J3" s="9" t="s">
        <v>32981</v>
      </c>
    </row>
    <row r="4">
      <c r="A4" s="9" t="s">
        <v>32982</v>
      </c>
      <c r="B4" s="9" t="s">
        <v>32983</v>
      </c>
      <c r="D4" s="9" t="s">
        <v>32984</v>
      </c>
      <c r="G4" s="9" t="s">
        <v>32984</v>
      </c>
      <c r="J4" s="9" t="s">
        <v>32985</v>
      </c>
    </row>
    <row r="5">
      <c r="A5" s="9" t="s">
        <v>32986</v>
      </c>
      <c r="B5" s="9" t="s">
        <v>32987</v>
      </c>
      <c r="D5" s="9" t="s">
        <v>32988</v>
      </c>
      <c r="G5" s="9" t="s">
        <v>32989</v>
      </c>
      <c r="J5" s="9" t="s">
        <v>32990</v>
      </c>
    </row>
    <row r="6">
      <c r="A6" s="9" t="s">
        <v>32991</v>
      </c>
      <c r="B6" s="9" t="s">
        <v>32992</v>
      </c>
      <c r="D6" s="9" t="s">
        <v>32993</v>
      </c>
      <c r="G6" s="9" t="s">
        <v>32994</v>
      </c>
      <c r="J6" s="9" t="s">
        <v>32995</v>
      </c>
    </row>
    <row r="7">
      <c r="A7" s="9" t="s">
        <v>32996</v>
      </c>
      <c r="B7" s="9" t="s">
        <v>32997</v>
      </c>
      <c r="D7" s="9" t="s">
        <v>32998</v>
      </c>
      <c r="G7" s="9" t="s">
        <v>32999</v>
      </c>
      <c r="J7" s="9" t="s">
        <v>33000</v>
      </c>
    </row>
    <row r="8">
      <c r="A8" s="9" t="s">
        <v>33001</v>
      </c>
      <c r="B8" s="9" t="s">
        <v>33002</v>
      </c>
      <c r="D8" s="9" t="s">
        <v>33003</v>
      </c>
      <c r="G8" s="9" t="s">
        <v>33004</v>
      </c>
      <c r="J8" s="9" t="s">
        <v>33005</v>
      </c>
    </row>
    <row r="9">
      <c r="A9" s="9" t="s">
        <v>33006</v>
      </c>
      <c r="B9" s="9" t="s">
        <v>33007</v>
      </c>
      <c r="D9" s="9" t="s">
        <v>33008</v>
      </c>
      <c r="G9" s="9" t="s">
        <v>33009</v>
      </c>
      <c r="J9" s="9" t="s">
        <v>33010</v>
      </c>
    </row>
    <row r="10">
      <c r="A10" s="9" t="s">
        <v>33011</v>
      </c>
      <c r="B10" s="9" t="s">
        <v>33012</v>
      </c>
      <c r="D10" s="9" t="s">
        <v>33013</v>
      </c>
      <c r="G10" s="9" t="s">
        <v>33014</v>
      </c>
      <c r="J10" s="9" t="s">
        <v>33015</v>
      </c>
    </row>
    <row r="11">
      <c r="A11" s="9" t="s">
        <v>33016</v>
      </c>
      <c r="B11" s="9" t="s">
        <v>33017</v>
      </c>
      <c r="D11" s="9" t="s">
        <v>33018</v>
      </c>
      <c r="G11" s="9" t="s">
        <v>33019</v>
      </c>
      <c r="J11" s="9" t="s">
        <v>33020</v>
      </c>
    </row>
    <row r="12">
      <c r="A12" s="9" t="s">
        <v>33021</v>
      </c>
      <c r="B12" s="9" t="s">
        <v>33022</v>
      </c>
      <c r="D12" s="9" t="s">
        <v>33023</v>
      </c>
      <c r="G12" s="9" t="s">
        <v>33023</v>
      </c>
      <c r="J12" s="9" t="s">
        <v>33024</v>
      </c>
    </row>
    <row r="13">
      <c r="A13" s="9" t="s">
        <v>33025</v>
      </c>
      <c r="B13" s="9" t="s">
        <v>33026</v>
      </c>
      <c r="D13" s="9" t="s">
        <v>33027</v>
      </c>
      <c r="G13" s="9" t="s">
        <v>33028</v>
      </c>
      <c r="J13" s="9" t="s">
        <v>33029</v>
      </c>
    </row>
    <row r="14">
      <c r="A14" s="9" t="s">
        <v>33030</v>
      </c>
      <c r="B14" s="9" t="s">
        <v>33031</v>
      </c>
      <c r="D14" s="9" t="s">
        <v>33032</v>
      </c>
      <c r="G14" s="9" t="s">
        <v>33033</v>
      </c>
      <c r="J14" s="9" t="s">
        <v>33034</v>
      </c>
    </row>
    <row r="15">
      <c r="A15" s="9" t="s">
        <v>33035</v>
      </c>
      <c r="B15" s="9" t="s">
        <v>33036</v>
      </c>
      <c r="D15" s="9" t="s">
        <v>33037</v>
      </c>
      <c r="G15" s="9" t="s">
        <v>33038</v>
      </c>
      <c r="J15" s="9" t="s">
        <v>33039</v>
      </c>
    </row>
    <row r="16">
      <c r="A16" s="9" t="s">
        <v>33040</v>
      </c>
      <c r="B16" s="9" t="s">
        <v>33041</v>
      </c>
      <c r="D16" s="9" t="s">
        <v>33042</v>
      </c>
      <c r="G16" s="9" t="s">
        <v>33043</v>
      </c>
      <c r="J16" s="9" t="s">
        <v>33044</v>
      </c>
    </row>
    <row r="17">
      <c r="A17" s="9" t="s">
        <v>33045</v>
      </c>
      <c r="B17" s="9" t="s">
        <v>33046</v>
      </c>
      <c r="D17" s="9" t="s">
        <v>33047</v>
      </c>
      <c r="G17" s="9" t="s">
        <v>33048</v>
      </c>
      <c r="J17" s="9" t="s">
        <v>33049</v>
      </c>
    </row>
    <row r="18">
      <c r="A18" s="9" t="s">
        <v>33050</v>
      </c>
      <c r="B18" s="9" t="s">
        <v>33051</v>
      </c>
      <c r="D18" s="9" t="s">
        <v>33052</v>
      </c>
      <c r="G18" s="9" t="s">
        <v>33053</v>
      </c>
      <c r="J18" s="9" t="s">
        <v>33054</v>
      </c>
    </row>
    <row r="19">
      <c r="A19" s="9" t="s">
        <v>33055</v>
      </c>
      <c r="B19" s="9" t="s">
        <v>33056</v>
      </c>
      <c r="D19" s="9" t="s">
        <v>33057</v>
      </c>
      <c r="G19" s="9" t="s">
        <v>33058</v>
      </c>
      <c r="J19" s="9" t="s">
        <v>33059</v>
      </c>
    </row>
    <row r="20">
      <c r="A20" s="9" t="s">
        <v>33060</v>
      </c>
      <c r="B20" s="9" t="s">
        <v>33061</v>
      </c>
      <c r="D20" s="9" t="s">
        <v>33062</v>
      </c>
      <c r="G20" s="9" t="s">
        <v>33063</v>
      </c>
      <c r="J20" s="9" t="s">
        <v>33064</v>
      </c>
    </row>
    <row r="21">
      <c r="A21" s="9" t="s">
        <v>33065</v>
      </c>
      <c r="B21" s="9" t="s">
        <v>33066</v>
      </c>
      <c r="D21" s="9" t="s">
        <v>33067</v>
      </c>
      <c r="G21" s="9" t="s">
        <v>33068</v>
      </c>
      <c r="J21" s="9" t="s">
        <v>33069</v>
      </c>
    </row>
    <row r="22">
      <c r="A22" s="9" t="s">
        <v>33070</v>
      </c>
      <c r="B22" s="9" t="s">
        <v>33071</v>
      </c>
      <c r="D22" s="9" t="s">
        <v>33072</v>
      </c>
      <c r="G22" s="9" t="s">
        <v>33073</v>
      </c>
      <c r="J22" s="9" t="s">
        <v>33074</v>
      </c>
    </row>
    <row r="23">
      <c r="A23" s="9" t="s">
        <v>33075</v>
      </c>
      <c r="B23" s="9" t="s">
        <v>33076</v>
      </c>
      <c r="D23" s="9" t="s">
        <v>33077</v>
      </c>
      <c r="G23" s="9" t="s">
        <v>33078</v>
      </c>
      <c r="J23" s="9" t="s">
        <v>33076</v>
      </c>
    </row>
    <row r="24">
      <c r="A24" s="9" t="s">
        <v>33079</v>
      </c>
      <c r="B24" s="9" t="s">
        <v>33080</v>
      </c>
      <c r="D24" s="9" t="s">
        <v>33081</v>
      </c>
      <c r="G24" s="9" t="s">
        <v>33082</v>
      </c>
    </row>
    <row r="25">
      <c r="A25" s="9" t="s">
        <v>33083</v>
      </c>
      <c r="B25" s="9" t="s">
        <v>33084</v>
      </c>
      <c r="D25" s="9" t="s">
        <v>33085</v>
      </c>
      <c r="G25" s="9" t="s">
        <v>33086</v>
      </c>
      <c r="J25" s="9" t="s">
        <v>33087</v>
      </c>
    </row>
    <row r="26">
      <c r="A26" s="9" t="s">
        <v>33088</v>
      </c>
      <c r="B26" s="9" t="s">
        <v>33089</v>
      </c>
      <c r="D26" s="9" t="s">
        <v>33090</v>
      </c>
      <c r="G26" s="9" t="s">
        <v>33090</v>
      </c>
    </row>
    <row r="27">
      <c r="A27" s="9" t="s">
        <v>33091</v>
      </c>
      <c r="B27" s="9" t="s">
        <v>33092</v>
      </c>
      <c r="D27" s="9" t="s">
        <v>33093</v>
      </c>
      <c r="G27" s="9" t="s">
        <v>33093</v>
      </c>
      <c r="J27" s="9" t="s">
        <v>33094</v>
      </c>
    </row>
    <row r="28">
      <c r="A28" s="9" t="s">
        <v>33095</v>
      </c>
      <c r="B28" s="9" t="s">
        <v>33096</v>
      </c>
      <c r="D28" s="9" t="s">
        <v>33097</v>
      </c>
      <c r="G28" s="9" t="s">
        <v>33098</v>
      </c>
      <c r="J28" s="9" t="s">
        <v>33099</v>
      </c>
    </row>
    <row r="29">
      <c r="A29" s="9" t="s">
        <v>33100</v>
      </c>
      <c r="B29" s="9" t="s">
        <v>33101</v>
      </c>
      <c r="D29" s="9" t="s">
        <v>33102</v>
      </c>
      <c r="G29" s="9" t="s">
        <v>33103</v>
      </c>
      <c r="J29" s="9" t="s">
        <v>33104</v>
      </c>
    </row>
    <row r="30">
      <c r="A30" s="9" t="s">
        <v>33105</v>
      </c>
      <c r="B30" s="9" t="s">
        <v>33106</v>
      </c>
      <c r="D30" s="9" t="s">
        <v>33107</v>
      </c>
      <c r="G30" s="9" t="s">
        <v>33107</v>
      </c>
      <c r="J30" s="9" t="s">
        <v>33108</v>
      </c>
    </row>
    <row r="31">
      <c r="A31" s="9" t="s">
        <v>33109</v>
      </c>
      <c r="B31" s="9" t="s">
        <v>33110</v>
      </c>
      <c r="D31" s="9" t="s">
        <v>33111</v>
      </c>
      <c r="G31" s="9" t="s">
        <v>33112</v>
      </c>
      <c r="J31" s="9" t="s">
        <v>33113</v>
      </c>
    </row>
    <row r="32">
      <c r="A32" s="9" t="s">
        <v>33114</v>
      </c>
      <c r="B32" s="9" t="s">
        <v>33115</v>
      </c>
      <c r="D32" s="9" t="s">
        <v>33116</v>
      </c>
      <c r="G32" s="9" t="s">
        <v>33117</v>
      </c>
      <c r="J32" s="9" t="s">
        <v>33118</v>
      </c>
    </row>
    <row r="33">
      <c r="A33" s="9" t="s">
        <v>33119</v>
      </c>
      <c r="B33" s="9" t="s">
        <v>33120</v>
      </c>
      <c r="D33" s="9" t="s">
        <v>33121</v>
      </c>
      <c r="G33" s="9" t="s">
        <v>33122</v>
      </c>
      <c r="J33" s="9" t="s">
        <v>33123</v>
      </c>
    </row>
    <row r="34">
      <c r="A34" s="9" t="s">
        <v>33124</v>
      </c>
      <c r="B34" s="9" t="s">
        <v>33125</v>
      </c>
      <c r="D34" s="9" t="s">
        <v>33126</v>
      </c>
      <c r="G34" s="9" t="s">
        <v>33127</v>
      </c>
      <c r="J34" s="9" t="s">
        <v>33128</v>
      </c>
    </row>
    <row r="35">
      <c r="A35" s="9" t="s">
        <v>33129</v>
      </c>
      <c r="B35" s="9" t="s">
        <v>33130</v>
      </c>
      <c r="D35" s="9" t="s">
        <v>33131</v>
      </c>
      <c r="G35" s="9" t="s">
        <v>33132</v>
      </c>
      <c r="J35" s="9" t="s">
        <v>33133</v>
      </c>
    </row>
    <row r="36">
      <c r="A36" s="9" t="s">
        <v>33134</v>
      </c>
      <c r="B36" s="9" t="s">
        <v>33135</v>
      </c>
      <c r="D36" s="9" t="s">
        <v>33136</v>
      </c>
      <c r="G36" s="9" t="s">
        <v>33137</v>
      </c>
      <c r="J36" s="9" t="s">
        <v>33138</v>
      </c>
    </row>
    <row r="37">
      <c r="A37" s="9" t="s">
        <v>33139</v>
      </c>
      <c r="B37" s="9" t="s">
        <v>33140</v>
      </c>
      <c r="D37" s="9" t="s">
        <v>33141</v>
      </c>
      <c r="G37" s="9" t="s">
        <v>33142</v>
      </c>
      <c r="J37" s="9" t="s">
        <v>33143</v>
      </c>
    </row>
    <row r="38">
      <c r="A38" s="9" t="s">
        <v>33144</v>
      </c>
      <c r="B38" s="9" t="s">
        <v>33145</v>
      </c>
      <c r="D38" s="9" t="s">
        <v>33146</v>
      </c>
      <c r="G38" s="9" t="s">
        <v>33147</v>
      </c>
      <c r="J38" s="9" t="s">
        <v>33148</v>
      </c>
    </row>
    <row r="39">
      <c r="A39" s="9" t="s">
        <v>33149</v>
      </c>
      <c r="B39" s="9" t="s">
        <v>33150</v>
      </c>
      <c r="D39" s="9" t="s">
        <v>33151</v>
      </c>
      <c r="G39" s="9" t="s">
        <v>33151</v>
      </c>
      <c r="J39" s="9" t="s">
        <v>33152</v>
      </c>
    </row>
    <row r="40">
      <c r="A40" s="9" t="s">
        <v>33153</v>
      </c>
      <c r="B40" s="9" t="s">
        <v>33154</v>
      </c>
      <c r="D40" s="9" t="s">
        <v>33155</v>
      </c>
      <c r="G40" s="9" t="s">
        <v>33155</v>
      </c>
      <c r="J40" s="9" t="s">
        <v>33156</v>
      </c>
    </row>
    <row r="41">
      <c r="A41" s="9" t="s">
        <v>33157</v>
      </c>
      <c r="B41" s="9" t="s">
        <v>33158</v>
      </c>
      <c r="D41" s="9" t="s">
        <v>33159</v>
      </c>
      <c r="G41" s="9" t="s">
        <v>33160</v>
      </c>
      <c r="J41" s="9" t="s">
        <v>33161</v>
      </c>
    </row>
    <row r="42">
      <c r="A42" s="9" t="s">
        <v>33162</v>
      </c>
      <c r="B42" s="9" t="s">
        <v>33163</v>
      </c>
      <c r="D42" s="9" t="s">
        <v>33164</v>
      </c>
      <c r="G42" s="9" t="s">
        <v>33165</v>
      </c>
      <c r="J42" s="9" t="s">
        <v>33166</v>
      </c>
    </row>
    <row r="43">
      <c r="A43" s="9" t="s">
        <v>33167</v>
      </c>
      <c r="B43" s="9" t="s">
        <v>33168</v>
      </c>
      <c r="D43" s="9" t="s">
        <v>33169</v>
      </c>
      <c r="G43" s="9" t="s">
        <v>33169</v>
      </c>
      <c r="J43" s="9" t="s">
        <v>33170</v>
      </c>
    </row>
    <row r="44">
      <c r="A44" s="9" t="s">
        <v>33171</v>
      </c>
      <c r="B44" s="9" t="s">
        <v>33172</v>
      </c>
      <c r="D44" s="9" t="s">
        <v>33173</v>
      </c>
      <c r="G44" s="9" t="s">
        <v>33173</v>
      </c>
      <c r="J44" s="9" t="s">
        <v>33174</v>
      </c>
    </row>
    <row r="45">
      <c r="A45" s="9" t="s">
        <v>33175</v>
      </c>
      <c r="B45" s="9" t="s">
        <v>33176</v>
      </c>
      <c r="D45" s="9" t="s">
        <v>33177</v>
      </c>
      <c r="G45" s="9" t="s">
        <v>33178</v>
      </c>
      <c r="J45" s="9" t="s">
        <v>33179</v>
      </c>
    </row>
    <row r="46">
      <c r="A46" s="9" t="s">
        <v>33180</v>
      </c>
      <c r="B46" s="9" t="s">
        <v>33181</v>
      </c>
      <c r="D46" s="9" t="s">
        <v>33182</v>
      </c>
      <c r="G46" s="9" t="s">
        <v>33183</v>
      </c>
      <c r="J46" s="9" t="s">
        <v>33184</v>
      </c>
    </row>
    <row r="47">
      <c r="A47" s="9" t="s">
        <v>33185</v>
      </c>
      <c r="B47" s="9" t="s">
        <v>33186</v>
      </c>
      <c r="D47" s="9" t="s">
        <v>33187</v>
      </c>
      <c r="G47" s="9" t="s">
        <v>33188</v>
      </c>
      <c r="J47" s="9" t="s">
        <v>33189</v>
      </c>
    </row>
    <row r="48">
      <c r="A48" s="9" t="s">
        <v>33190</v>
      </c>
      <c r="B48" s="9" t="s">
        <v>33191</v>
      </c>
      <c r="D48" s="9" t="s">
        <v>33192</v>
      </c>
      <c r="G48" s="9" t="s">
        <v>33193</v>
      </c>
      <c r="J48" s="9" t="s">
        <v>33194</v>
      </c>
    </row>
    <row r="49">
      <c r="A49" s="9" t="s">
        <v>33195</v>
      </c>
      <c r="B49" s="9" t="s">
        <v>33196</v>
      </c>
      <c r="D49" s="9" t="s">
        <v>33197</v>
      </c>
      <c r="G49" s="9" t="s">
        <v>33198</v>
      </c>
      <c r="J49" s="9" t="s">
        <v>33199</v>
      </c>
    </row>
    <row r="50">
      <c r="A50" s="9" t="s">
        <v>33200</v>
      </c>
      <c r="B50" s="9" t="s">
        <v>33201</v>
      </c>
      <c r="D50" s="9" t="s">
        <v>33202</v>
      </c>
      <c r="G50" s="9" t="s">
        <v>33203</v>
      </c>
      <c r="J50" s="9" t="s">
        <v>33204</v>
      </c>
    </row>
    <row r="51">
      <c r="A51" s="9" t="s">
        <v>33205</v>
      </c>
      <c r="B51" s="9" t="s">
        <v>33206</v>
      </c>
      <c r="D51" s="9" t="s">
        <v>33207</v>
      </c>
      <c r="G51" s="9" t="s">
        <v>33208</v>
      </c>
      <c r="J51" s="9" t="s">
        <v>33209</v>
      </c>
    </row>
    <row r="52">
      <c r="A52" s="9" t="s">
        <v>33210</v>
      </c>
      <c r="B52" s="9" t="s">
        <v>33211</v>
      </c>
      <c r="D52" s="9" t="s">
        <v>33212</v>
      </c>
      <c r="G52" s="9" t="s">
        <v>33213</v>
      </c>
      <c r="J52" s="9" t="s">
        <v>33214</v>
      </c>
    </row>
    <row r="53">
      <c r="A53" s="9" t="s">
        <v>33215</v>
      </c>
      <c r="B53" s="9" t="s">
        <v>33216</v>
      </c>
      <c r="D53" s="9" t="s">
        <v>33217</v>
      </c>
      <c r="G53" s="9" t="s">
        <v>33218</v>
      </c>
      <c r="J53" s="9" t="s">
        <v>33219</v>
      </c>
    </row>
    <row r="54">
      <c r="A54" s="9" t="s">
        <v>33220</v>
      </c>
      <c r="B54" s="9" t="s">
        <v>33221</v>
      </c>
      <c r="D54" s="9" t="s">
        <v>33222</v>
      </c>
      <c r="G54" s="9" t="s">
        <v>33223</v>
      </c>
      <c r="J54" s="9" t="s">
        <v>33224</v>
      </c>
    </row>
    <row r="55">
      <c r="A55" s="9" t="s">
        <v>33225</v>
      </c>
      <c r="B55" s="9" t="s">
        <v>33226</v>
      </c>
      <c r="D55" s="9" t="s">
        <v>33227</v>
      </c>
      <c r="G55" s="9" t="s">
        <v>33227</v>
      </c>
      <c r="J55" s="9" t="s">
        <v>33228</v>
      </c>
    </row>
    <row r="56">
      <c r="A56" s="9" t="s">
        <v>33229</v>
      </c>
      <c r="B56" s="9" t="s">
        <v>33230</v>
      </c>
      <c r="D56" s="9" t="s">
        <v>33231</v>
      </c>
      <c r="G56" s="9" t="s">
        <v>33232</v>
      </c>
      <c r="J56" s="9" t="s">
        <v>33233</v>
      </c>
    </row>
    <row r="57">
      <c r="A57" s="9" t="s">
        <v>33234</v>
      </c>
      <c r="B57" s="9" t="s">
        <v>33235</v>
      </c>
      <c r="G57" s="9" t="s">
        <v>33236</v>
      </c>
    </row>
    <row r="58">
      <c r="A58" s="9" t="s">
        <v>33237</v>
      </c>
      <c r="B58" s="9" t="s">
        <v>33238</v>
      </c>
      <c r="D58" s="9" t="s">
        <v>33239</v>
      </c>
      <c r="G58" s="9" t="s">
        <v>33240</v>
      </c>
      <c r="J58" s="9" t="s">
        <v>33241</v>
      </c>
    </row>
    <row r="59">
      <c r="A59" s="9" t="s">
        <v>33242</v>
      </c>
      <c r="B59" s="9" t="s">
        <v>33243</v>
      </c>
      <c r="D59" s="9" t="s">
        <v>33244</v>
      </c>
      <c r="G59" s="9" t="s">
        <v>33245</v>
      </c>
      <c r="J59" s="9" t="s">
        <v>33246</v>
      </c>
    </row>
    <row r="60">
      <c r="A60" s="9" t="s">
        <v>33247</v>
      </c>
      <c r="B60" s="9" t="s">
        <v>33248</v>
      </c>
      <c r="D60" s="9" t="s">
        <v>33249</v>
      </c>
      <c r="G60" s="9" t="s">
        <v>33250</v>
      </c>
      <c r="J60" s="9" t="s">
        <v>33251</v>
      </c>
    </row>
    <row r="61">
      <c r="A61" s="9" t="s">
        <v>33252</v>
      </c>
      <c r="B61" s="9" t="s">
        <v>33253</v>
      </c>
      <c r="D61" s="9" t="s">
        <v>33254</v>
      </c>
      <c r="G61" s="9" t="s">
        <v>33255</v>
      </c>
      <c r="J61" s="9" t="s">
        <v>33256</v>
      </c>
    </row>
    <row r="62">
      <c r="A62" s="9" t="s">
        <v>33257</v>
      </c>
      <c r="B62" s="9" t="s">
        <v>33258</v>
      </c>
      <c r="D62" s="9" t="s">
        <v>33259</v>
      </c>
      <c r="G62" s="9" t="s">
        <v>33260</v>
      </c>
      <c r="J62" s="9" t="s">
        <v>33261</v>
      </c>
    </row>
    <row r="63">
      <c r="A63" s="9" t="s">
        <v>33262</v>
      </c>
      <c r="B63" s="9" t="s">
        <v>33263</v>
      </c>
      <c r="D63" s="9" t="s">
        <v>33264</v>
      </c>
      <c r="G63" s="9" t="s">
        <v>33265</v>
      </c>
      <c r="J63" s="9" t="s">
        <v>33266</v>
      </c>
    </row>
    <row r="64">
      <c r="A64" s="9" t="s">
        <v>33267</v>
      </c>
      <c r="B64" s="9" t="s">
        <v>33268</v>
      </c>
      <c r="D64" s="9" t="s">
        <v>33269</v>
      </c>
      <c r="G64" s="9" t="s">
        <v>33270</v>
      </c>
      <c r="J64" s="9" t="s">
        <v>33271</v>
      </c>
    </row>
    <row r="65">
      <c r="A65" s="9" t="s">
        <v>33272</v>
      </c>
      <c r="B65" s="9" t="s">
        <v>33273</v>
      </c>
      <c r="D65" s="9" t="s">
        <v>33274</v>
      </c>
      <c r="G65" s="9" t="s">
        <v>33275</v>
      </c>
      <c r="J65" s="9" t="s">
        <v>33276</v>
      </c>
    </row>
    <row r="66">
      <c r="A66" s="9" t="s">
        <v>33277</v>
      </c>
      <c r="B66" s="9" t="s">
        <v>33278</v>
      </c>
      <c r="D66" s="9" t="s">
        <v>33279</v>
      </c>
      <c r="G66" s="9" t="s">
        <v>33279</v>
      </c>
      <c r="J66" s="9" t="s">
        <v>33280</v>
      </c>
    </row>
    <row r="67">
      <c r="A67" s="9" t="s">
        <v>33281</v>
      </c>
      <c r="B67" s="9" t="s">
        <v>33282</v>
      </c>
      <c r="D67" s="9" t="s">
        <v>33283</v>
      </c>
      <c r="G67" s="9" t="s">
        <v>33284</v>
      </c>
      <c r="J67" s="9" t="s">
        <v>33285</v>
      </c>
    </row>
    <row r="68">
      <c r="A68" s="9" t="s">
        <v>33286</v>
      </c>
      <c r="B68" s="9" t="s">
        <v>33287</v>
      </c>
      <c r="D68" s="9" t="s">
        <v>33288</v>
      </c>
      <c r="G68" s="9" t="s">
        <v>33289</v>
      </c>
      <c r="J68" s="9" t="s">
        <v>33290</v>
      </c>
    </row>
    <row r="69">
      <c r="A69" s="9" t="s">
        <v>33291</v>
      </c>
      <c r="B69" s="9" t="s">
        <v>33292</v>
      </c>
      <c r="D69" s="9" t="s">
        <v>33293</v>
      </c>
      <c r="G69" s="9" t="s">
        <v>33294</v>
      </c>
      <c r="J69" s="9" t="s">
        <v>33292</v>
      </c>
    </row>
    <row r="70">
      <c r="A70" s="9" t="s">
        <v>33295</v>
      </c>
      <c r="B70" s="9" t="s">
        <v>33296</v>
      </c>
      <c r="D70" s="9" t="s">
        <v>33297</v>
      </c>
      <c r="G70" s="9" t="s">
        <v>33298</v>
      </c>
      <c r="J70" s="9" t="s">
        <v>33299</v>
      </c>
    </row>
    <row r="71">
      <c r="A71" s="9" t="s">
        <v>33300</v>
      </c>
      <c r="B71" s="9" t="s">
        <v>33301</v>
      </c>
      <c r="D71" s="9" t="s">
        <v>33302</v>
      </c>
      <c r="G71" s="9" t="s">
        <v>33303</v>
      </c>
      <c r="J71" s="9" t="s">
        <v>33304</v>
      </c>
    </row>
    <row r="72">
      <c r="A72" s="9" t="s">
        <v>33305</v>
      </c>
      <c r="B72" s="9" t="s">
        <v>33306</v>
      </c>
      <c r="D72" s="9" t="s">
        <v>33307</v>
      </c>
      <c r="G72" s="9" t="s">
        <v>33307</v>
      </c>
      <c r="J72" s="9" t="s">
        <v>33308</v>
      </c>
    </row>
    <row r="73">
      <c r="A73" s="9" t="s">
        <v>33309</v>
      </c>
      <c r="B73" s="9" t="s">
        <v>33310</v>
      </c>
      <c r="D73" s="9" t="s">
        <v>33311</v>
      </c>
      <c r="G73" s="9" t="s">
        <v>33311</v>
      </c>
      <c r="J73" s="9" t="s">
        <v>33312</v>
      </c>
    </row>
    <row r="74">
      <c r="A74" s="9" t="s">
        <v>33313</v>
      </c>
      <c r="B74" s="9" t="s">
        <v>33314</v>
      </c>
      <c r="D74" s="9" t="s">
        <v>33315</v>
      </c>
      <c r="G74" s="9" t="s">
        <v>33315</v>
      </c>
      <c r="J74" s="9" t="s">
        <v>33316</v>
      </c>
    </row>
    <row r="75">
      <c r="A75" s="9" t="s">
        <v>33317</v>
      </c>
      <c r="B75" s="9" t="s">
        <v>33318</v>
      </c>
      <c r="D75" s="9" t="s">
        <v>33319</v>
      </c>
      <c r="G75" s="9" t="s">
        <v>33320</v>
      </c>
      <c r="J75" s="9" t="s">
        <v>33321</v>
      </c>
    </row>
    <row r="76">
      <c r="A76" s="9" t="s">
        <v>33322</v>
      </c>
      <c r="B76" s="9" t="s">
        <v>33323</v>
      </c>
      <c r="D76" s="9" t="s">
        <v>33324</v>
      </c>
      <c r="G76" s="9" t="s">
        <v>33325</v>
      </c>
      <c r="J76" s="9" t="s">
        <v>33326</v>
      </c>
    </row>
    <row r="77">
      <c r="A77" s="9" t="s">
        <v>33327</v>
      </c>
      <c r="B77" s="9" t="s">
        <v>33328</v>
      </c>
      <c r="G77" s="9" t="s">
        <v>33329</v>
      </c>
    </row>
    <row r="78">
      <c r="A78" s="9" t="s">
        <v>33330</v>
      </c>
      <c r="B78" s="9" t="s">
        <v>33331</v>
      </c>
      <c r="G78" s="9" t="s">
        <v>33332</v>
      </c>
    </row>
    <row r="79">
      <c r="A79" s="9" t="s">
        <v>33333</v>
      </c>
      <c r="B79" s="9" t="s">
        <v>33334</v>
      </c>
      <c r="G79" s="9" t="s">
        <v>33335</v>
      </c>
    </row>
    <row r="80">
      <c r="A80" s="9" t="s">
        <v>33336</v>
      </c>
      <c r="B80" s="9" t="s">
        <v>33337</v>
      </c>
      <c r="G80" s="9" t="s">
        <v>33338</v>
      </c>
    </row>
    <row r="81">
      <c r="A81" s="9" t="s">
        <v>33339</v>
      </c>
      <c r="B81" s="9" t="s">
        <v>33340</v>
      </c>
      <c r="G81" s="9" t="s">
        <v>33341</v>
      </c>
    </row>
    <row r="82">
      <c r="A82" s="9" t="s">
        <v>33342</v>
      </c>
      <c r="B82" s="9" t="s">
        <v>33343</v>
      </c>
      <c r="G82" s="9" t="s">
        <v>33344</v>
      </c>
    </row>
    <row r="83">
      <c r="A83" s="9" t="s">
        <v>33345</v>
      </c>
      <c r="B83" s="9" t="s">
        <v>33346</v>
      </c>
      <c r="G83" s="9" t="s">
        <v>33347</v>
      </c>
    </row>
    <row r="84">
      <c r="A84" s="9" t="s">
        <v>33348</v>
      </c>
      <c r="B84" s="9" t="s">
        <v>33150</v>
      </c>
      <c r="D84" s="9" t="s">
        <v>33151</v>
      </c>
      <c r="G84" s="9" t="s">
        <v>33151</v>
      </c>
      <c r="J84" s="9" t="s">
        <v>33152</v>
      </c>
    </row>
    <row r="85">
      <c r="A85" s="9" t="s">
        <v>33349</v>
      </c>
      <c r="B85" s="9" t="s">
        <v>33154</v>
      </c>
      <c r="D85" s="9" t="s">
        <v>33155</v>
      </c>
      <c r="G85" s="9" t="s">
        <v>33155</v>
      </c>
      <c r="J85" s="9" t="s">
        <v>33156</v>
      </c>
    </row>
    <row r="86">
      <c r="A86" s="9" t="s">
        <v>33350</v>
      </c>
      <c r="B86" s="9" t="s">
        <v>33351</v>
      </c>
      <c r="D86" s="9" t="s">
        <v>33352</v>
      </c>
      <c r="G86" s="9" t="s">
        <v>33353</v>
      </c>
      <c r="J86" s="9" t="s">
        <v>33354</v>
      </c>
    </row>
    <row r="87">
      <c r="A87" s="9" t="s">
        <v>33355</v>
      </c>
      <c r="B87" s="9" t="s">
        <v>33356</v>
      </c>
      <c r="D87" s="9" t="s">
        <v>33357</v>
      </c>
      <c r="G87" s="9" t="s">
        <v>33358</v>
      </c>
      <c r="J87" s="9" t="s">
        <v>33359</v>
      </c>
    </row>
    <row r="88">
      <c r="A88" s="9" t="s">
        <v>33360</v>
      </c>
      <c r="B88" s="9" t="s">
        <v>33361</v>
      </c>
      <c r="D88" s="9" t="s">
        <v>33362</v>
      </c>
      <c r="G88" s="9" t="s">
        <v>33363</v>
      </c>
      <c r="J88" s="9" t="s">
        <v>33364</v>
      </c>
    </row>
    <row r="89">
      <c r="A89" s="9" t="s">
        <v>33365</v>
      </c>
      <c r="B89" s="9" t="s">
        <v>33366</v>
      </c>
      <c r="D89" s="9" t="s">
        <v>33367</v>
      </c>
      <c r="G89" s="9" t="s">
        <v>33368</v>
      </c>
      <c r="J89" s="9" t="s">
        <v>33369</v>
      </c>
    </row>
    <row r="90">
      <c r="A90" s="9" t="s">
        <v>33370</v>
      </c>
      <c r="B90" s="9" t="s">
        <v>33371</v>
      </c>
      <c r="D90" s="9" t="s">
        <v>33372</v>
      </c>
      <c r="G90" s="9" t="s">
        <v>33373</v>
      </c>
      <c r="J90" s="9" t="s">
        <v>33374</v>
      </c>
    </row>
    <row r="91">
      <c r="A91" s="9" t="s">
        <v>33375</v>
      </c>
      <c r="B91" s="9" t="s">
        <v>33376</v>
      </c>
      <c r="D91" s="9" t="s">
        <v>33377</v>
      </c>
      <c r="G91" s="9" t="s">
        <v>33378</v>
      </c>
      <c r="J91" s="9" t="s">
        <v>33379</v>
      </c>
    </row>
    <row r="92">
      <c r="A92" s="9" t="s">
        <v>33380</v>
      </c>
      <c r="B92" s="9" t="s">
        <v>33381</v>
      </c>
      <c r="G92" s="9" t="s">
        <v>33382</v>
      </c>
    </row>
    <row r="93">
      <c r="A93" s="9" t="s">
        <v>33383</v>
      </c>
      <c r="B93" s="9" t="s">
        <v>33384</v>
      </c>
      <c r="G93" s="9" t="s">
        <v>33385</v>
      </c>
    </row>
    <row r="94">
      <c r="A94" s="9" t="s">
        <v>33386</v>
      </c>
      <c r="B94" s="9" t="s">
        <v>33387</v>
      </c>
      <c r="G94" s="9" t="s">
        <v>33388</v>
      </c>
    </row>
    <row r="95">
      <c r="A95" s="9" t="s">
        <v>33389</v>
      </c>
      <c r="B95" s="9" t="s">
        <v>33390</v>
      </c>
      <c r="G95" s="9" t="s">
        <v>33391</v>
      </c>
    </row>
    <row r="96">
      <c r="A96" s="9" t="s">
        <v>33392</v>
      </c>
      <c r="B96" s="9" t="s">
        <v>33393</v>
      </c>
      <c r="G96" s="9" t="s">
        <v>33394</v>
      </c>
    </row>
    <row r="97">
      <c r="A97" s="9" t="s">
        <v>33395</v>
      </c>
      <c r="B97" s="9" t="s">
        <v>33396</v>
      </c>
      <c r="D97" s="9" t="s">
        <v>33397</v>
      </c>
      <c r="G97" s="9" t="s">
        <v>33398</v>
      </c>
      <c r="J97" s="9" t="s">
        <v>33399</v>
      </c>
    </row>
    <row r="98">
      <c r="A98" s="9" t="s">
        <v>33400</v>
      </c>
      <c r="B98" s="9" t="s">
        <v>33401</v>
      </c>
      <c r="D98" s="9" t="s">
        <v>33402</v>
      </c>
      <c r="G98" s="9" t="s">
        <v>33402</v>
      </c>
      <c r="J98" s="9" t="s">
        <v>33403</v>
      </c>
    </row>
    <row r="99">
      <c r="A99" s="9" t="s">
        <v>33404</v>
      </c>
      <c r="B99" s="9" t="s">
        <v>33405</v>
      </c>
      <c r="D99" s="9" t="s">
        <v>33406</v>
      </c>
      <c r="G99" s="9" t="s">
        <v>33407</v>
      </c>
      <c r="J99" s="9" t="s">
        <v>33408</v>
      </c>
    </row>
    <row r="100">
      <c r="A100" s="9" t="s">
        <v>33409</v>
      </c>
      <c r="B100" s="9" t="s">
        <v>33410</v>
      </c>
      <c r="D100" s="9" t="s">
        <v>33411</v>
      </c>
      <c r="G100" s="9" t="s">
        <v>33412</v>
      </c>
      <c r="J100" s="9" t="s">
        <v>33413</v>
      </c>
    </row>
    <row r="101">
      <c r="A101" s="9" t="s">
        <v>33414</v>
      </c>
      <c r="B101" s="9" t="s">
        <v>33415</v>
      </c>
      <c r="D101" s="9" t="s">
        <v>33416</v>
      </c>
      <c r="G101" s="9" t="s">
        <v>33417</v>
      </c>
      <c r="J101" s="9" t="s">
        <v>33418</v>
      </c>
    </row>
    <row r="102">
      <c r="A102" s="9" t="s">
        <v>33419</v>
      </c>
      <c r="B102" s="9" t="s">
        <v>33420</v>
      </c>
      <c r="D102" s="9" t="s">
        <v>33421</v>
      </c>
      <c r="G102" s="9" t="s">
        <v>33421</v>
      </c>
      <c r="J102" s="9" t="s">
        <v>33420</v>
      </c>
    </row>
    <row r="103">
      <c r="A103" s="9" t="s">
        <v>33422</v>
      </c>
      <c r="B103" s="9" t="s">
        <v>33423</v>
      </c>
      <c r="D103" s="9" t="s">
        <v>33424</v>
      </c>
      <c r="G103" s="9" t="s">
        <v>33425</v>
      </c>
      <c r="J103" s="9" t="s">
        <v>33426</v>
      </c>
    </row>
    <row r="104">
      <c r="A104" s="9" t="s">
        <v>33427</v>
      </c>
      <c r="B104" s="9" t="s">
        <v>33428</v>
      </c>
      <c r="G104" s="9" t="s">
        <v>33429</v>
      </c>
    </row>
    <row r="105">
      <c r="A105" s="9" t="s">
        <v>33430</v>
      </c>
      <c r="B105" s="9" t="s">
        <v>33431</v>
      </c>
      <c r="D105" s="9" t="s">
        <v>33432</v>
      </c>
      <c r="G105" s="9" t="s">
        <v>33432</v>
      </c>
      <c r="J105" s="9" t="s">
        <v>33433</v>
      </c>
    </row>
    <row r="106">
      <c r="A106" s="9" t="s">
        <v>33434</v>
      </c>
      <c r="B106" s="9" t="s">
        <v>33435</v>
      </c>
      <c r="D106" s="9" t="s">
        <v>33436</v>
      </c>
      <c r="G106" s="9" t="s">
        <v>33437</v>
      </c>
      <c r="J106" s="9" t="s">
        <v>33438</v>
      </c>
    </row>
    <row r="107">
      <c r="A107" s="9" t="s">
        <v>33439</v>
      </c>
      <c r="B107" s="9" t="s">
        <v>33440</v>
      </c>
      <c r="D107" s="9" t="s">
        <v>33441</v>
      </c>
      <c r="G107" s="9" t="s">
        <v>33442</v>
      </c>
      <c r="J107" s="9" t="s">
        <v>33443</v>
      </c>
    </row>
    <row r="108">
      <c r="A108" s="9" t="s">
        <v>33444</v>
      </c>
      <c r="B108" s="9" t="s">
        <v>33445</v>
      </c>
      <c r="D108" s="9" t="s">
        <v>33446</v>
      </c>
      <c r="G108" s="9" t="s">
        <v>33447</v>
      </c>
      <c r="J108" s="9" t="s">
        <v>33448</v>
      </c>
    </row>
    <row r="109">
      <c r="A109" s="9" t="s">
        <v>33449</v>
      </c>
      <c r="B109" s="9" t="s">
        <v>33450</v>
      </c>
      <c r="D109" s="9" t="s">
        <v>33451</v>
      </c>
      <c r="G109" s="9" t="s">
        <v>33452</v>
      </c>
      <c r="J109" s="9" t="s">
        <v>33453</v>
      </c>
    </row>
    <row r="110">
      <c r="A110" s="9" t="s">
        <v>33454</v>
      </c>
      <c r="B110" s="9" t="s">
        <v>33455</v>
      </c>
      <c r="D110" s="9" t="s">
        <v>33456</v>
      </c>
      <c r="G110" s="9" t="s">
        <v>33457</v>
      </c>
      <c r="J110" s="9" t="s">
        <v>33458</v>
      </c>
    </row>
    <row r="111">
      <c r="A111" s="9" t="s">
        <v>33459</v>
      </c>
      <c r="B111" s="9" t="s">
        <v>33460</v>
      </c>
      <c r="D111" s="9" t="s">
        <v>33461</v>
      </c>
      <c r="G111" s="9" t="s">
        <v>33462</v>
      </c>
      <c r="J111" s="9" t="s">
        <v>33463</v>
      </c>
    </row>
    <row r="112">
      <c r="A112" s="9" t="s">
        <v>33464</v>
      </c>
      <c r="B112" s="9" t="s">
        <v>33465</v>
      </c>
      <c r="D112" s="9" t="s">
        <v>33466</v>
      </c>
      <c r="G112" s="9" t="s">
        <v>33467</v>
      </c>
      <c r="J112" s="9" t="s">
        <v>33468</v>
      </c>
    </row>
    <row r="113">
      <c r="A113" s="9" t="s">
        <v>33469</v>
      </c>
      <c r="B113" s="9" t="s">
        <v>33470</v>
      </c>
      <c r="D113" s="9" t="s">
        <v>33471</v>
      </c>
      <c r="G113" s="9" t="s">
        <v>33472</v>
      </c>
      <c r="J113" s="9" t="s">
        <v>33473</v>
      </c>
    </row>
    <row r="114">
      <c r="A114" s="9" t="s">
        <v>33474</v>
      </c>
      <c r="B114" s="9" t="s">
        <v>33475</v>
      </c>
      <c r="D114" s="9" t="s">
        <v>33476</v>
      </c>
      <c r="G114" s="9" t="s">
        <v>33477</v>
      </c>
      <c r="J114" s="9" t="s">
        <v>33478</v>
      </c>
    </row>
    <row r="115">
      <c r="A115" s="9" t="s">
        <v>33479</v>
      </c>
      <c r="B115" s="9" t="s">
        <v>33480</v>
      </c>
      <c r="D115" s="9" t="s">
        <v>33481</v>
      </c>
      <c r="G115" s="9" t="s">
        <v>33482</v>
      </c>
      <c r="J115" s="9" t="s">
        <v>33483</v>
      </c>
    </row>
    <row r="116">
      <c r="A116" s="9" t="s">
        <v>33484</v>
      </c>
      <c r="B116" s="9" t="s">
        <v>33485</v>
      </c>
      <c r="D116" s="9" t="s">
        <v>33486</v>
      </c>
      <c r="G116" s="9" t="s">
        <v>33487</v>
      </c>
      <c r="J116" s="9" t="s">
        <v>33488</v>
      </c>
    </row>
    <row r="117">
      <c r="A117" s="9" t="s">
        <v>33489</v>
      </c>
      <c r="B117" s="9" t="s">
        <v>33490</v>
      </c>
      <c r="D117" s="9" t="s">
        <v>33491</v>
      </c>
      <c r="G117" s="9" t="s">
        <v>33492</v>
      </c>
      <c r="J117" s="9" t="s">
        <v>33493</v>
      </c>
    </row>
    <row r="118">
      <c r="A118" s="9" t="s">
        <v>33494</v>
      </c>
      <c r="B118" s="9" t="s">
        <v>33495</v>
      </c>
      <c r="D118" s="9" t="s">
        <v>33496</v>
      </c>
      <c r="G118" s="9" t="s">
        <v>33496</v>
      </c>
      <c r="J118" s="9" t="s">
        <v>33497</v>
      </c>
    </row>
    <row r="119">
      <c r="A119" s="9" t="s">
        <v>33498</v>
      </c>
      <c r="B119" s="9" t="s">
        <v>33499</v>
      </c>
      <c r="D119" s="9" t="s">
        <v>33496</v>
      </c>
      <c r="G119" s="9" t="s">
        <v>33496</v>
      </c>
      <c r="J119" s="9" t="s">
        <v>33497</v>
      </c>
    </row>
    <row r="120">
      <c r="A120" s="9" t="s">
        <v>33500</v>
      </c>
      <c r="B120" s="9" t="s">
        <v>33501</v>
      </c>
      <c r="D120" s="9" t="s">
        <v>33502</v>
      </c>
      <c r="G120" s="9" t="s">
        <v>33502</v>
      </c>
      <c r="J120" s="9" t="s">
        <v>33503</v>
      </c>
    </row>
    <row r="121">
      <c r="A121" s="9" t="s">
        <v>33504</v>
      </c>
      <c r="B121" s="9" t="s">
        <v>33505</v>
      </c>
      <c r="D121" s="9" t="s">
        <v>33502</v>
      </c>
      <c r="G121" s="9" t="s">
        <v>33502</v>
      </c>
      <c r="J121" s="9" t="s">
        <v>33506</v>
      </c>
    </row>
    <row r="122">
      <c r="A122" s="9" t="s">
        <v>33507</v>
      </c>
      <c r="B122" s="9" t="s">
        <v>33508</v>
      </c>
      <c r="D122" s="9" t="s">
        <v>33509</v>
      </c>
      <c r="G122" s="9" t="s">
        <v>33509</v>
      </c>
      <c r="J122" s="9" t="s">
        <v>33510</v>
      </c>
    </row>
    <row r="123">
      <c r="A123" s="9" t="s">
        <v>33511</v>
      </c>
      <c r="B123" s="9" t="s">
        <v>33512</v>
      </c>
      <c r="D123" s="9" t="s">
        <v>33513</v>
      </c>
      <c r="G123" s="9" t="s">
        <v>33514</v>
      </c>
      <c r="J123" s="9" t="s">
        <v>33515</v>
      </c>
    </row>
    <row r="124">
      <c r="A124" s="9" t="s">
        <v>33516</v>
      </c>
      <c r="B124" s="9" t="s">
        <v>33517</v>
      </c>
      <c r="D124" s="9" t="s">
        <v>33518</v>
      </c>
      <c r="G124" s="9" t="s">
        <v>33519</v>
      </c>
      <c r="J124" s="9" t="s">
        <v>33517</v>
      </c>
    </row>
    <row r="125">
      <c r="A125" s="9" t="s">
        <v>33520</v>
      </c>
      <c r="B125" s="9" t="s">
        <v>33521</v>
      </c>
      <c r="D125" s="9" t="s">
        <v>33522</v>
      </c>
      <c r="G125" s="9" t="s">
        <v>33522</v>
      </c>
      <c r="J125" s="9" t="s">
        <v>33170</v>
      </c>
    </row>
    <row r="126">
      <c r="A126" s="9" t="s">
        <v>33523</v>
      </c>
      <c r="B126" s="9" t="s">
        <v>33524</v>
      </c>
      <c r="D126" s="9" t="s">
        <v>33525</v>
      </c>
      <c r="G126" s="9" t="s">
        <v>33526</v>
      </c>
      <c r="J126" s="9" t="s">
        <v>33527</v>
      </c>
    </row>
    <row r="127">
      <c r="A127" s="9" t="s">
        <v>33528</v>
      </c>
      <c r="B127" s="9" t="s">
        <v>33529</v>
      </c>
      <c r="D127" s="9" t="s">
        <v>33530</v>
      </c>
      <c r="G127" s="9" t="s">
        <v>33531</v>
      </c>
      <c r="J127" s="9" t="s">
        <v>33532</v>
      </c>
    </row>
    <row r="128">
      <c r="A128" s="9" t="s">
        <v>33533</v>
      </c>
      <c r="B128" s="9" t="s">
        <v>33534</v>
      </c>
      <c r="D128" s="9" t="s">
        <v>33535</v>
      </c>
      <c r="G128" s="9" t="s">
        <v>33535</v>
      </c>
      <c r="J128" s="9" t="s">
        <v>33536</v>
      </c>
    </row>
    <row r="129">
      <c r="A129" s="9" t="s">
        <v>33537</v>
      </c>
      <c r="B129" s="9" t="s">
        <v>33538</v>
      </c>
      <c r="D129" s="9" t="s">
        <v>33539</v>
      </c>
      <c r="G129" s="9" t="s">
        <v>33540</v>
      </c>
      <c r="J129" s="9" t="s">
        <v>33541</v>
      </c>
    </row>
    <row r="130">
      <c r="A130" s="9" t="s">
        <v>33542</v>
      </c>
      <c r="B130" s="9" t="s">
        <v>33543</v>
      </c>
      <c r="D130" s="9" t="s">
        <v>33544</v>
      </c>
      <c r="G130" s="9" t="s">
        <v>33545</v>
      </c>
      <c r="J130" s="9" t="s">
        <v>33546</v>
      </c>
    </row>
    <row r="131">
      <c r="A131" s="9" t="s">
        <v>33547</v>
      </c>
      <c r="B131" s="9" t="s">
        <v>33548</v>
      </c>
      <c r="D131" s="9" t="s">
        <v>33549</v>
      </c>
      <c r="G131" s="9" t="s">
        <v>33550</v>
      </c>
      <c r="J131" s="9" t="s">
        <v>33551</v>
      </c>
    </row>
    <row r="132">
      <c r="A132" s="9" t="s">
        <v>33552</v>
      </c>
      <c r="B132" s="9" t="s">
        <v>33553</v>
      </c>
      <c r="D132" s="9" t="s">
        <v>33554</v>
      </c>
      <c r="G132" s="9" t="s">
        <v>33555</v>
      </c>
      <c r="J132" s="9" t="s">
        <v>33556</v>
      </c>
    </row>
    <row r="133">
      <c r="A133" s="9" t="s">
        <v>33557</v>
      </c>
      <c r="B133" s="9" t="s">
        <v>33558</v>
      </c>
      <c r="D133" s="9" t="s">
        <v>33559</v>
      </c>
      <c r="G133" s="9" t="s">
        <v>33560</v>
      </c>
      <c r="J133" s="9" t="s">
        <v>33561</v>
      </c>
    </row>
    <row r="134">
      <c r="A134" s="9" t="s">
        <v>33562</v>
      </c>
      <c r="B134" s="9" t="s">
        <v>33563</v>
      </c>
      <c r="D134" s="9" t="s">
        <v>33564</v>
      </c>
      <c r="G134" s="9" t="s">
        <v>33564</v>
      </c>
      <c r="J134" s="9" t="s">
        <v>33565</v>
      </c>
    </row>
    <row r="135">
      <c r="A135" s="9" t="s">
        <v>33566</v>
      </c>
      <c r="B135" s="9" t="s">
        <v>33567</v>
      </c>
      <c r="D135" s="9" t="s">
        <v>33568</v>
      </c>
      <c r="G135" s="9" t="s">
        <v>33569</v>
      </c>
      <c r="J135" s="9" t="s">
        <v>33570</v>
      </c>
    </row>
    <row r="136">
      <c r="A136" s="9" t="s">
        <v>33571</v>
      </c>
      <c r="B136" s="9" t="s">
        <v>33572</v>
      </c>
      <c r="D136" s="9" t="s">
        <v>33573</v>
      </c>
      <c r="G136" s="9" t="s">
        <v>33574</v>
      </c>
      <c r="J136" s="9" t="s">
        <v>33575</v>
      </c>
    </row>
    <row r="137">
      <c r="A137" s="9" t="s">
        <v>33576</v>
      </c>
      <c r="B137" s="9" t="s">
        <v>33577</v>
      </c>
      <c r="D137" s="9" t="s">
        <v>33578</v>
      </c>
      <c r="G137" s="9" t="s">
        <v>33579</v>
      </c>
      <c r="J137" s="9" t="s">
        <v>33580</v>
      </c>
    </row>
    <row r="138">
      <c r="A138" s="9" t="s">
        <v>33581</v>
      </c>
      <c r="B138" s="9" t="s">
        <v>33582</v>
      </c>
      <c r="D138" s="9" t="s">
        <v>33583</v>
      </c>
      <c r="G138" s="9" t="s">
        <v>33584</v>
      </c>
      <c r="J138" s="9" t="s">
        <v>33585</v>
      </c>
    </row>
    <row r="139">
      <c r="A139" s="9" t="s">
        <v>33586</v>
      </c>
      <c r="B139" s="9" t="s">
        <v>33587</v>
      </c>
      <c r="D139" s="9" t="s">
        <v>33588</v>
      </c>
      <c r="G139" s="9" t="s">
        <v>33589</v>
      </c>
      <c r="J139" s="9" t="s">
        <v>33590</v>
      </c>
    </row>
    <row r="140">
      <c r="A140" s="9" t="s">
        <v>33591</v>
      </c>
      <c r="B140" s="9" t="s">
        <v>33592</v>
      </c>
      <c r="D140" s="9" t="s">
        <v>33593</v>
      </c>
      <c r="G140" s="9" t="s">
        <v>33594</v>
      </c>
      <c r="J140" s="9" t="s">
        <v>33595</v>
      </c>
    </row>
    <row r="141">
      <c r="A141" s="9" t="s">
        <v>33596</v>
      </c>
      <c r="B141" s="9" t="s">
        <v>33597</v>
      </c>
      <c r="D141" s="9" t="s">
        <v>33598</v>
      </c>
      <c r="G141" s="9" t="s">
        <v>33599</v>
      </c>
      <c r="J141" s="9" t="s">
        <v>33600</v>
      </c>
    </row>
    <row r="142">
      <c r="A142" s="9" t="s">
        <v>33601</v>
      </c>
      <c r="B142" s="9" t="s">
        <v>33602</v>
      </c>
      <c r="D142" s="9" t="s">
        <v>33603</v>
      </c>
      <c r="G142" s="9" t="s">
        <v>33603</v>
      </c>
      <c r="J142" s="9" t="s">
        <v>33604</v>
      </c>
    </row>
    <row r="143">
      <c r="A143" s="9" t="s">
        <v>33605</v>
      </c>
      <c r="B143" s="9" t="s">
        <v>33606</v>
      </c>
      <c r="D143" s="9" t="s">
        <v>33607</v>
      </c>
      <c r="G143" s="9" t="s">
        <v>33608</v>
      </c>
      <c r="J143" s="9" t="s">
        <v>33609</v>
      </c>
    </row>
    <row r="144">
      <c r="A144" s="9" t="s">
        <v>33610</v>
      </c>
      <c r="B144" s="9" t="s">
        <v>33611</v>
      </c>
      <c r="D144" s="9" t="s">
        <v>33612</v>
      </c>
      <c r="G144" s="9" t="s">
        <v>33612</v>
      </c>
      <c r="J144" s="9" t="s">
        <v>33613</v>
      </c>
    </row>
    <row r="145">
      <c r="A145" s="9" t="s">
        <v>33614</v>
      </c>
      <c r="B145" s="9" t="s">
        <v>33615</v>
      </c>
      <c r="D145" s="9" t="s">
        <v>33616</v>
      </c>
      <c r="G145" s="9" t="s">
        <v>33616</v>
      </c>
      <c r="J145" s="9" t="s">
        <v>33617</v>
      </c>
    </row>
    <row r="146">
      <c r="A146" s="9" t="s">
        <v>33618</v>
      </c>
      <c r="B146" s="9" t="s">
        <v>33619</v>
      </c>
      <c r="D146" s="9" t="s">
        <v>33620</v>
      </c>
      <c r="G146" s="9" t="s">
        <v>33620</v>
      </c>
      <c r="J146" s="9" t="s">
        <v>33621</v>
      </c>
    </row>
    <row r="147">
      <c r="A147" s="9" t="s">
        <v>33622</v>
      </c>
      <c r="B147" s="9" t="s">
        <v>33623</v>
      </c>
      <c r="D147" s="9" t="s">
        <v>33624</v>
      </c>
      <c r="G147" s="9" t="s">
        <v>33624</v>
      </c>
      <c r="J147" s="9" t="s">
        <v>33625</v>
      </c>
    </row>
    <row r="148">
      <c r="A148" s="9" t="s">
        <v>33626</v>
      </c>
      <c r="B148" s="9" t="s">
        <v>33627</v>
      </c>
      <c r="G148" s="9" t="s">
        <v>33628</v>
      </c>
    </row>
    <row r="149">
      <c r="A149" s="9" t="s">
        <v>33629</v>
      </c>
      <c r="B149" s="9" t="s">
        <v>33630</v>
      </c>
      <c r="G149" s="9" t="s">
        <v>33631</v>
      </c>
    </row>
    <row r="150">
      <c r="A150" s="9" t="s">
        <v>33632</v>
      </c>
      <c r="B150" s="9" t="s">
        <v>33633</v>
      </c>
      <c r="D150" s="9" t="s">
        <v>33634</v>
      </c>
      <c r="G150" s="9" t="s">
        <v>33634</v>
      </c>
      <c r="J150" s="9" t="s">
        <v>33635</v>
      </c>
    </row>
    <row r="151">
      <c r="A151" s="9" t="s">
        <v>33636</v>
      </c>
      <c r="B151" s="9" t="s">
        <v>33637</v>
      </c>
      <c r="D151" s="9" t="s">
        <v>33638</v>
      </c>
      <c r="G151" s="9" t="s">
        <v>33638</v>
      </c>
      <c r="J151" s="9" t="s">
        <v>33639</v>
      </c>
    </row>
    <row r="152">
      <c r="A152" s="9" t="s">
        <v>33640</v>
      </c>
      <c r="B152" s="9" t="s">
        <v>33641</v>
      </c>
      <c r="D152" s="9" t="s">
        <v>33642</v>
      </c>
      <c r="G152" s="9" t="s">
        <v>33643</v>
      </c>
      <c r="J152" s="9" t="s">
        <v>33644</v>
      </c>
    </row>
    <row r="153">
      <c r="A153" s="9" t="s">
        <v>33645</v>
      </c>
      <c r="B153" s="9" t="s">
        <v>33646</v>
      </c>
      <c r="D153" s="9" t="s">
        <v>33647</v>
      </c>
      <c r="G153" s="9" t="s">
        <v>33647</v>
      </c>
      <c r="J153" s="9" t="s">
        <v>33648</v>
      </c>
    </row>
    <row r="154">
      <c r="A154" s="9" t="s">
        <v>33649</v>
      </c>
      <c r="B154" s="9" t="s">
        <v>33650</v>
      </c>
      <c r="D154" s="9" t="s">
        <v>33651</v>
      </c>
      <c r="G154" s="9" t="s">
        <v>33651</v>
      </c>
      <c r="J154" s="9" t="s">
        <v>33652</v>
      </c>
    </row>
    <row r="155">
      <c r="A155" s="9" t="s">
        <v>33653</v>
      </c>
      <c r="B155" s="9" t="s">
        <v>33654</v>
      </c>
      <c r="D155" s="9" t="s">
        <v>33655</v>
      </c>
      <c r="G155" s="9" t="s">
        <v>33655</v>
      </c>
      <c r="J155" s="9" t="s">
        <v>33656</v>
      </c>
    </row>
    <row r="156">
      <c r="A156" s="9" t="s">
        <v>33657</v>
      </c>
      <c r="B156" s="9" t="s">
        <v>33658</v>
      </c>
      <c r="D156" s="9" t="s">
        <v>33659</v>
      </c>
      <c r="G156" s="9" t="s">
        <v>33659</v>
      </c>
      <c r="J156" s="9" t="s">
        <v>33660</v>
      </c>
    </row>
    <row r="157">
      <c r="A157" s="9" t="s">
        <v>33661</v>
      </c>
      <c r="B157" s="9" t="s">
        <v>33662</v>
      </c>
      <c r="D157" s="9" t="s">
        <v>33663</v>
      </c>
      <c r="G157" s="9" t="s">
        <v>33664</v>
      </c>
      <c r="J157" s="9" t="s">
        <v>33665</v>
      </c>
    </row>
    <row r="158">
      <c r="A158" s="9" t="s">
        <v>33666</v>
      </c>
      <c r="B158" s="9" t="s">
        <v>33667</v>
      </c>
      <c r="D158" s="9" t="s">
        <v>33668</v>
      </c>
      <c r="G158" s="9" t="s">
        <v>33669</v>
      </c>
      <c r="J158" s="9" t="s">
        <v>33670</v>
      </c>
    </row>
    <row r="159">
      <c r="A159" s="9" t="s">
        <v>33671</v>
      </c>
      <c r="B159" s="9" t="s">
        <v>33672</v>
      </c>
      <c r="D159" s="9" t="s">
        <v>33673</v>
      </c>
      <c r="G159" s="9" t="s">
        <v>33674</v>
      </c>
      <c r="J159" s="9" t="s">
        <v>33675</v>
      </c>
    </row>
    <row r="160">
      <c r="A160" s="9" t="s">
        <v>33676</v>
      </c>
      <c r="B160" s="9" t="s">
        <v>33677</v>
      </c>
      <c r="D160" s="9" t="s">
        <v>33678</v>
      </c>
      <c r="G160" s="9" t="s">
        <v>33678</v>
      </c>
      <c r="J160" s="9" t="s">
        <v>33635</v>
      </c>
    </row>
    <row r="161">
      <c r="A161" s="9" t="s">
        <v>33679</v>
      </c>
      <c r="B161" s="9" t="s">
        <v>33680</v>
      </c>
      <c r="D161" s="9" t="s">
        <v>33680</v>
      </c>
      <c r="G161" s="9" t="s">
        <v>33680</v>
      </c>
      <c r="J161" s="9" t="s">
        <v>33680</v>
      </c>
    </row>
    <row r="162">
      <c r="A162" s="9" t="s">
        <v>33681</v>
      </c>
      <c r="B162" s="9" t="s">
        <v>33682</v>
      </c>
      <c r="D162" s="9" t="s">
        <v>33682</v>
      </c>
      <c r="G162" s="9" t="s">
        <v>33682</v>
      </c>
      <c r="J162" s="9" t="s">
        <v>33682</v>
      </c>
    </row>
    <row r="163">
      <c r="A163" s="9" t="s">
        <v>33683</v>
      </c>
      <c r="B163" s="9" t="s">
        <v>33684</v>
      </c>
      <c r="D163" s="9" t="s">
        <v>33685</v>
      </c>
      <c r="G163" s="9" t="s">
        <v>33686</v>
      </c>
      <c r="J163" s="9" t="s">
        <v>33687</v>
      </c>
    </row>
    <row r="164">
      <c r="A164" s="9" t="s">
        <v>33688</v>
      </c>
      <c r="B164" s="9" t="s">
        <v>33689</v>
      </c>
      <c r="D164" s="9" t="s">
        <v>33690</v>
      </c>
      <c r="G164" s="9" t="s">
        <v>33691</v>
      </c>
      <c r="J164" s="9" t="s">
        <v>33689</v>
      </c>
    </row>
    <row r="165">
      <c r="A165" s="9" t="s">
        <v>33692</v>
      </c>
      <c r="B165" s="9" t="s">
        <v>33693</v>
      </c>
      <c r="D165" s="9" t="s">
        <v>33694</v>
      </c>
      <c r="G165" s="9" t="s">
        <v>33695</v>
      </c>
      <c r="J165" s="9" t="s">
        <v>33696</v>
      </c>
    </row>
    <row r="166">
      <c r="A166" s="9" t="s">
        <v>33697</v>
      </c>
      <c r="B166" s="9" t="s">
        <v>33698</v>
      </c>
      <c r="D166" s="9" t="s">
        <v>33699</v>
      </c>
      <c r="G166" s="9" t="s">
        <v>33699</v>
      </c>
      <c r="J166" s="9" t="s">
        <v>33700</v>
      </c>
    </row>
    <row r="167">
      <c r="A167" s="9" t="s">
        <v>33701</v>
      </c>
      <c r="B167" s="9" t="s">
        <v>33677</v>
      </c>
      <c r="D167" s="9" t="s">
        <v>33702</v>
      </c>
      <c r="G167" s="9" t="s">
        <v>33703</v>
      </c>
      <c r="J167" s="9" t="s">
        <v>33677</v>
      </c>
    </row>
    <row r="168">
      <c r="A168" s="9" t="s">
        <v>33704</v>
      </c>
      <c r="B168" s="9" t="s">
        <v>33705</v>
      </c>
      <c r="D168" s="9" t="s">
        <v>33706</v>
      </c>
      <c r="G168" s="9" t="s">
        <v>33707</v>
      </c>
      <c r="J168" s="9" t="s">
        <v>33708</v>
      </c>
    </row>
    <row r="169">
      <c r="A169" s="9" t="s">
        <v>33709</v>
      </c>
      <c r="B169" s="9" t="s">
        <v>33710</v>
      </c>
      <c r="D169" s="9" t="s">
        <v>33711</v>
      </c>
      <c r="G169" s="9" t="s">
        <v>33712</v>
      </c>
      <c r="J169" s="9" t="s">
        <v>33713</v>
      </c>
    </row>
    <row r="170">
      <c r="A170" s="9" t="s">
        <v>33714</v>
      </c>
      <c r="B170" s="9" t="s">
        <v>33715</v>
      </c>
      <c r="D170" s="9" t="s">
        <v>33716</v>
      </c>
      <c r="G170" s="9" t="s">
        <v>33717</v>
      </c>
      <c r="J170" s="9" t="s">
        <v>33718</v>
      </c>
    </row>
    <row r="171">
      <c r="A171" s="9" t="s">
        <v>33719</v>
      </c>
      <c r="B171" s="9" t="s">
        <v>33720</v>
      </c>
      <c r="D171" s="9" t="s">
        <v>33721</v>
      </c>
      <c r="G171" s="9" t="s">
        <v>33722</v>
      </c>
      <c r="J171" s="9" t="s">
        <v>33723</v>
      </c>
    </row>
    <row r="172">
      <c r="A172" s="9" t="s">
        <v>33724</v>
      </c>
      <c r="B172" s="9" t="s">
        <v>33725</v>
      </c>
      <c r="D172" s="9" t="s">
        <v>33726</v>
      </c>
      <c r="G172" s="9" t="s">
        <v>33727</v>
      </c>
      <c r="J172" s="9" t="s">
        <v>33728</v>
      </c>
    </row>
    <row r="173">
      <c r="A173" s="9" t="s">
        <v>33729</v>
      </c>
      <c r="B173" s="9" t="s">
        <v>33730</v>
      </c>
      <c r="D173" s="9" t="s">
        <v>33727</v>
      </c>
      <c r="G173" s="9" t="s">
        <v>33726</v>
      </c>
      <c r="J173" s="9" t="s">
        <v>33728</v>
      </c>
    </row>
    <row r="174">
      <c r="A174" s="9" t="s">
        <v>33731</v>
      </c>
      <c r="B174" s="9" t="s">
        <v>33732</v>
      </c>
      <c r="D174" s="9" t="s">
        <v>33733</v>
      </c>
      <c r="G174" s="9" t="s">
        <v>33733</v>
      </c>
      <c r="J174" s="9" t="s">
        <v>33734</v>
      </c>
    </row>
    <row r="175">
      <c r="A175" s="9" t="s">
        <v>33735</v>
      </c>
      <c r="B175" s="9" t="s">
        <v>33736</v>
      </c>
      <c r="D175" s="9" t="s">
        <v>33737</v>
      </c>
      <c r="G175" s="9" t="s">
        <v>33737</v>
      </c>
      <c r="J175" s="9" t="s">
        <v>33738</v>
      </c>
    </row>
    <row r="176">
      <c r="A176" s="9" t="s">
        <v>33739</v>
      </c>
      <c r="B176" s="9" t="s">
        <v>33740</v>
      </c>
      <c r="D176" s="9" t="s">
        <v>33741</v>
      </c>
      <c r="G176" s="9" t="s">
        <v>33741</v>
      </c>
      <c r="J176" s="9" t="s">
        <v>33742</v>
      </c>
    </row>
    <row r="177">
      <c r="A177" s="9" t="s">
        <v>33743</v>
      </c>
      <c r="B177" s="9" t="s">
        <v>33744</v>
      </c>
      <c r="D177" s="9" t="s">
        <v>33745</v>
      </c>
      <c r="G177" s="9" t="s">
        <v>33745</v>
      </c>
      <c r="J177" s="9" t="s">
        <v>33728</v>
      </c>
    </row>
    <row r="178">
      <c r="A178" s="9" t="s">
        <v>33746</v>
      </c>
      <c r="B178" s="9" t="s">
        <v>33747</v>
      </c>
      <c r="D178" s="9" t="s">
        <v>33302</v>
      </c>
      <c r="G178" s="9" t="s">
        <v>33303</v>
      </c>
      <c r="J178" s="9" t="s">
        <v>33748</v>
      </c>
    </row>
    <row r="179">
      <c r="A179" s="9" t="s">
        <v>33749</v>
      </c>
      <c r="B179" s="9" t="s">
        <v>33750</v>
      </c>
      <c r="D179" s="9" t="s">
        <v>33751</v>
      </c>
      <c r="G179" s="9" t="s">
        <v>33752</v>
      </c>
      <c r="J179" s="9" t="s">
        <v>33753</v>
      </c>
    </row>
    <row r="180">
      <c r="A180" s="9" t="s">
        <v>33754</v>
      </c>
      <c r="B180" s="9" t="s">
        <v>33755</v>
      </c>
      <c r="D180" s="9" t="s">
        <v>33756</v>
      </c>
      <c r="G180" s="9" t="s">
        <v>33756</v>
      </c>
      <c r="J180" s="9" t="s">
        <v>33757</v>
      </c>
    </row>
    <row r="181">
      <c r="A181" s="9" t="s">
        <v>33758</v>
      </c>
      <c r="B181" s="9" t="s">
        <v>33759</v>
      </c>
      <c r="D181" s="9" t="s">
        <v>33760</v>
      </c>
      <c r="G181" s="9" t="s">
        <v>33760</v>
      </c>
      <c r="J181" s="9" t="s">
        <v>33761</v>
      </c>
    </row>
    <row r="182">
      <c r="A182" s="9" t="s">
        <v>33762</v>
      </c>
      <c r="B182" s="9" t="s">
        <v>33763</v>
      </c>
      <c r="D182" s="9" t="s">
        <v>33764</v>
      </c>
      <c r="G182" s="9" t="s">
        <v>33764</v>
      </c>
      <c r="J182" s="9" t="s">
        <v>33765</v>
      </c>
    </row>
    <row r="183">
      <c r="A183" s="9" t="s">
        <v>33766</v>
      </c>
      <c r="B183" s="9" t="s">
        <v>33767</v>
      </c>
      <c r="D183" s="9" t="s">
        <v>33768</v>
      </c>
      <c r="G183" s="9" t="s">
        <v>33768</v>
      </c>
      <c r="J183" s="9" t="s">
        <v>33765</v>
      </c>
    </row>
    <row r="184">
      <c r="A184" s="9" t="s">
        <v>33769</v>
      </c>
      <c r="B184" s="9" t="s">
        <v>33770</v>
      </c>
      <c r="D184" s="9" t="s">
        <v>33771</v>
      </c>
      <c r="G184" s="9" t="s">
        <v>33772</v>
      </c>
      <c r="J184" s="9" t="s">
        <v>33773</v>
      </c>
    </row>
    <row r="185">
      <c r="A185" s="9" t="s">
        <v>33774</v>
      </c>
      <c r="B185" s="9" t="s">
        <v>33775</v>
      </c>
      <c r="D185" s="9" t="s">
        <v>33776</v>
      </c>
      <c r="G185" s="9" t="s">
        <v>33776</v>
      </c>
      <c r="J185" s="9" t="s">
        <v>33777</v>
      </c>
    </row>
    <row r="186">
      <c r="A186" s="9" t="s">
        <v>33778</v>
      </c>
      <c r="B186" s="9" t="s">
        <v>33779</v>
      </c>
      <c r="D186" s="9" t="s">
        <v>33780</v>
      </c>
      <c r="G186" s="9" t="s">
        <v>33780</v>
      </c>
      <c r="J186" s="9" t="s">
        <v>33781</v>
      </c>
    </row>
    <row r="187">
      <c r="A187" s="9" t="s">
        <v>33782</v>
      </c>
      <c r="B187" s="9" t="s">
        <v>33783</v>
      </c>
      <c r="D187" s="9" t="s">
        <v>33784</v>
      </c>
      <c r="G187" s="9" t="s">
        <v>33784</v>
      </c>
      <c r="J187" s="9" t="s">
        <v>33785</v>
      </c>
    </row>
    <row r="188">
      <c r="A188" s="9" t="s">
        <v>33786</v>
      </c>
      <c r="B188" s="9" t="s">
        <v>33787</v>
      </c>
      <c r="D188" s="9" t="s">
        <v>33788</v>
      </c>
      <c r="G188" s="9" t="s">
        <v>33788</v>
      </c>
      <c r="J188" s="9" t="s">
        <v>33789</v>
      </c>
    </row>
    <row r="189">
      <c r="A189" s="9" t="s">
        <v>33790</v>
      </c>
      <c r="B189" s="9" t="s">
        <v>33791</v>
      </c>
      <c r="D189" s="9" t="s">
        <v>33792</v>
      </c>
      <c r="G189" s="9" t="s">
        <v>33792</v>
      </c>
      <c r="J189" s="9" t="s">
        <v>33793</v>
      </c>
    </row>
    <row r="190">
      <c r="A190" s="9" t="s">
        <v>33794</v>
      </c>
      <c r="B190" s="9" t="s">
        <v>33795</v>
      </c>
      <c r="D190" s="9" t="s">
        <v>33796</v>
      </c>
      <c r="G190" s="9" t="s">
        <v>33796</v>
      </c>
      <c r="J190" s="9" t="s">
        <v>33797</v>
      </c>
    </row>
    <row r="191">
      <c r="A191" s="9" t="s">
        <v>33798</v>
      </c>
      <c r="B191" s="9" t="s">
        <v>33799</v>
      </c>
      <c r="D191" s="9" t="s">
        <v>33800</v>
      </c>
      <c r="G191" s="9" t="s">
        <v>33800</v>
      </c>
      <c r="J191" s="9" t="s">
        <v>33801</v>
      </c>
    </row>
    <row r="192">
      <c r="A192" s="9" t="s">
        <v>33802</v>
      </c>
      <c r="B192" s="9" t="s">
        <v>33803</v>
      </c>
      <c r="D192" s="9" t="s">
        <v>33804</v>
      </c>
      <c r="G192" s="9" t="s">
        <v>33804</v>
      </c>
      <c r="J192" s="9" t="s">
        <v>33805</v>
      </c>
    </row>
    <row r="193">
      <c r="A193" s="9" t="s">
        <v>33806</v>
      </c>
      <c r="B193" s="9" t="s">
        <v>33807</v>
      </c>
      <c r="D193" s="9" t="s">
        <v>33808</v>
      </c>
      <c r="G193" s="9" t="s">
        <v>33808</v>
      </c>
      <c r="J193" s="9" t="s">
        <v>33809</v>
      </c>
    </row>
    <row r="194">
      <c r="A194" s="9" t="s">
        <v>33810</v>
      </c>
      <c r="B194" s="9" t="s">
        <v>33811</v>
      </c>
      <c r="D194" s="9" t="s">
        <v>33812</v>
      </c>
      <c r="G194" s="9" t="s">
        <v>33812</v>
      </c>
      <c r="J194" s="9" t="s">
        <v>33813</v>
      </c>
    </row>
    <row r="195">
      <c r="A195" s="9" t="s">
        <v>33814</v>
      </c>
      <c r="B195" s="9" t="s">
        <v>33815</v>
      </c>
      <c r="D195" s="9" t="s">
        <v>33816</v>
      </c>
      <c r="G195" s="9" t="s">
        <v>33816</v>
      </c>
      <c r="J195" s="9" t="s">
        <v>33817</v>
      </c>
    </row>
    <row r="196">
      <c r="A196" s="9" t="s">
        <v>33818</v>
      </c>
      <c r="B196" s="9" t="s">
        <v>33819</v>
      </c>
      <c r="D196" s="9" t="s">
        <v>33820</v>
      </c>
      <c r="G196" s="9" t="s">
        <v>33820</v>
      </c>
      <c r="J196" s="9" t="s">
        <v>33821</v>
      </c>
    </row>
    <row r="197">
      <c r="A197" s="9" t="s">
        <v>33822</v>
      </c>
      <c r="B197" s="9" t="s">
        <v>33823</v>
      </c>
      <c r="D197" s="9" t="s">
        <v>33824</v>
      </c>
      <c r="G197" s="9" t="s">
        <v>33824</v>
      </c>
      <c r="J197" s="9" t="s">
        <v>33825</v>
      </c>
    </row>
    <row r="198">
      <c r="A198" s="9" t="s">
        <v>33826</v>
      </c>
      <c r="B198" s="9" t="s">
        <v>33827</v>
      </c>
      <c r="D198" s="9" t="s">
        <v>33828</v>
      </c>
      <c r="G198" s="9" t="s">
        <v>33828</v>
      </c>
      <c r="J198" s="9" t="s">
        <v>33829</v>
      </c>
    </row>
    <row r="199">
      <c r="A199" s="9" t="s">
        <v>33830</v>
      </c>
      <c r="B199" s="9" t="s">
        <v>33831</v>
      </c>
      <c r="D199" s="9" t="s">
        <v>33832</v>
      </c>
      <c r="G199" s="9" t="s">
        <v>33832</v>
      </c>
      <c r="J199" s="9" t="s">
        <v>33833</v>
      </c>
    </row>
    <row r="200">
      <c r="A200" s="9" t="s">
        <v>33834</v>
      </c>
      <c r="B200" s="9" t="s">
        <v>33835</v>
      </c>
      <c r="D200" s="9" t="s">
        <v>33836</v>
      </c>
      <c r="G200" s="9" t="s">
        <v>33836</v>
      </c>
      <c r="J200" s="9" t="s">
        <v>33837</v>
      </c>
    </row>
    <row r="201">
      <c r="A201" s="9" t="s">
        <v>33838</v>
      </c>
      <c r="B201" s="9" t="s">
        <v>33839</v>
      </c>
      <c r="D201" s="9" t="s">
        <v>33840</v>
      </c>
      <c r="G201" s="9" t="s">
        <v>33840</v>
      </c>
      <c r="J201" s="9" t="s">
        <v>33841</v>
      </c>
    </row>
    <row r="202">
      <c r="A202" s="9" t="s">
        <v>33842</v>
      </c>
      <c r="B202" s="9" t="s">
        <v>33843</v>
      </c>
      <c r="D202" s="9" t="s">
        <v>33844</v>
      </c>
      <c r="G202" s="9" t="s">
        <v>33844</v>
      </c>
      <c r="J202" s="9" t="s">
        <v>33845</v>
      </c>
    </row>
    <row r="203">
      <c r="A203" s="9" t="s">
        <v>33846</v>
      </c>
      <c r="B203" s="9" t="s">
        <v>33847</v>
      </c>
      <c r="D203" s="9" t="s">
        <v>33848</v>
      </c>
      <c r="G203" s="9" t="s">
        <v>33848</v>
      </c>
      <c r="J203" s="9" t="s">
        <v>33849</v>
      </c>
    </row>
    <row r="204">
      <c r="A204" s="9" t="s">
        <v>33850</v>
      </c>
      <c r="B204" s="9" t="s">
        <v>33851</v>
      </c>
      <c r="D204" s="9" t="s">
        <v>33852</v>
      </c>
      <c r="G204" s="9" t="s">
        <v>33852</v>
      </c>
      <c r="J204" s="9" t="s">
        <v>33853</v>
      </c>
    </row>
    <row r="205">
      <c r="A205" s="9" t="s">
        <v>33854</v>
      </c>
      <c r="B205" s="9" t="s">
        <v>33855</v>
      </c>
      <c r="D205" s="9" t="s">
        <v>33856</v>
      </c>
      <c r="G205" s="9" t="s">
        <v>33857</v>
      </c>
      <c r="J205" s="9" t="s">
        <v>33853</v>
      </c>
    </row>
    <row r="206">
      <c r="A206" s="9" t="s">
        <v>33858</v>
      </c>
      <c r="B206" s="9" t="s">
        <v>33859</v>
      </c>
      <c r="D206" s="9" t="s">
        <v>33860</v>
      </c>
      <c r="G206" s="9" t="s">
        <v>33861</v>
      </c>
      <c r="J206" s="9" t="s">
        <v>33862</v>
      </c>
    </row>
    <row r="207">
      <c r="A207" s="9" t="s">
        <v>33863</v>
      </c>
      <c r="B207" s="9" t="s">
        <v>33864</v>
      </c>
      <c r="D207" s="9" t="s">
        <v>33865</v>
      </c>
      <c r="G207" s="9" t="s">
        <v>33866</v>
      </c>
      <c r="J207" s="9" t="s">
        <v>33867</v>
      </c>
    </row>
    <row r="208">
      <c r="A208" s="9" t="s">
        <v>33868</v>
      </c>
      <c r="B208" s="9" t="s">
        <v>33869</v>
      </c>
      <c r="D208" s="9" t="s">
        <v>33870</v>
      </c>
      <c r="G208" s="9" t="s">
        <v>33870</v>
      </c>
      <c r="J208" s="9" t="s">
        <v>33871</v>
      </c>
    </row>
    <row r="209">
      <c r="A209" s="9" t="s">
        <v>33872</v>
      </c>
      <c r="B209" s="9" t="s">
        <v>33873</v>
      </c>
      <c r="D209" s="9" t="s">
        <v>33874</v>
      </c>
      <c r="G209" s="9" t="s">
        <v>33875</v>
      </c>
      <c r="J209" s="9" t="s">
        <v>33876</v>
      </c>
    </row>
    <row r="210">
      <c r="A210" s="9" t="s">
        <v>33877</v>
      </c>
      <c r="B210" s="9" t="s">
        <v>33878</v>
      </c>
      <c r="D210" s="9" t="s">
        <v>33879</v>
      </c>
      <c r="G210" s="9" t="s">
        <v>33879</v>
      </c>
      <c r="J210" s="9" t="s">
        <v>33880</v>
      </c>
    </row>
    <row r="211">
      <c r="A211" s="9" t="s">
        <v>33881</v>
      </c>
      <c r="B211" s="9" t="s">
        <v>33882</v>
      </c>
      <c r="D211" s="9" t="s">
        <v>33883</v>
      </c>
      <c r="G211" s="9" t="s">
        <v>33883</v>
      </c>
      <c r="J211" s="9" t="s">
        <v>33884</v>
      </c>
    </row>
    <row r="212">
      <c r="A212" s="9" t="s">
        <v>33885</v>
      </c>
      <c r="B212" s="9" t="s">
        <v>33886</v>
      </c>
      <c r="D212" s="9" t="s">
        <v>33887</v>
      </c>
      <c r="G212" s="9" t="s">
        <v>33887</v>
      </c>
      <c r="J212" s="9" t="s">
        <v>33888</v>
      </c>
    </row>
    <row r="213">
      <c r="A213" s="9" t="s">
        <v>33889</v>
      </c>
      <c r="B213" s="9" t="s">
        <v>33890</v>
      </c>
      <c r="D213" s="9" t="s">
        <v>33891</v>
      </c>
      <c r="G213" s="9" t="s">
        <v>33891</v>
      </c>
      <c r="J213" s="9" t="s">
        <v>33892</v>
      </c>
    </row>
    <row r="214">
      <c r="A214" s="9" t="s">
        <v>33893</v>
      </c>
      <c r="B214" s="9" t="s">
        <v>33894</v>
      </c>
      <c r="D214" s="9" t="s">
        <v>33895</v>
      </c>
      <c r="G214" s="9" t="s">
        <v>33895</v>
      </c>
      <c r="J214" s="9" t="s">
        <v>33896</v>
      </c>
    </row>
    <row r="215">
      <c r="A215" s="9" t="s">
        <v>33897</v>
      </c>
      <c r="B215" s="9" t="s">
        <v>33898</v>
      </c>
      <c r="D215" s="9" t="s">
        <v>33899</v>
      </c>
      <c r="G215" s="9" t="s">
        <v>33899</v>
      </c>
      <c r="J215" s="9" t="s">
        <v>33900</v>
      </c>
    </row>
    <row r="216">
      <c r="A216" s="9" t="s">
        <v>33901</v>
      </c>
      <c r="B216" s="9" t="s">
        <v>33902</v>
      </c>
      <c r="D216" s="9" t="s">
        <v>33903</v>
      </c>
      <c r="G216" s="9" t="s">
        <v>33903</v>
      </c>
      <c r="J216" s="9" t="s">
        <v>33904</v>
      </c>
    </row>
    <row r="217">
      <c r="A217" s="9" t="s">
        <v>33905</v>
      </c>
      <c r="B217" s="9" t="s">
        <v>33906</v>
      </c>
      <c r="D217" s="9" t="s">
        <v>33907</v>
      </c>
      <c r="G217" s="9" t="s">
        <v>33907</v>
      </c>
      <c r="J217" s="9" t="s">
        <v>33908</v>
      </c>
    </row>
    <row r="218">
      <c r="A218" s="9" t="s">
        <v>33909</v>
      </c>
      <c r="B218" s="9" t="s">
        <v>33910</v>
      </c>
      <c r="D218" s="9" t="s">
        <v>33911</v>
      </c>
      <c r="G218" s="9" t="s">
        <v>33912</v>
      </c>
      <c r="J218" s="9" t="s">
        <v>33913</v>
      </c>
    </row>
    <row r="219">
      <c r="A219" s="9" t="s">
        <v>33914</v>
      </c>
      <c r="B219" s="9" t="s">
        <v>33915</v>
      </c>
      <c r="D219" s="9" t="s">
        <v>33916</v>
      </c>
      <c r="G219" s="9" t="s">
        <v>33917</v>
      </c>
      <c r="J219" s="9" t="s">
        <v>33918</v>
      </c>
    </row>
    <row r="220">
      <c r="A220" s="9" t="s">
        <v>33919</v>
      </c>
      <c r="B220" s="9" t="s">
        <v>33920</v>
      </c>
      <c r="D220" s="9" t="s">
        <v>33921</v>
      </c>
      <c r="G220" s="9" t="s">
        <v>33922</v>
      </c>
      <c r="J220" s="9" t="s">
        <v>33923</v>
      </c>
    </row>
    <row r="221">
      <c r="A221" s="9" t="s">
        <v>33924</v>
      </c>
      <c r="B221" s="9" t="s">
        <v>33925</v>
      </c>
      <c r="D221" s="9" t="s">
        <v>33926</v>
      </c>
      <c r="G221" s="9" t="s">
        <v>33927</v>
      </c>
      <c r="J221" s="9" t="s">
        <v>33928</v>
      </c>
    </row>
    <row r="222">
      <c r="A222" s="9" t="s">
        <v>33929</v>
      </c>
      <c r="B222" s="9" t="s">
        <v>33930</v>
      </c>
      <c r="D222" s="9" t="s">
        <v>33931</v>
      </c>
      <c r="G222" s="9" t="s">
        <v>33931</v>
      </c>
      <c r="J222" s="9" t="s">
        <v>33932</v>
      </c>
    </row>
    <row r="223">
      <c r="A223" s="9" t="s">
        <v>33933</v>
      </c>
      <c r="B223" s="9" t="s">
        <v>33934</v>
      </c>
      <c r="D223" s="9" t="s">
        <v>33935</v>
      </c>
      <c r="G223" s="9" t="s">
        <v>33935</v>
      </c>
      <c r="J223" s="9" t="s">
        <v>33936</v>
      </c>
    </row>
    <row r="224">
      <c r="A224" s="9" t="s">
        <v>33937</v>
      </c>
      <c r="B224" s="9" t="s">
        <v>33938</v>
      </c>
      <c r="D224" s="9" t="s">
        <v>33935</v>
      </c>
      <c r="G224" s="9" t="s">
        <v>33935</v>
      </c>
      <c r="J224" s="9" t="s">
        <v>33939</v>
      </c>
    </row>
    <row r="225">
      <c r="A225" s="9" t="s">
        <v>33940</v>
      </c>
      <c r="B225" s="9" t="s">
        <v>33941</v>
      </c>
      <c r="D225" s="9" t="s">
        <v>33942</v>
      </c>
      <c r="G225" s="9" t="s">
        <v>33942</v>
      </c>
      <c r="J225" s="9" t="s">
        <v>33943</v>
      </c>
    </row>
    <row r="226">
      <c r="A226" s="9" t="s">
        <v>33944</v>
      </c>
      <c r="B226" s="9" t="s">
        <v>33945</v>
      </c>
      <c r="D226" s="9" t="s">
        <v>33946</v>
      </c>
      <c r="G226" s="9" t="s">
        <v>33947</v>
      </c>
      <c r="J226" s="9" t="s">
        <v>33948</v>
      </c>
    </row>
    <row r="227">
      <c r="A227" s="9" t="s">
        <v>33949</v>
      </c>
      <c r="B227" s="9" t="s">
        <v>33950</v>
      </c>
      <c r="D227" s="9" t="s">
        <v>33951</v>
      </c>
      <c r="G227" s="9" t="s">
        <v>33951</v>
      </c>
      <c r="J227" s="9" t="s">
        <v>33952</v>
      </c>
    </row>
    <row r="228">
      <c r="A228" s="9" t="s">
        <v>33953</v>
      </c>
      <c r="B228" s="9" t="s">
        <v>33954</v>
      </c>
      <c r="D228" s="9" t="s">
        <v>33955</v>
      </c>
      <c r="G228" s="9" t="s">
        <v>33956</v>
      </c>
      <c r="J228" s="9" t="s">
        <v>33957</v>
      </c>
    </row>
    <row r="229">
      <c r="A229" s="9" t="s">
        <v>33958</v>
      </c>
      <c r="B229" s="9" t="s">
        <v>33959</v>
      </c>
      <c r="D229" s="9" t="s">
        <v>33960</v>
      </c>
      <c r="G229" s="9" t="s">
        <v>33961</v>
      </c>
      <c r="J229" s="9" t="s">
        <v>33962</v>
      </c>
    </row>
    <row r="230">
      <c r="A230" s="9" t="s">
        <v>33963</v>
      </c>
      <c r="B230" s="9" t="s">
        <v>33964</v>
      </c>
      <c r="D230" s="9" t="s">
        <v>33965</v>
      </c>
      <c r="G230" s="9" t="s">
        <v>33965</v>
      </c>
      <c r="J230" s="9" t="s">
        <v>33966</v>
      </c>
    </row>
    <row r="231">
      <c r="A231" s="9" t="s">
        <v>33967</v>
      </c>
      <c r="B231" s="9" t="s">
        <v>33968</v>
      </c>
      <c r="D231" s="9" t="s">
        <v>33969</v>
      </c>
      <c r="G231" s="9" t="s">
        <v>33969</v>
      </c>
      <c r="J231" s="9" t="s">
        <v>33970</v>
      </c>
    </row>
    <row r="232">
      <c r="A232" s="9" t="s">
        <v>33971</v>
      </c>
      <c r="B232" s="9" t="s">
        <v>33972</v>
      </c>
      <c r="D232" s="9" t="s">
        <v>33973</v>
      </c>
      <c r="G232" s="9" t="s">
        <v>33973</v>
      </c>
      <c r="J232" s="9" t="s">
        <v>33974</v>
      </c>
    </row>
    <row r="233">
      <c r="A233" s="9" t="s">
        <v>33975</v>
      </c>
      <c r="B233" s="9" t="s">
        <v>33976</v>
      </c>
      <c r="D233" s="9" t="s">
        <v>33977</v>
      </c>
      <c r="G233" s="9" t="s">
        <v>33977</v>
      </c>
      <c r="J233" s="9" t="s">
        <v>33978</v>
      </c>
    </row>
    <row r="234">
      <c r="A234" s="9" t="s">
        <v>33979</v>
      </c>
      <c r="B234" s="9" t="s">
        <v>33980</v>
      </c>
      <c r="D234" s="9" t="s">
        <v>33981</v>
      </c>
      <c r="G234" s="9" t="s">
        <v>33981</v>
      </c>
      <c r="J234" s="9" t="s">
        <v>33982</v>
      </c>
    </row>
    <row r="235">
      <c r="A235" s="9" t="s">
        <v>33983</v>
      </c>
      <c r="B235" s="9" t="s">
        <v>33984</v>
      </c>
      <c r="D235" s="9" t="s">
        <v>33985</v>
      </c>
      <c r="G235" s="9" t="s">
        <v>33985</v>
      </c>
      <c r="J235" s="9" t="s">
        <v>33986</v>
      </c>
    </row>
    <row r="236">
      <c r="A236" s="9" t="s">
        <v>33987</v>
      </c>
      <c r="B236" s="9" t="s">
        <v>33988</v>
      </c>
      <c r="D236" s="9" t="s">
        <v>33989</v>
      </c>
      <c r="G236" s="9" t="s">
        <v>33989</v>
      </c>
      <c r="J236" s="9" t="s">
        <v>33990</v>
      </c>
    </row>
    <row r="237">
      <c r="A237" s="9" t="s">
        <v>33991</v>
      </c>
      <c r="B237" s="9" t="s">
        <v>33992</v>
      </c>
      <c r="D237" s="9" t="s">
        <v>33993</v>
      </c>
      <c r="G237" s="9" t="s">
        <v>33993</v>
      </c>
      <c r="J237" s="9" t="s">
        <v>33994</v>
      </c>
    </row>
    <row r="238">
      <c r="A238" s="9" t="s">
        <v>33995</v>
      </c>
      <c r="B238" s="9" t="s">
        <v>33996</v>
      </c>
      <c r="D238" s="9" t="s">
        <v>33997</v>
      </c>
      <c r="G238" s="9" t="s">
        <v>33997</v>
      </c>
      <c r="J238" s="9" t="s">
        <v>33998</v>
      </c>
    </row>
    <row r="239">
      <c r="A239" s="9" t="s">
        <v>33999</v>
      </c>
      <c r="B239" s="9" t="s">
        <v>34000</v>
      </c>
      <c r="D239" s="9" t="s">
        <v>34001</v>
      </c>
      <c r="G239" s="9" t="s">
        <v>34001</v>
      </c>
      <c r="J239" s="9" t="s">
        <v>34002</v>
      </c>
    </row>
    <row r="240">
      <c r="A240" s="9" t="s">
        <v>34003</v>
      </c>
      <c r="B240" s="9" t="s">
        <v>34004</v>
      </c>
      <c r="D240" s="9" t="s">
        <v>34005</v>
      </c>
      <c r="G240" s="9" t="s">
        <v>34005</v>
      </c>
      <c r="J240" s="9" t="s">
        <v>34006</v>
      </c>
    </row>
    <row r="241">
      <c r="A241" s="9" t="s">
        <v>34007</v>
      </c>
      <c r="B241" s="9" t="s">
        <v>34008</v>
      </c>
      <c r="D241" s="9" t="s">
        <v>34009</v>
      </c>
      <c r="G241" s="9" t="s">
        <v>34009</v>
      </c>
      <c r="J241" s="9" t="s">
        <v>34010</v>
      </c>
    </row>
    <row r="242">
      <c r="A242" s="9" t="s">
        <v>34011</v>
      </c>
      <c r="B242" s="9" t="s">
        <v>34012</v>
      </c>
      <c r="D242" s="9" t="s">
        <v>34013</v>
      </c>
      <c r="G242" s="9" t="s">
        <v>34013</v>
      </c>
      <c r="J242" s="9" t="s">
        <v>34014</v>
      </c>
    </row>
    <row r="243">
      <c r="A243" s="9" t="s">
        <v>34015</v>
      </c>
      <c r="B243" s="9" t="s">
        <v>34016</v>
      </c>
      <c r="D243" s="9" t="s">
        <v>34017</v>
      </c>
      <c r="G243" s="9" t="s">
        <v>34017</v>
      </c>
      <c r="J243" s="9" t="s">
        <v>34018</v>
      </c>
    </row>
    <row r="244">
      <c r="A244" s="9" t="s">
        <v>34019</v>
      </c>
      <c r="B244" s="9" t="s">
        <v>34020</v>
      </c>
      <c r="D244" s="9" t="s">
        <v>34021</v>
      </c>
      <c r="G244" s="9" t="s">
        <v>34021</v>
      </c>
      <c r="J244" s="9" t="s">
        <v>34022</v>
      </c>
    </row>
    <row r="245">
      <c r="A245" s="9" t="s">
        <v>34023</v>
      </c>
      <c r="B245" s="9" t="s">
        <v>34024</v>
      </c>
      <c r="D245" s="9" t="s">
        <v>34025</v>
      </c>
      <c r="G245" s="9" t="s">
        <v>34025</v>
      </c>
      <c r="J245" s="9" t="s">
        <v>34026</v>
      </c>
    </row>
    <row r="246">
      <c r="A246" s="9" t="s">
        <v>34027</v>
      </c>
      <c r="B246" s="9" t="s">
        <v>34028</v>
      </c>
      <c r="D246" s="9" t="s">
        <v>34029</v>
      </c>
      <c r="G246" s="9" t="s">
        <v>34029</v>
      </c>
      <c r="J246" s="9" t="s">
        <v>34030</v>
      </c>
    </row>
    <row r="247">
      <c r="A247" s="9" t="s">
        <v>34031</v>
      </c>
      <c r="B247" s="9" t="s">
        <v>34032</v>
      </c>
      <c r="D247" s="9" t="s">
        <v>34033</v>
      </c>
      <c r="G247" s="9" t="s">
        <v>34033</v>
      </c>
      <c r="J247" s="9" t="s">
        <v>34034</v>
      </c>
    </row>
    <row r="248">
      <c r="A248" s="9" t="s">
        <v>34035</v>
      </c>
      <c r="B248" s="9" t="s">
        <v>34036</v>
      </c>
      <c r="D248" s="9" t="s">
        <v>34037</v>
      </c>
      <c r="G248" s="9" t="s">
        <v>34037</v>
      </c>
      <c r="J248" s="9" t="s">
        <v>34038</v>
      </c>
    </row>
    <row r="249">
      <c r="A249" s="9" t="s">
        <v>34039</v>
      </c>
      <c r="B249" s="9" t="s">
        <v>34040</v>
      </c>
      <c r="D249" s="9" t="s">
        <v>34041</v>
      </c>
      <c r="G249" s="9" t="s">
        <v>34041</v>
      </c>
      <c r="J249" s="9" t="s">
        <v>34042</v>
      </c>
    </row>
    <row r="250">
      <c r="A250" s="9" t="s">
        <v>34043</v>
      </c>
      <c r="B250" s="9" t="s">
        <v>34044</v>
      </c>
      <c r="D250" s="9" t="s">
        <v>33856</v>
      </c>
      <c r="G250" s="9" t="s">
        <v>33856</v>
      </c>
      <c r="J250" s="9" t="s">
        <v>34014</v>
      </c>
    </row>
    <row r="251">
      <c r="A251" s="9" t="s">
        <v>34045</v>
      </c>
      <c r="B251" s="9" t="s">
        <v>34046</v>
      </c>
      <c r="D251" s="9" t="s">
        <v>34047</v>
      </c>
      <c r="G251" s="9" t="s">
        <v>34047</v>
      </c>
      <c r="J251" s="9" t="s">
        <v>34048</v>
      </c>
    </row>
    <row r="252">
      <c r="A252" s="9" t="s">
        <v>34049</v>
      </c>
      <c r="B252" s="9" t="s">
        <v>34050</v>
      </c>
      <c r="D252" s="9" t="s">
        <v>34051</v>
      </c>
      <c r="G252" s="9" t="s">
        <v>34051</v>
      </c>
      <c r="J252" s="9" t="s">
        <v>34052</v>
      </c>
    </row>
    <row r="253">
      <c r="A253" s="9" t="s">
        <v>34053</v>
      </c>
      <c r="B253" s="9" t="s">
        <v>34054</v>
      </c>
      <c r="D253" s="9" t="s">
        <v>34055</v>
      </c>
      <c r="G253" s="9" t="s">
        <v>34055</v>
      </c>
      <c r="J253" s="9" t="s">
        <v>34056</v>
      </c>
    </row>
    <row r="254">
      <c r="A254" s="9" t="s">
        <v>34057</v>
      </c>
      <c r="B254" s="9" t="s">
        <v>34058</v>
      </c>
      <c r="D254" s="9" t="s">
        <v>34059</v>
      </c>
      <c r="G254" s="9" t="s">
        <v>34059</v>
      </c>
      <c r="J254" s="9" t="s">
        <v>34060</v>
      </c>
    </row>
    <row r="255">
      <c r="A255" s="9" t="s">
        <v>34061</v>
      </c>
      <c r="B255" s="9" t="s">
        <v>34062</v>
      </c>
      <c r="D255" s="9" t="s">
        <v>34063</v>
      </c>
      <c r="G255" s="9" t="s">
        <v>34063</v>
      </c>
      <c r="J255" s="9" t="s">
        <v>34064</v>
      </c>
    </row>
    <row r="256">
      <c r="A256" s="9" t="s">
        <v>34065</v>
      </c>
      <c r="B256" s="9" t="s">
        <v>34066</v>
      </c>
      <c r="D256" s="9" t="s">
        <v>34067</v>
      </c>
      <c r="G256" s="9" t="s">
        <v>34067</v>
      </c>
      <c r="J256" s="9" t="s">
        <v>34038</v>
      </c>
    </row>
    <row r="257">
      <c r="A257" s="9" t="s">
        <v>34068</v>
      </c>
      <c r="B257" s="9" t="s">
        <v>34069</v>
      </c>
      <c r="D257" s="9" t="s">
        <v>34070</v>
      </c>
      <c r="G257" s="9" t="s">
        <v>34070</v>
      </c>
      <c r="J257" s="9" t="s">
        <v>34071</v>
      </c>
    </row>
    <row r="258">
      <c r="A258" s="9" t="s">
        <v>34072</v>
      </c>
      <c r="B258" s="9" t="s">
        <v>34073</v>
      </c>
      <c r="D258" s="9" t="s">
        <v>34074</v>
      </c>
      <c r="G258" s="9" t="s">
        <v>34074</v>
      </c>
      <c r="J258" s="9" t="s">
        <v>34075</v>
      </c>
    </row>
    <row r="259">
      <c r="A259" s="9" t="s">
        <v>34076</v>
      </c>
      <c r="B259" s="9" t="s">
        <v>34077</v>
      </c>
      <c r="D259" s="9" t="s">
        <v>34078</v>
      </c>
      <c r="G259" s="9" t="s">
        <v>34078</v>
      </c>
      <c r="J259" s="9" t="s">
        <v>34079</v>
      </c>
    </row>
    <row r="260">
      <c r="A260" s="9" t="s">
        <v>34080</v>
      </c>
      <c r="B260" s="9" t="s">
        <v>34081</v>
      </c>
      <c r="D260" s="9" t="s">
        <v>34082</v>
      </c>
      <c r="G260" s="9" t="s">
        <v>34083</v>
      </c>
      <c r="J260" s="9" t="s">
        <v>34084</v>
      </c>
    </row>
    <row r="261">
      <c r="A261" s="9" t="s">
        <v>34085</v>
      </c>
      <c r="B261" s="9" t="s">
        <v>34086</v>
      </c>
      <c r="D261" s="9" t="s">
        <v>34087</v>
      </c>
      <c r="G261" s="9" t="s">
        <v>34088</v>
      </c>
      <c r="J261" s="9" t="s">
        <v>34089</v>
      </c>
    </row>
    <row r="262">
      <c r="A262" s="9" t="s">
        <v>34090</v>
      </c>
      <c r="B262" s="9" t="s">
        <v>34091</v>
      </c>
      <c r="D262" s="9" t="s">
        <v>33634</v>
      </c>
      <c r="G262" s="9" t="s">
        <v>33634</v>
      </c>
      <c r="J262" s="9" t="s">
        <v>34092</v>
      </c>
    </row>
    <row r="263">
      <c r="A263" s="9" t="s">
        <v>34093</v>
      </c>
      <c r="B263" s="9" t="s">
        <v>34094</v>
      </c>
      <c r="D263" s="9" t="s">
        <v>34095</v>
      </c>
      <c r="G263" s="9" t="s">
        <v>34096</v>
      </c>
      <c r="J263" s="9" t="s">
        <v>34097</v>
      </c>
    </row>
    <row r="264">
      <c r="A264" s="9" t="s">
        <v>34098</v>
      </c>
      <c r="B264" s="9" t="s">
        <v>34099</v>
      </c>
      <c r="D264" s="9" t="s">
        <v>34100</v>
      </c>
      <c r="G264" s="9" t="s">
        <v>34101</v>
      </c>
      <c r="J264" s="9" t="s">
        <v>34102</v>
      </c>
    </row>
    <row r="265">
      <c r="A265" s="9" t="s">
        <v>34103</v>
      </c>
      <c r="B265" s="9" t="s">
        <v>34104</v>
      </c>
      <c r="D265" s="9" t="s">
        <v>34104</v>
      </c>
      <c r="G265" s="9" t="s">
        <v>34104</v>
      </c>
      <c r="J265" s="9" t="s">
        <v>34105</v>
      </c>
    </row>
    <row r="266">
      <c r="A266" s="9" t="s">
        <v>34106</v>
      </c>
      <c r="B266" s="9" t="s">
        <v>34107</v>
      </c>
      <c r="D266" s="9" t="s">
        <v>34107</v>
      </c>
      <c r="G266" s="9" t="s">
        <v>34108</v>
      </c>
      <c r="J266" s="9" t="s">
        <v>34107</v>
      </c>
    </row>
    <row r="267">
      <c r="A267" s="9" t="s">
        <v>34109</v>
      </c>
      <c r="B267" s="9" t="s">
        <v>34110</v>
      </c>
      <c r="D267" s="9" t="s">
        <v>34110</v>
      </c>
      <c r="G267" s="9" t="s">
        <v>34110</v>
      </c>
      <c r="J267" s="9" t="s">
        <v>34110</v>
      </c>
    </row>
    <row r="268">
      <c r="A268" s="9" t="s">
        <v>34111</v>
      </c>
      <c r="B268" s="9" t="s">
        <v>34112</v>
      </c>
      <c r="D268" s="9" t="s">
        <v>34112</v>
      </c>
      <c r="G268" s="9" t="s">
        <v>34112</v>
      </c>
      <c r="J268" s="9" t="s">
        <v>34112</v>
      </c>
    </row>
    <row r="269">
      <c r="A269" s="9" t="s">
        <v>34113</v>
      </c>
      <c r="B269" s="9" t="s">
        <v>34114</v>
      </c>
      <c r="D269" s="9" t="s">
        <v>34114</v>
      </c>
      <c r="G269" s="9" t="s">
        <v>34114</v>
      </c>
      <c r="J269" s="9" t="s">
        <v>34114</v>
      </c>
    </row>
    <row r="270">
      <c r="A270" s="9" t="s">
        <v>34115</v>
      </c>
      <c r="B270" s="9" t="s">
        <v>34116</v>
      </c>
      <c r="G270" s="9" t="s">
        <v>34116</v>
      </c>
    </row>
    <row r="271">
      <c r="A271" s="9" t="s">
        <v>34117</v>
      </c>
      <c r="B271" s="9" t="s">
        <v>34118</v>
      </c>
      <c r="D271" s="9" t="s">
        <v>34118</v>
      </c>
      <c r="G271" s="9" t="s">
        <v>34118</v>
      </c>
      <c r="J271" s="9" t="s">
        <v>34118</v>
      </c>
    </row>
    <row r="272">
      <c r="A272" s="9" t="s">
        <v>34119</v>
      </c>
      <c r="B272" s="9" t="s">
        <v>34120</v>
      </c>
      <c r="D272" s="9" t="s">
        <v>34120</v>
      </c>
      <c r="G272" s="9" t="s">
        <v>34120</v>
      </c>
      <c r="J272" s="9" t="s">
        <v>34120</v>
      </c>
    </row>
    <row r="273">
      <c r="A273" s="9" t="s">
        <v>34121</v>
      </c>
      <c r="B273" s="9" t="s">
        <v>34122</v>
      </c>
      <c r="D273" s="9" t="s">
        <v>34122</v>
      </c>
      <c r="G273" s="9" t="s">
        <v>34123</v>
      </c>
      <c r="J273" s="9" t="s">
        <v>34122</v>
      </c>
    </row>
    <row r="274">
      <c r="A274" s="9" t="s">
        <v>34124</v>
      </c>
      <c r="B274" s="9" t="s">
        <v>34125</v>
      </c>
      <c r="D274" s="9" t="s">
        <v>34125</v>
      </c>
      <c r="G274" s="9" t="s">
        <v>34126</v>
      </c>
      <c r="J274" s="9" t="s">
        <v>34125</v>
      </c>
    </row>
    <row r="275">
      <c r="A275" s="9" t="s">
        <v>34127</v>
      </c>
      <c r="B275" s="9" t="s">
        <v>34128</v>
      </c>
      <c r="D275" s="9" t="s">
        <v>34128</v>
      </c>
      <c r="G275" s="9" t="s">
        <v>34129</v>
      </c>
      <c r="J275" s="9" t="s">
        <v>34130</v>
      </c>
    </row>
    <row r="276">
      <c r="A276" s="9" t="s">
        <v>34131</v>
      </c>
      <c r="B276" s="9" t="s">
        <v>34132</v>
      </c>
      <c r="D276" s="9" t="s">
        <v>34132</v>
      </c>
      <c r="G276" s="9" t="s">
        <v>34133</v>
      </c>
      <c r="J276" s="9" t="s">
        <v>34132</v>
      </c>
    </row>
    <row r="277">
      <c r="A277" s="9" t="s">
        <v>34134</v>
      </c>
      <c r="B277" s="9" t="s">
        <v>34135</v>
      </c>
      <c r="D277" s="9" t="s">
        <v>34136</v>
      </c>
      <c r="G277" s="9" t="s">
        <v>34136</v>
      </c>
      <c r="J277" s="9" t="s">
        <v>34137</v>
      </c>
    </row>
    <row r="278">
      <c r="A278" s="9" t="s">
        <v>34138</v>
      </c>
      <c r="B278" s="9" t="s">
        <v>34139</v>
      </c>
      <c r="D278" s="9" t="s">
        <v>34140</v>
      </c>
      <c r="G278" s="9" t="s">
        <v>34140</v>
      </c>
      <c r="J278" s="9" t="s">
        <v>34139</v>
      </c>
    </row>
    <row r="279">
      <c r="A279" s="9" t="s">
        <v>34141</v>
      </c>
      <c r="B279" s="9" t="s">
        <v>34142</v>
      </c>
      <c r="D279" s="9" t="s">
        <v>34142</v>
      </c>
      <c r="G279" s="9" t="s">
        <v>34142</v>
      </c>
      <c r="J279" s="9" t="s">
        <v>34142</v>
      </c>
    </row>
    <row r="280">
      <c r="A280" s="9" t="s">
        <v>34143</v>
      </c>
      <c r="B280" s="9" t="s">
        <v>34144</v>
      </c>
      <c r="D280" s="9" t="s">
        <v>34144</v>
      </c>
      <c r="G280" s="9" t="s">
        <v>34144</v>
      </c>
      <c r="J280" s="9" t="s">
        <v>34144</v>
      </c>
    </row>
    <row r="281">
      <c r="A281" s="9" t="s">
        <v>34145</v>
      </c>
      <c r="B281" s="9" t="s">
        <v>34146</v>
      </c>
      <c r="D281" s="9" t="s">
        <v>34147</v>
      </c>
      <c r="G281" s="9" t="s">
        <v>34147</v>
      </c>
      <c r="J281" s="9" t="s">
        <v>34148</v>
      </c>
    </row>
    <row r="282">
      <c r="A282" s="9" t="s">
        <v>34149</v>
      </c>
      <c r="B282" s="9" t="s">
        <v>34150</v>
      </c>
      <c r="D282" s="9" t="s">
        <v>34151</v>
      </c>
      <c r="G282" s="9" t="s">
        <v>34152</v>
      </c>
      <c r="J282" s="9" t="s">
        <v>34153</v>
      </c>
    </row>
    <row r="283">
      <c r="A283" s="9" t="s">
        <v>34154</v>
      </c>
      <c r="B283" s="9" t="s">
        <v>34155</v>
      </c>
      <c r="D283" s="9" t="s">
        <v>34156</v>
      </c>
      <c r="G283" s="9" t="s">
        <v>34157</v>
      </c>
      <c r="J283" s="9" t="s">
        <v>34158</v>
      </c>
    </row>
    <row r="284">
      <c r="A284" s="9" t="s">
        <v>34159</v>
      </c>
      <c r="B284" s="9" t="s">
        <v>34160</v>
      </c>
      <c r="D284" s="9" t="s">
        <v>34161</v>
      </c>
      <c r="G284" s="9" t="s">
        <v>34162</v>
      </c>
      <c r="J284" s="9" t="s">
        <v>34163</v>
      </c>
    </row>
    <row r="285">
      <c r="A285" s="9" t="s">
        <v>34164</v>
      </c>
      <c r="B285" s="9" t="s">
        <v>34165</v>
      </c>
      <c r="D285" s="9" t="s">
        <v>34166</v>
      </c>
      <c r="G285" s="9" t="s">
        <v>34167</v>
      </c>
      <c r="J285" s="9" t="s">
        <v>34168</v>
      </c>
    </row>
    <row r="286">
      <c r="A286" s="9" t="s">
        <v>34169</v>
      </c>
      <c r="B286" s="9" t="s">
        <v>34170</v>
      </c>
      <c r="D286" s="9" t="s">
        <v>34171</v>
      </c>
      <c r="G286" s="9" t="s">
        <v>34172</v>
      </c>
      <c r="J286" s="9" t="s">
        <v>34173</v>
      </c>
    </row>
    <row r="287">
      <c r="A287" s="9" t="s">
        <v>34174</v>
      </c>
      <c r="B287" s="9" t="s">
        <v>34175</v>
      </c>
      <c r="D287" s="9" t="s">
        <v>34176</v>
      </c>
      <c r="G287" s="9" t="s">
        <v>34177</v>
      </c>
      <c r="J287" s="9" t="s">
        <v>34178</v>
      </c>
    </row>
    <row r="288">
      <c r="A288" s="9" t="s">
        <v>34179</v>
      </c>
      <c r="B288" s="9" t="s">
        <v>34180</v>
      </c>
      <c r="D288" s="9" t="s">
        <v>34181</v>
      </c>
      <c r="G288" s="9" t="s">
        <v>34182</v>
      </c>
      <c r="J288" s="9" t="s">
        <v>34183</v>
      </c>
    </row>
    <row r="289">
      <c r="A289" s="9" t="s">
        <v>34184</v>
      </c>
      <c r="B289" s="9" t="s">
        <v>34185</v>
      </c>
      <c r="D289" s="9" t="s">
        <v>34186</v>
      </c>
      <c r="G289" s="9" t="s">
        <v>34187</v>
      </c>
      <c r="J289" s="9" t="s">
        <v>34188</v>
      </c>
    </row>
    <row r="290">
      <c r="A290" s="9" t="s">
        <v>34189</v>
      </c>
      <c r="B290" s="9" t="s">
        <v>34190</v>
      </c>
      <c r="D290" s="9" t="s">
        <v>34191</v>
      </c>
      <c r="G290" s="9" t="s">
        <v>34192</v>
      </c>
      <c r="J290" s="9" t="s">
        <v>34193</v>
      </c>
    </row>
    <row r="291">
      <c r="A291" s="9" t="s">
        <v>34194</v>
      </c>
      <c r="B291" s="9" t="s">
        <v>34195</v>
      </c>
      <c r="D291" s="9" t="s">
        <v>34196</v>
      </c>
      <c r="G291" s="9" t="s">
        <v>34196</v>
      </c>
      <c r="J291" s="9" t="s">
        <v>34197</v>
      </c>
    </row>
    <row r="292">
      <c r="A292" s="9" t="s">
        <v>34198</v>
      </c>
      <c r="B292" s="9" t="s">
        <v>34199</v>
      </c>
      <c r="D292" s="9" t="s">
        <v>34200</v>
      </c>
      <c r="G292" s="9" t="s">
        <v>34201</v>
      </c>
      <c r="J292" s="9" t="s">
        <v>34202</v>
      </c>
    </row>
    <row r="293">
      <c r="A293" s="9" t="s">
        <v>34203</v>
      </c>
      <c r="B293" s="9" t="s">
        <v>34204</v>
      </c>
      <c r="D293" s="9" t="s">
        <v>34205</v>
      </c>
      <c r="G293" s="9" t="s">
        <v>34205</v>
      </c>
      <c r="J293" s="9" t="s">
        <v>34206</v>
      </c>
    </row>
    <row r="294">
      <c r="A294" s="9" t="s">
        <v>34207</v>
      </c>
      <c r="B294" s="9" t="s">
        <v>34208</v>
      </c>
      <c r="D294" s="9" t="s">
        <v>34209</v>
      </c>
      <c r="G294" s="9" t="s">
        <v>34209</v>
      </c>
      <c r="J294" s="9" t="s">
        <v>34210</v>
      </c>
    </row>
    <row r="295">
      <c r="A295" s="9" t="s">
        <v>34211</v>
      </c>
      <c r="B295" s="9" t="s">
        <v>34212</v>
      </c>
      <c r="D295" s="9" t="s">
        <v>33481</v>
      </c>
      <c r="G295" s="9" t="s">
        <v>33482</v>
      </c>
      <c r="J295" s="9" t="s">
        <v>34213</v>
      </c>
    </row>
    <row r="296">
      <c r="A296" s="9" t="s">
        <v>34214</v>
      </c>
      <c r="B296" s="9" t="s">
        <v>34215</v>
      </c>
      <c r="D296" s="9" t="s">
        <v>34216</v>
      </c>
      <c r="G296" s="9" t="s">
        <v>34217</v>
      </c>
      <c r="J296" s="9" t="s">
        <v>34218</v>
      </c>
    </row>
    <row r="297">
      <c r="A297" s="9" t="s">
        <v>34219</v>
      </c>
      <c r="B297" s="9" t="s">
        <v>34220</v>
      </c>
      <c r="D297" s="9" t="s">
        <v>34221</v>
      </c>
      <c r="G297" s="9" t="s">
        <v>34222</v>
      </c>
      <c r="J297" s="9" t="s">
        <v>34223</v>
      </c>
    </row>
    <row r="298">
      <c r="A298" s="9" t="s">
        <v>34224</v>
      </c>
      <c r="B298" s="9" t="s">
        <v>34225</v>
      </c>
      <c r="D298" s="9" t="s">
        <v>34226</v>
      </c>
      <c r="G298" s="9" t="s">
        <v>34227</v>
      </c>
      <c r="J298" s="9" t="s">
        <v>34228</v>
      </c>
    </row>
    <row r="299">
      <c r="A299" s="9" t="s">
        <v>34229</v>
      </c>
      <c r="B299" s="9" t="s">
        <v>34230</v>
      </c>
      <c r="D299" s="9" t="s">
        <v>34231</v>
      </c>
      <c r="G299" s="9" t="s">
        <v>34231</v>
      </c>
      <c r="J299" s="9" t="s">
        <v>34232</v>
      </c>
    </row>
    <row r="300">
      <c r="A300" s="9" t="s">
        <v>34233</v>
      </c>
      <c r="B300" s="9" t="s">
        <v>34234</v>
      </c>
      <c r="D300" s="9" t="s">
        <v>34235</v>
      </c>
      <c r="G300" s="9" t="s">
        <v>34235</v>
      </c>
      <c r="J300" s="9" t="s">
        <v>34236</v>
      </c>
    </row>
    <row r="301">
      <c r="A301" s="9" t="s">
        <v>34237</v>
      </c>
      <c r="B301" s="9" t="s">
        <v>34238</v>
      </c>
      <c r="D301" s="9" t="s">
        <v>34239</v>
      </c>
      <c r="G301" s="9" t="s">
        <v>34240</v>
      </c>
      <c r="J301" s="9" t="s">
        <v>34241</v>
      </c>
    </row>
    <row r="302">
      <c r="A302" s="9" t="s">
        <v>34242</v>
      </c>
      <c r="B302" s="9" t="s">
        <v>34243</v>
      </c>
      <c r="D302" s="9" t="s">
        <v>34244</v>
      </c>
      <c r="G302" s="9" t="s">
        <v>34245</v>
      </c>
      <c r="J302" s="9" t="s">
        <v>34246</v>
      </c>
    </row>
    <row r="303">
      <c r="A303" s="9" t="s">
        <v>34247</v>
      </c>
      <c r="B303" s="9" t="s">
        <v>34248</v>
      </c>
      <c r="D303" s="9" t="s">
        <v>34249</v>
      </c>
      <c r="G303" s="9" t="s">
        <v>34250</v>
      </c>
      <c r="J303" s="9" t="s">
        <v>34251</v>
      </c>
    </row>
    <row r="304">
      <c r="A304" s="9" t="s">
        <v>34252</v>
      </c>
      <c r="B304" s="9" t="s">
        <v>34253</v>
      </c>
      <c r="D304" s="9" t="s">
        <v>34254</v>
      </c>
      <c r="G304" s="9" t="s">
        <v>34255</v>
      </c>
      <c r="J304" s="9" t="s">
        <v>34256</v>
      </c>
    </row>
    <row r="305">
      <c r="A305" s="9" t="s">
        <v>34257</v>
      </c>
      <c r="B305" s="9" t="s">
        <v>34258</v>
      </c>
      <c r="D305" s="9" t="s">
        <v>34259</v>
      </c>
      <c r="G305" s="9" t="s">
        <v>34260</v>
      </c>
      <c r="J305" s="9" t="s">
        <v>34261</v>
      </c>
    </row>
    <row r="306">
      <c r="A306" s="9" t="s">
        <v>34262</v>
      </c>
      <c r="B306" s="9" t="s">
        <v>34263</v>
      </c>
      <c r="D306" s="9" t="s">
        <v>34264</v>
      </c>
      <c r="G306" s="9" t="s">
        <v>34265</v>
      </c>
      <c r="J306" s="9" t="s">
        <v>34266</v>
      </c>
    </row>
    <row r="307">
      <c r="A307" s="9" t="s">
        <v>34267</v>
      </c>
      <c r="B307" s="9" t="s">
        <v>34268</v>
      </c>
      <c r="D307" s="9" t="s">
        <v>34269</v>
      </c>
      <c r="G307" s="9" t="s">
        <v>34270</v>
      </c>
      <c r="J307" s="9" t="s">
        <v>34271</v>
      </c>
    </row>
    <row r="308">
      <c r="A308" s="9" t="s">
        <v>34272</v>
      </c>
      <c r="B308" s="9" t="s">
        <v>34273</v>
      </c>
      <c r="G308" s="9" t="s">
        <v>34274</v>
      </c>
    </row>
    <row r="309">
      <c r="A309" s="9" t="s">
        <v>34275</v>
      </c>
      <c r="B309" s="9" t="s">
        <v>34276</v>
      </c>
      <c r="G309" s="9" t="s">
        <v>34277</v>
      </c>
    </row>
    <row r="310">
      <c r="A310" s="9" t="s">
        <v>34278</v>
      </c>
      <c r="B310" s="9" t="s">
        <v>34279</v>
      </c>
      <c r="G310" s="9" t="s">
        <v>34280</v>
      </c>
    </row>
    <row r="311">
      <c r="A311" s="9" t="s">
        <v>34281</v>
      </c>
      <c r="B311" s="9" t="s">
        <v>34282</v>
      </c>
      <c r="G311" s="9" t="s">
        <v>34283</v>
      </c>
    </row>
    <row r="312">
      <c r="A312" s="9" t="s">
        <v>34284</v>
      </c>
      <c r="B312" s="9" t="s">
        <v>34285</v>
      </c>
      <c r="G312" s="9" t="s">
        <v>34286</v>
      </c>
    </row>
    <row r="313">
      <c r="A313" s="9" t="s">
        <v>34287</v>
      </c>
      <c r="B313" s="9" t="s">
        <v>34288</v>
      </c>
      <c r="G313" s="9" t="s">
        <v>34289</v>
      </c>
    </row>
    <row r="314">
      <c r="A314" s="9" t="s">
        <v>34290</v>
      </c>
      <c r="B314" s="9" t="s">
        <v>34291</v>
      </c>
      <c r="G314" s="9" t="s">
        <v>34292</v>
      </c>
    </row>
    <row r="315">
      <c r="A315" s="9" t="s">
        <v>34293</v>
      </c>
      <c r="B315" s="9" t="s">
        <v>34294</v>
      </c>
      <c r="D315" s="9" t="s">
        <v>34295</v>
      </c>
      <c r="G315" s="9" t="s">
        <v>34296</v>
      </c>
      <c r="J315" s="9" t="s">
        <v>34297</v>
      </c>
    </row>
    <row r="316">
      <c r="A316" s="9" t="s">
        <v>34298</v>
      </c>
      <c r="B316" s="9" t="s">
        <v>34299</v>
      </c>
      <c r="G316" s="9" t="s">
        <v>34300</v>
      </c>
    </row>
    <row r="317">
      <c r="A317" s="9" t="s">
        <v>34301</v>
      </c>
      <c r="B317" s="9" t="s">
        <v>34302</v>
      </c>
      <c r="G317" s="9" t="s">
        <v>34303</v>
      </c>
    </row>
    <row r="318">
      <c r="A318" s="9" t="s">
        <v>34304</v>
      </c>
      <c r="B318" s="9" t="s">
        <v>34305</v>
      </c>
      <c r="G318" s="9" t="s">
        <v>34306</v>
      </c>
    </row>
    <row r="319">
      <c r="A319" s="9" t="s">
        <v>34307</v>
      </c>
      <c r="B319" s="9" t="s">
        <v>34308</v>
      </c>
      <c r="G319" s="9" t="s">
        <v>34309</v>
      </c>
    </row>
    <row r="320">
      <c r="A320" s="9" t="s">
        <v>34310</v>
      </c>
      <c r="B320" s="9" t="s">
        <v>34311</v>
      </c>
      <c r="G320" s="9" t="s">
        <v>34312</v>
      </c>
    </row>
    <row r="321">
      <c r="A321" s="9" t="s">
        <v>34313</v>
      </c>
      <c r="B321" s="9" t="s">
        <v>34314</v>
      </c>
      <c r="G321" s="9" t="s">
        <v>34315</v>
      </c>
    </row>
    <row r="322">
      <c r="A322" s="9" t="s">
        <v>34316</v>
      </c>
      <c r="B322" s="9" t="s">
        <v>34317</v>
      </c>
      <c r="G322" s="9" t="s">
        <v>34318</v>
      </c>
    </row>
    <row r="323">
      <c r="A323" s="9" t="s">
        <v>34319</v>
      </c>
      <c r="B323" s="9" t="s">
        <v>34320</v>
      </c>
      <c r="G323" s="9" t="s">
        <v>34321</v>
      </c>
    </row>
    <row r="324">
      <c r="A324" s="9" t="s">
        <v>34322</v>
      </c>
      <c r="B324" s="9" t="s">
        <v>34323</v>
      </c>
      <c r="D324" s="9" t="s">
        <v>34324</v>
      </c>
      <c r="G324" s="9" t="s">
        <v>34325</v>
      </c>
      <c r="J324" s="9" t="s">
        <v>34326</v>
      </c>
    </row>
    <row r="325">
      <c r="A325" s="9" t="s">
        <v>34327</v>
      </c>
      <c r="B325" s="9" t="s">
        <v>34328</v>
      </c>
      <c r="D325" s="9" t="s">
        <v>34329</v>
      </c>
      <c r="G325" s="9" t="s">
        <v>34330</v>
      </c>
      <c r="J325" s="9" t="s">
        <v>34331</v>
      </c>
    </row>
    <row r="326">
      <c r="A326" s="9" t="s">
        <v>34332</v>
      </c>
      <c r="B326" s="9" t="s">
        <v>34333</v>
      </c>
      <c r="D326" s="9" t="s">
        <v>34334</v>
      </c>
      <c r="G326" s="9" t="s">
        <v>34335</v>
      </c>
      <c r="J326" s="9" t="s">
        <v>34336</v>
      </c>
    </row>
    <row r="327">
      <c r="A327" s="9" t="s">
        <v>34337</v>
      </c>
      <c r="B327" s="9" t="s">
        <v>34338</v>
      </c>
      <c r="D327" s="9" t="s">
        <v>34339</v>
      </c>
      <c r="G327" s="9" t="s">
        <v>34340</v>
      </c>
      <c r="J327" s="9" t="s">
        <v>34341</v>
      </c>
    </row>
    <row r="328">
      <c r="A328" s="9" t="s">
        <v>34342</v>
      </c>
      <c r="B328" s="9" t="s">
        <v>34343</v>
      </c>
      <c r="D328" s="9" t="s">
        <v>34344</v>
      </c>
      <c r="G328" s="9" t="s">
        <v>34345</v>
      </c>
      <c r="J328" s="9" t="s">
        <v>34346</v>
      </c>
    </row>
    <row r="329">
      <c r="A329" s="9" t="s">
        <v>34347</v>
      </c>
      <c r="B329" s="9" t="s">
        <v>34348</v>
      </c>
      <c r="D329" s="9" t="s">
        <v>34349</v>
      </c>
      <c r="G329" s="9" t="s">
        <v>34350</v>
      </c>
      <c r="J329" s="9" t="s">
        <v>34351</v>
      </c>
    </row>
    <row r="330">
      <c r="A330" s="9" t="s">
        <v>34352</v>
      </c>
      <c r="B330" s="9" t="s">
        <v>34353</v>
      </c>
      <c r="G330" s="9" t="s">
        <v>34354</v>
      </c>
    </row>
    <row r="331">
      <c r="A331" s="9" t="s">
        <v>34355</v>
      </c>
      <c r="B331" s="9" t="s">
        <v>34356</v>
      </c>
      <c r="D331" s="9" t="s">
        <v>34357</v>
      </c>
      <c r="G331" s="9" t="s">
        <v>34358</v>
      </c>
      <c r="J331" s="9" t="s">
        <v>34359</v>
      </c>
    </row>
    <row r="332">
      <c r="A332" s="9" t="s">
        <v>34360</v>
      </c>
      <c r="B332" s="9" t="s">
        <v>34361</v>
      </c>
      <c r="D332" s="9" t="s">
        <v>34362</v>
      </c>
      <c r="G332" s="9" t="s">
        <v>34363</v>
      </c>
      <c r="J332" s="9" t="s">
        <v>34364</v>
      </c>
    </row>
    <row r="333">
      <c r="A333" s="9" t="s">
        <v>34365</v>
      </c>
      <c r="B333" s="9" t="s">
        <v>34366</v>
      </c>
      <c r="D333" s="9" t="s">
        <v>34367</v>
      </c>
      <c r="G333" s="9" t="s">
        <v>34368</v>
      </c>
      <c r="J333" s="9" t="s">
        <v>34369</v>
      </c>
    </row>
    <row r="334">
      <c r="A334" s="9" t="s">
        <v>34370</v>
      </c>
      <c r="B334" s="9" t="s">
        <v>34371</v>
      </c>
      <c r="D334" s="9" t="s">
        <v>34372</v>
      </c>
      <c r="G334" s="9" t="s">
        <v>34373</v>
      </c>
      <c r="J334" s="9" t="s">
        <v>34374</v>
      </c>
    </row>
    <row r="335">
      <c r="A335" s="9" t="s">
        <v>34375</v>
      </c>
      <c r="B335" s="9" t="s">
        <v>34376</v>
      </c>
      <c r="D335" s="9" t="s">
        <v>34377</v>
      </c>
      <c r="G335" s="9" t="s">
        <v>34378</v>
      </c>
      <c r="J335" s="9" t="s">
        <v>34379</v>
      </c>
    </row>
    <row r="336">
      <c r="A336" s="9" t="s">
        <v>34380</v>
      </c>
      <c r="B336" s="9" t="s">
        <v>34381</v>
      </c>
      <c r="D336" s="9" t="s">
        <v>34382</v>
      </c>
      <c r="G336" s="9" t="s">
        <v>34383</v>
      </c>
      <c r="J336" s="9" t="s">
        <v>34384</v>
      </c>
    </row>
    <row r="337">
      <c r="A337" s="9" t="s">
        <v>34385</v>
      </c>
      <c r="B337" s="9" t="s">
        <v>34386</v>
      </c>
      <c r="D337" s="9" t="s">
        <v>34387</v>
      </c>
      <c r="G337" s="9" t="s">
        <v>34388</v>
      </c>
      <c r="J337" s="9" t="s">
        <v>34389</v>
      </c>
    </row>
    <row r="338">
      <c r="A338" s="9" t="s">
        <v>34390</v>
      </c>
      <c r="B338" s="9" t="s">
        <v>34391</v>
      </c>
      <c r="G338" s="9" t="s">
        <v>34392</v>
      </c>
    </row>
    <row r="339">
      <c r="A339" s="9" t="s">
        <v>34393</v>
      </c>
      <c r="B339" s="9" t="s">
        <v>34394</v>
      </c>
      <c r="G339" s="9" t="s">
        <v>34395</v>
      </c>
    </row>
    <row r="340">
      <c r="A340" s="9" t="s">
        <v>34396</v>
      </c>
      <c r="B340" s="9" t="s">
        <v>34397</v>
      </c>
      <c r="G340" s="9" t="s">
        <v>34398</v>
      </c>
    </row>
    <row r="341">
      <c r="A341" s="9" t="s">
        <v>34399</v>
      </c>
      <c r="B341" s="9" t="s">
        <v>34400</v>
      </c>
      <c r="G341" s="9" t="s">
        <v>34401</v>
      </c>
    </row>
    <row r="342">
      <c r="A342" s="9" t="s">
        <v>34402</v>
      </c>
      <c r="B342" s="9" t="s">
        <v>34403</v>
      </c>
      <c r="G342" s="9" t="s">
        <v>34404</v>
      </c>
    </row>
    <row r="343">
      <c r="A343" s="9" t="s">
        <v>34405</v>
      </c>
      <c r="B343" s="9" t="s">
        <v>34406</v>
      </c>
      <c r="D343" s="9" t="s">
        <v>34407</v>
      </c>
      <c r="G343" s="9" t="s">
        <v>34408</v>
      </c>
      <c r="J343" s="9" t="s">
        <v>34409</v>
      </c>
    </row>
    <row r="344">
      <c r="A344" s="9" t="s">
        <v>34410</v>
      </c>
      <c r="B344" s="9" t="s">
        <v>34411</v>
      </c>
      <c r="D344" s="9" t="s">
        <v>34412</v>
      </c>
      <c r="G344" s="9" t="s">
        <v>34413</v>
      </c>
      <c r="J344" s="9" t="s">
        <v>34414</v>
      </c>
    </row>
    <row r="345">
      <c r="A345" s="9" t="s">
        <v>34415</v>
      </c>
      <c r="B345" s="9" t="s">
        <v>34416</v>
      </c>
      <c r="G345" s="9" t="s">
        <v>34417</v>
      </c>
    </row>
    <row r="346">
      <c r="A346" s="9" t="s">
        <v>34418</v>
      </c>
      <c r="B346" s="9" t="s">
        <v>34419</v>
      </c>
      <c r="G346" s="9" t="s">
        <v>34420</v>
      </c>
    </row>
    <row r="347">
      <c r="A347" s="9" t="s">
        <v>34421</v>
      </c>
      <c r="B347" s="9" t="s">
        <v>34422</v>
      </c>
      <c r="G347" s="9" t="s">
        <v>34423</v>
      </c>
    </row>
    <row r="348">
      <c r="A348" s="9" t="s">
        <v>34424</v>
      </c>
      <c r="B348" s="9" t="s">
        <v>34425</v>
      </c>
      <c r="G348" s="9" t="s">
        <v>34426</v>
      </c>
    </row>
    <row r="349">
      <c r="A349" s="9" t="s">
        <v>34427</v>
      </c>
      <c r="B349" s="9" t="s">
        <v>34428</v>
      </c>
      <c r="D349" s="9" t="s">
        <v>34429</v>
      </c>
      <c r="G349" s="9" t="s">
        <v>34429</v>
      </c>
      <c r="J349" s="9" t="s">
        <v>34430</v>
      </c>
    </row>
    <row r="350">
      <c r="A350" s="9" t="s">
        <v>34431</v>
      </c>
      <c r="B350" s="9" t="s">
        <v>34432</v>
      </c>
      <c r="D350" s="9" t="s">
        <v>34433</v>
      </c>
      <c r="G350" s="9" t="s">
        <v>34434</v>
      </c>
      <c r="J350" s="9" t="s">
        <v>34435</v>
      </c>
    </row>
    <row r="351">
      <c r="A351" s="9" t="s">
        <v>34436</v>
      </c>
      <c r="B351" s="9" t="s">
        <v>34437</v>
      </c>
      <c r="G351" s="9" t="s">
        <v>34438</v>
      </c>
    </row>
    <row r="352">
      <c r="A352" s="9" t="s">
        <v>34439</v>
      </c>
      <c r="B352" s="9" t="s">
        <v>34440</v>
      </c>
      <c r="D352" s="9" t="s">
        <v>34441</v>
      </c>
      <c r="G352" s="9" t="s">
        <v>34442</v>
      </c>
      <c r="J352" s="9" t="s">
        <v>34443</v>
      </c>
    </row>
    <row r="353">
      <c r="A353" s="9" t="s">
        <v>34444</v>
      </c>
      <c r="B353" s="9" t="s">
        <v>34445</v>
      </c>
      <c r="D353" s="9" t="s">
        <v>34446</v>
      </c>
      <c r="G353" s="9" t="s">
        <v>34447</v>
      </c>
      <c r="J353" s="9" t="s">
        <v>34448</v>
      </c>
    </row>
    <row r="354">
      <c r="A354" s="9" t="s">
        <v>34449</v>
      </c>
      <c r="B354" s="9" t="s">
        <v>34450</v>
      </c>
      <c r="D354" s="9" t="s">
        <v>34451</v>
      </c>
      <c r="G354" s="9" t="s">
        <v>34452</v>
      </c>
      <c r="J354" s="9" t="s">
        <v>34453</v>
      </c>
    </row>
    <row r="355">
      <c r="A355" s="9" t="s">
        <v>34454</v>
      </c>
      <c r="B355" s="9" t="s">
        <v>34455</v>
      </c>
      <c r="D355" s="9" t="s">
        <v>34456</v>
      </c>
      <c r="G355" s="9" t="s">
        <v>34457</v>
      </c>
      <c r="J355" s="9" t="s">
        <v>34458</v>
      </c>
    </row>
    <row r="356">
      <c r="A356" s="9" t="s">
        <v>34459</v>
      </c>
      <c r="B356" s="9" t="s">
        <v>34460</v>
      </c>
      <c r="D356" s="9" t="s">
        <v>34461</v>
      </c>
      <c r="G356" s="9" t="s">
        <v>34462</v>
      </c>
      <c r="J356" s="9" t="s">
        <v>34463</v>
      </c>
    </row>
    <row r="357">
      <c r="A357" s="9" t="s">
        <v>34464</v>
      </c>
      <c r="B357" s="9" t="s">
        <v>34465</v>
      </c>
      <c r="G357" s="9" t="s">
        <v>34466</v>
      </c>
    </row>
    <row r="358">
      <c r="A358" s="9" t="s">
        <v>34467</v>
      </c>
      <c r="B358" s="9" t="s">
        <v>34468</v>
      </c>
      <c r="D358" s="9" t="s">
        <v>34469</v>
      </c>
      <c r="G358" s="9" t="s">
        <v>34470</v>
      </c>
      <c r="J358" s="9" t="s">
        <v>34471</v>
      </c>
    </row>
    <row r="359">
      <c r="A359" s="9" t="s">
        <v>34472</v>
      </c>
      <c r="B359" s="9" t="s">
        <v>34473</v>
      </c>
      <c r="D359" s="9" t="s">
        <v>34474</v>
      </c>
      <c r="G359" s="9" t="s">
        <v>34475</v>
      </c>
      <c r="J359" s="9" t="s">
        <v>34476</v>
      </c>
    </row>
    <row r="360">
      <c r="A360" s="9" t="s">
        <v>34477</v>
      </c>
      <c r="B360" s="9" t="s">
        <v>34478</v>
      </c>
      <c r="D360" s="9" t="s">
        <v>34479</v>
      </c>
      <c r="G360" s="9" t="s">
        <v>34480</v>
      </c>
      <c r="J360" s="9" t="s">
        <v>34481</v>
      </c>
    </row>
    <row r="361">
      <c r="A361" s="9" t="s">
        <v>34482</v>
      </c>
      <c r="B361" s="9" t="s">
        <v>34483</v>
      </c>
      <c r="D361" s="9" t="s">
        <v>34484</v>
      </c>
      <c r="G361" s="9" t="s">
        <v>34485</v>
      </c>
      <c r="J361" s="9" t="s">
        <v>34486</v>
      </c>
    </row>
    <row r="362">
      <c r="A362" s="9" t="s">
        <v>34487</v>
      </c>
      <c r="B362" s="9" t="s">
        <v>34488</v>
      </c>
      <c r="D362" s="9" t="s">
        <v>34489</v>
      </c>
      <c r="G362" s="9" t="s">
        <v>34490</v>
      </c>
      <c r="J362" s="9" t="s">
        <v>34491</v>
      </c>
    </row>
    <row r="363">
      <c r="A363" s="9" t="s">
        <v>34492</v>
      </c>
      <c r="B363" s="9" t="s">
        <v>34493</v>
      </c>
      <c r="D363" s="9" t="s">
        <v>34493</v>
      </c>
      <c r="G363" s="9" t="s">
        <v>34493</v>
      </c>
      <c r="J363" s="9" t="s">
        <v>34493</v>
      </c>
    </row>
    <row r="364">
      <c r="A364" s="9" t="s">
        <v>34494</v>
      </c>
      <c r="B364" s="9" t="s">
        <v>34495</v>
      </c>
      <c r="G364" s="9" t="s">
        <v>34496</v>
      </c>
    </row>
    <row r="365">
      <c r="A365" s="9" t="s">
        <v>34497</v>
      </c>
      <c r="B365" s="9" t="s">
        <v>34498</v>
      </c>
      <c r="G365" s="9" t="s">
        <v>34499</v>
      </c>
    </row>
    <row r="366">
      <c r="A366" s="9" t="s">
        <v>34500</v>
      </c>
      <c r="B366" s="9" t="s">
        <v>34501</v>
      </c>
      <c r="G366" s="9" t="s">
        <v>34502</v>
      </c>
    </row>
    <row r="367">
      <c r="A367" s="9" t="s">
        <v>34503</v>
      </c>
      <c r="B367" s="9" t="s">
        <v>34504</v>
      </c>
      <c r="D367" s="9" t="s">
        <v>34505</v>
      </c>
      <c r="G367" s="9" t="s">
        <v>34505</v>
      </c>
      <c r="J367" s="9" t="s">
        <v>34506</v>
      </c>
    </row>
    <row r="368">
      <c r="A368" s="9" t="s">
        <v>34507</v>
      </c>
      <c r="B368" s="9" t="s">
        <v>34508</v>
      </c>
      <c r="D368" s="9" t="s">
        <v>34509</v>
      </c>
      <c r="G368" s="9" t="s">
        <v>34509</v>
      </c>
      <c r="J368" s="9" t="s">
        <v>34510</v>
      </c>
    </row>
    <row r="369">
      <c r="A369" s="9" t="s">
        <v>34511</v>
      </c>
      <c r="B369" s="9" t="s">
        <v>34512</v>
      </c>
      <c r="D369" s="9" t="s">
        <v>34513</v>
      </c>
      <c r="G369" s="9" t="s">
        <v>34514</v>
      </c>
      <c r="J369" s="9" t="s">
        <v>34515</v>
      </c>
    </row>
    <row r="370">
      <c r="A370" s="9" t="s">
        <v>34516</v>
      </c>
      <c r="B370" s="9" t="s">
        <v>34517</v>
      </c>
      <c r="D370" s="9" t="s">
        <v>34518</v>
      </c>
      <c r="G370" s="9" t="s">
        <v>34519</v>
      </c>
      <c r="J370" s="9" t="s">
        <v>34520</v>
      </c>
    </row>
    <row r="371">
      <c r="A371" s="9" t="s">
        <v>34521</v>
      </c>
      <c r="B371" s="9" t="s">
        <v>34522</v>
      </c>
      <c r="D371" s="9" t="s">
        <v>34523</v>
      </c>
      <c r="G371" s="9" t="s">
        <v>34524</v>
      </c>
      <c r="J371" s="9" t="s">
        <v>34525</v>
      </c>
    </row>
    <row r="372">
      <c r="A372" s="9" t="s">
        <v>34526</v>
      </c>
      <c r="B372" s="9" t="s">
        <v>34527</v>
      </c>
      <c r="D372" s="9" t="s">
        <v>34528</v>
      </c>
      <c r="G372" s="9" t="s">
        <v>34529</v>
      </c>
      <c r="J372" s="9" t="s">
        <v>34530</v>
      </c>
    </row>
    <row r="373">
      <c r="A373" s="9" t="s">
        <v>34531</v>
      </c>
      <c r="B373" s="9" t="s">
        <v>34532</v>
      </c>
      <c r="D373" s="9" t="s">
        <v>34533</v>
      </c>
      <c r="G373" s="9" t="s">
        <v>34534</v>
      </c>
      <c r="J373" s="9" t="s">
        <v>34535</v>
      </c>
    </row>
    <row r="374">
      <c r="A374" s="9" t="s">
        <v>34536</v>
      </c>
      <c r="B374" s="9" t="s">
        <v>34537</v>
      </c>
      <c r="D374" s="9" t="s">
        <v>34538</v>
      </c>
      <c r="G374" s="9" t="s">
        <v>34539</v>
      </c>
      <c r="J374" s="9" t="s">
        <v>34540</v>
      </c>
    </row>
    <row r="375">
      <c r="A375" s="9" t="s">
        <v>34541</v>
      </c>
      <c r="B375" s="9" t="s">
        <v>34542</v>
      </c>
      <c r="D375" s="9" t="s">
        <v>34543</v>
      </c>
      <c r="G375" s="9" t="s">
        <v>34544</v>
      </c>
      <c r="J375" s="9" t="s">
        <v>34545</v>
      </c>
    </row>
    <row r="376">
      <c r="A376" s="9" t="s">
        <v>34546</v>
      </c>
      <c r="B376" s="9" t="s">
        <v>34547</v>
      </c>
      <c r="D376" s="9" t="s">
        <v>34548</v>
      </c>
      <c r="G376" s="9" t="s">
        <v>34549</v>
      </c>
      <c r="J376" s="9" t="s">
        <v>34550</v>
      </c>
    </row>
    <row r="377">
      <c r="A377" s="9" t="s">
        <v>34551</v>
      </c>
      <c r="B377" s="9" t="s">
        <v>34552</v>
      </c>
      <c r="D377" s="9" t="s">
        <v>34553</v>
      </c>
      <c r="G377" s="9" t="s">
        <v>34554</v>
      </c>
      <c r="J377" s="9" t="s">
        <v>34555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81.38"/>
  </cols>
  <sheetData>
    <row r="1">
      <c r="A1" s="1" t="s">
        <v>32970</v>
      </c>
      <c r="B1" s="1" t="s">
        <v>5</v>
      </c>
      <c r="C1" s="1"/>
      <c r="D1" s="1" t="s">
        <v>7</v>
      </c>
      <c r="E1" s="1" t="s">
        <v>28</v>
      </c>
      <c r="F1" s="1"/>
      <c r="G1" s="1" t="s">
        <v>29</v>
      </c>
      <c r="H1" s="1" t="s">
        <v>28</v>
      </c>
      <c r="I1" s="1"/>
      <c r="J1" s="1" t="s">
        <v>32971</v>
      </c>
      <c r="K1" s="1" t="s">
        <v>31</v>
      </c>
      <c r="L1" s="1"/>
      <c r="M1" s="8" t="s">
        <v>12</v>
      </c>
      <c r="N1" s="1" t="s">
        <v>31</v>
      </c>
    </row>
    <row r="2">
      <c r="A2" s="1" t="s">
        <v>34556</v>
      </c>
      <c r="B2" s="22" t="s">
        <v>34557</v>
      </c>
      <c r="C2" s="1"/>
      <c r="D2" s="23" t="s">
        <v>34558</v>
      </c>
      <c r="E2" s="24" t="b">
        <v>0</v>
      </c>
      <c r="F2" s="1"/>
      <c r="G2" s="23" t="s">
        <v>34559</v>
      </c>
      <c r="H2" s="24" t="b">
        <v>0</v>
      </c>
      <c r="I2" s="1"/>
      <c r="J2" s="23" t="s">
        <v>34560</v>
      </c>
    </row>
    <row r="3">
      <c r="A3" s="1" t="s">
        <v>34561</v>
      </c>
      <c r="B3" s="25" t="s">
        <v>34562</v>
      </c>
      <c r="C3" s="1"/>
      <c r="D3" s="23" t="s">
        <v>34563</v>
      </c>
      <c r="E3" s="24" t="b">
        <v>0</v>
      </c>
      <c r="F3" s="1"/>
      <c r="G3" s="23" t="s">
        <v>34564</v>
      </c>
      <c r="H3" s="24" t="b">
        <v>0</v>
      </c>
      <c r="I3" s="1"/>
      <c r="J3" s="23" t="s">
        <v>34565</v>
      </c>
    </row>
    <row r="4">
      <c r="A4" s="1" t="s">
        <v>34566</v>
      </c>
      <c r="B4" s="25" t="s">
        <v>34567</v>
      </c>
      <c r="C4" s="1"/>
      <c r="D4" s="23" t="s">
        <v>34568</v>
      </c>
      <c r="E4" s="24" t="b">
        <v>0</v>
      </c>
      <c r="F4" s="1"/>
      <c r="G4" s="23" t="s">
        <v>34569</v>
      </c>
      <c r="H4" s="24" t="b">
        <v>0</v>
      </c>
      <c r="I4" s="1"/>
      <c r="J4" s="23" t="s">
        <v>34570</v>
      </c>
    </row>
    <row r="5">
      <c r="A5" s="1" t="s">
        <v>34571</v>
      </c>
      <c r="B5" s="25" t="s">
        <v>34572</v>
      </c>
      <c r="C5" s="1"/>
      <c r="D5" s="23" t="s">
        <v>34573</v>
      </c>
      <c r="E5" s="24" t="b">
        <v>0</v>
      </c>
      <c r="F5" s="1"/>
      <c r="G5" s="23" t="s">
        <v>34574</v>
      </c>
      <c r="H5" s="24" t="b">
        <v>0</v>
      </c>
      <c r="I5" s="1"/>
      <c r="J5" s="23" t="s">
        <v>34575</v>
      </c>
    </row>
    <row r="6">
      <c r="A6" s="1" t="s">
        <v>34576</v>
      </c>
      <c r="B6" s="25" t="s">
        <v>34577</v>
      </c>
      <c r="C6" s="1"/>
      <c r="D6" s="23" t="s">
        <v>34578</v>
      </c>
      <c r="E6" s="24" t="b">
        <v>0</v>
      </c>
      <c r="F6" s="1"/>
      <c r="G6" s="23" t="s">
        <v>34579</v>
      </c>
      <c r="H6" s="24" t="b">
        <v>0</v>
      </c>
      <c r="I6" s="1"/>
      <c r="J6" s="23" t="s">
        <v>34580</v>
      </c>
    </row>
    <row r="7">
      <c r="A7" s="1" t="s">
        <v>34581</v>
      </c>
      <c r="B7" s="25" t="s">
        <v>34582</v>
      </c>
      <c r="C7" s="1"/>
      <c r="D7" s="23" t="s">
        <v>34583</v>
      </c>
      <c r="E7" s="24" t="b">
        <v>0</v>
      </c>
      <c r="F7" s="1"/>
      <c r="G7" s="23" t="s">
        <v>34583</v>
      </c>
      <c r="H7" s="24" t="b">
        <v>0</v>
      </c>
      <c r="I7" s="1"/>
      <c r="J7" s="23" t="s">
        <v>34584</v>
      </c>
    </row>
  </sheetData>
  <hyperlinks>
    <hyperlink r:id="rId1" ref="B2"/>
    <hyperlink r:id="rId2" ref="D2"/>
    <hyperlink r:id="rId3" ref="G2"/>
    <hyperlink r:id="rId4" ref="J2"/>
    <hyperlink r:id="rId5" ref="B3"/>
    <hyperlink r:id="rId6" ref="D3"/>
    <hyperlink r:id="rId7" ref="G3"/>
    <hyperlink r:id="rId8" ref="J3"/>
    <hyperlink r:id="rId9" ref="B4"/>
    <hyperlink r:id="rId10" ref="D4"/>
    <hyperlink r:id="rId11" ref="G4"/>
    <hyperlink r:id="rId12" ref="J4"/>
    <hyperlink r:id="rId13" ref="B5"/>
    <hyperlink r:id="rId14" ref="D5"/>
    <hyperlink r:id="rId15" ref="G5"/>
    <hyperlink r:id="rId16" ref="J5"/>
    <hyperlink r:id="rId17" ref="B6"/>
    <hyperlink r:id="rId18" ref="D6"/>
    <hyperlink r:id="rId19" ref="G6"/>
    <hyperlink r:id="rId20" ref="J6"/>
    <hyperlink r:id="rId21" ref="B7"/>
    <hyperlink r:id="rId22" ref="D7"/>
    <hyperlink r:id="rId23" ref="G7"/>
    <hyperlink r:id="rId24" ref="J7"/>
  </hyperlinks>
  <drawing r:id="rId2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32970</v>
      </c>
      <c r="B1" s="1" t="s">
        <v>5</v>
      </c>
      <c r="C1" s="1"/>
      <c r="D1" s="1" t="s">
        <v>7</v>
      </c>
      <c r="E1" s="1" t="s">
        <v>28</v>
      </c>
      <c r="F1" s="1"/>
      <c r="G1" s="1" t="s">
        <v>29</v>
      </c>
      <c r="H1" s="1" t="s">
        <v>28</v>
      </c>
      <c r="I1" s="1"/>
      <c r="J1" s="1" t="s">
        <v>32971</v>
      </c>
      <c r="K1" s="1" t="s">
        <v>31</v>
      </c>
      <c r="L1" s="1"/>
      <c r="M1" s="8" t="s">
        <v>12</v>
      </c>
      <c r="N1" s="1" t="s">
        <v>31</v>
      </c>
    </row>
    <row r="2">
      <c r="A2" s="1" t="s">
        <v>34585</v>
      </c>
      <c r="B2" s="26">
        <v>35.0</v>
      </c>
      <c r="C2" s="1"/>
      <c r="D2" s="26">
        <v>35.0</v>
      </c>
      <c r="E2" s="24" t="b">
        <v>0</v>
      </c>
      <c r="F2" s="1"/>
      <c r="G2" s="26">
        <v>35.0</v>
      </c>
      <c r="H2" s="24" t="b">
        <v>0</v>
      </c>
      <c r="I2" s="1"/>
      <c r="J2" s="27">
        <v>8.0</v>
      </c>
    </row>
    <row r="3">
      <c r="A3" s="1" t="s">
        <v>34586</v>
      </c>
      <c r="B3" s="28">
        <v>1.5</v>
      </c>
      <c r="C3" s="1"/>
      <c r="D3" s="28">
        <v>1.5</v>
      </c>
      <c r="E3" s="24" t="b">
        <v>0</v>
      </c>
      <c r="F3" s="1"/>
      <c r="G3" s="28">
        <v>1.5</v>
      </c>
      <c r="H3" s="24" t="b">
        <v>0</v>
      </c>
      <c r="I3" s="1"/>
      <c r="J3" s="29">
        <v>1.375</v>
      </c>
    </row>
    <row r="4">
      <c r="A4" s="1" t="s">
        <v>34587</v>
      </c>
      <c r="B4" s="30">
        <v>-5.0</v>
      </c>
      <c r="C4" s="1"/>
      <c r="D4" s="30">
        <v>-5.0</v>
      </c>
      <c r="E4" s="24" t="b">
        <v>0</v>
      </c>
      <c r="F4" s="1"/>
      <c r="G4" s="30">
        <v>-5.0</v>
      </c>
      <c r="H4" s="24" t="b">
        <v>0</v>
      </c>
      <c r="I4" s="1"/>
      <c r="J4" s="30">
        <v>-5.0</v>
      </c>
    </row>
  </sheetData>
  <drawing r:id="rId1"/>
</worksheet>
</file>