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Z:\Documents\Finances\Financial Planning\"/>
    </mc:Choice>
  </mc:AlternateContent>
  <xr:revisionPtr revIDLastSave="0" documentId="13_ncr:1_{CBAB9D32-3AF2-4DFB-A1A2-BFC330D3967C}" xr6:coauthVersionLast="47" xr6:coauthVersionMax="47" xr10:uidLastSave="{00000000-0000-0000-0000-000000000000}"/>
  <bookViews>
    <workbookView xWindow="-120" yWindow="-120" windowWidth="29040" windowHeight="15840" xr2:uid="{063EBC0C-301D-4E74-8A2A-B8E1B8A68EF8}"/>
  </bookViews>
  <sheets>
    <sheet name="Mortgage Calculation" sheetId="2" r:id="rId1"/>
    <sheet name="Potential Profit Loss" sheetId="7" r:id="rId2"/>
    <sheet name="PMI MIP Calc" sheetId="1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 i="12" l="1"/>
  <c r="B22" i="12"/>
  <c r="B21" i="12"/>
  <c r="B19" i="12"/>
  <c r="B23" i="12" s="1"/>
  <c r="H23" i="2" s="1"/>
  <c r="B8" i="12"/>
  <c r="B4" i="12"/>
  <c r="I13" i="12" s="1"/>
  <c r="B3" i="12"/>
  <c r="B9" i="12"/>
  <c r="B2" i="12"/>
  <c r="B6" i="7"/>
  <c r="H7" i="7"/>
  <c r="H6" i="7"/>
  <c r="H5" i="7"/>
  <c r="H2" i="7"/>
  <c r="J15" i="7" s="1"/>
  <c r="J36" i="7" s="1"/>
  <c r="B10" i="7"/>
  <c r="E9" i="7"/>
  <c r="E8" i="7"/>
  <c r="E7" i="7"/>
  <c r="E6" i="7"/>
  <c r="E5" i="7"/>
  <c r="E4" i="7"/>
  <c r="E3" i="7"/>
  <c r="E2" i="7"/>
  <c r="B5" i="7"/>
  <c r="B2" i="7"/>
  <c r="N364" i="2"/>
  <c r="E18" i="2"/>
  <c r="E17" i="2"/>
  <c r="E24" i="2" s="1"/>
  <c r="B10" i="12" l="1"/>
  <c r="B11" i="12"/>
  <c r="I4" i="12"/>
  <c r="I5" i="12"/>
  <c r="I7" i="12"/>
  <c r="I8" i="12"/>
  <c r="I10" i="12"/>
  <c r="B5" i="12"/>
  <c r="B13" i="12" s="1"/>
  <c r="K15" i="7" a="1"/>
  <c r="K15" i="7" s="1"/>
  <c r="K19" i="7" s="1"/>
  <c r="B7" i="7"/>
  <c r="O19" i="7"/>
  <c r="F15" i="7" a="1"/>
  <c r="F15" i="7" s="1"/>
  <c r="F17" i="7" s="1"/>
  <c r="O42" i="7"/>
  <c r="O38" i="7"/>
  <c r="O34" i="7"/>
  <c r="O30" i="7"/>
  <c r="O26" i="7"/>
  <c r="O22" i="7"/>
  <c r="O18" i="7"/>
  <c r="O15" i="7"/>
  <c r="O41" i="7"/>
  <c r="O37" i="7"/>
  <c r="O33" i="7"/>
  <c r="O29" i="7"/>
  <c r="O25" i="7"/>
  <c r="O21" i="7"/>
  <c r="O17" i="7"/>
  <c r="O44" i="7"/>
  <c r="O40" i="7"/>
  <c r="O36" i="7"/>
  <c r="O32" i="7"/>
  <c r="O28" i="7"/>
  <c r="O24" i="7"/>
  <c r="O20" i="7"/>
  <c r="O16" i="7"/>
  <c r="B4" i="7"/>
  <c r="O43" i="7"/>
  <c r="O39" i="7"/>
  <c r="O35" i="7"/>
  <c r="O31" i="7"/>
  <c r="O27" i="7"/>
  <c r="O23" i="7"/>
  <c r="J43" i="7"/>
  <c r="J20" i="7"/>
  <c r="J34" i="7"/>
  <c r="J39" i="7"/>
  <c r="J30" i="7"/>
  <c r="J17" i="7"/>
  <c r="J26" i="7"/>
  <c r="J23" i="7"/>
  <c r="J19" i="7"/>
  <c r="J33" i="7"/>
  <c r="J29" i="7"/>
  <c r="J25" i="7"/>
  <c r="J42" i="7"/>
  <c r="J38" i="7"/>
  <c r="J22" i="7"/>
  <c r="J18" i="7"/>
  <c r="J32" i="7"/>
  <c r="J28" i="7"/>
  <c r="J24" i="7"/>
  <c r="J41" i="7"/>
  <c r="J37" i="7"/>
  <c r="J16" i="7"/>
  <c r="J21" i="7"/>
  <c r="J35" i="7"/>
  <c r="J31" i="7"/>
  <c r="J27" i="7"/>
  <c r="J44" i="7"/>
  <c r="J40" i="7"/>
  <c r="E44" i="2" l="1"/>
  <c r="E45" i="2"/>
  <c r="H15" i="2"/>
  <c r="K29" i="7"/>
  <c r="L29" i="7" s="1"/>
  <c r="K33" i="7"/>
  <c r="L33" i="7" s="1"/>
  <c r="K37" i="7"/>
  <c r="L37" i="7" s="1"/>
  <c r="K17" i="7"/>
  <c r="K31" i="7"/>
  <c r="K39" i="7"/>
  <c r="L39" i="7" s="1"/>
  <c r="K41" i="7"/>
  <c r="L41" i="7" s="1"/>
  <c r="K21" i="7"/>
  <c r="L21" i="7" s="1"/>
  <c r="K22" i="7"/>
  <c r="L22" i="7" s="1"/>
  <c r="L15" i="7"/>
  <c r="K25" i="7"/>
  <c r="L25" i="7" s="1"/>
  <c r="K23" i="7"/>
  <c r="L23" i="7" s="1"/>
  <c r="K27" i="7"/>
  <c r="L27" i="7" s="1"/>
  <c r="K43" i="7"/>
  <c r="L43" i="7" s="1"/>
  <c r="K16" i="7"/>
  <c r="L16" i="7" s="1"/>
  <c r="K38" i="7"/>
  <c r="L38" i="7" s="1"/>
  <c r="K35" i="7"/>
  <c r="L35" i="7" s="1"/>
  <c r="K18" i="7"/>
  <c r="L18" i="7" s="1"/>
  <c r="L19" i="7"/>
  <c r="K20" i="7"/>
  <c r="L20" i="7" s="1"/>
  <c r="K24" i="7"/>
  <c r="K28" i="7"/>
  <c r="L28" i="7" s="1"/>
  <c r="K34" i="7"/>
  <c r="L34" i="7" s="1"/>
  <c r="K32" i="7"/>
  <c r="L32" i="7" s="1"/>
  <c r="K36" i="7"/>
  <c r="L36" i="7" s="1"/>
  <c r="K42" i="7"/>
  <c r="L42" i="7" s="1"/>
  <c r="K40" i="7"/>
  <c r="L40" i="7" s="1"/>
  <c r="K44" i="7"/>
  <c r="L44" i="7" s="1"/>
  <c r="K26" i="7"/>
  <c r="L26" i="7" s="1"/>
  <c r="K30" i="7"/>
  <c r="L30" i="7" s="1"/>
  <c r="F42" i="7"/>
  <c r="F27" i="7"/>
  <c r="F32" i="7"/>
  <c r="F37" i="7"/>
  <c r="F19" i="7"/>
  <c r="F31" i="7"/>
  <c r="F36" i="7"/>
  <c r="F41" i="7"/>
  <c r="F34" i="7"/>
  <c r="F16" i="7"/>
  <c r="F35" i="7"/>
  <c r="F24" i="7"/>
  <c r="F40" i="7"/>
  <c r="F29" i="7"/>
  <c r="F18" i="7"/>
  <c r="F26" i="7"/>
  <c r="F43" i="7"/>
  <c r="F21" i="7"/>
  <c r="F30" i="7"/>
  <c r="F20" i="7"/>
  <c r="F25" i="7"/>
  <c r="F22" i="7"/>
  <c r="F38" i="7"/>
  <c r="F23" i="7"/>
  <c r="F39" i="7"/>
  <c r="F28" i="7"/>
  <c r="F44" i="7"/>
  <c r="F33" i="7"/>
  <c r="L17" i="7"/>
  <c r="L24" i="7"/>
  <c r="L31" i="7"/>
  <c r="B12" i="12" l="1"/>
  <c r="B14" i="12" s="1" a="1"/>
  <c r="B14" i="12" s="1"/>
  <c r="B15" i="12" s="1"/>
  <c r="H18" i="2"/>
  <c r="E16" i="2" s="1"/>
  <c r="B16" i="12" l="1" a="1"/>
  <c r="B16" i="12" s="1"/>
  <c r="B3" i="7" l="1"/>
  <c r="B8" i="7" s="1"/>
  <c r="E19" i="2"/>
  <c r="K3" i="2" s="1"/>
  <c r="O3" i="2"/>
  <c r="L3" i="2" s="1"/>
  <c r="E20" i="2" l="1"/>
  <c r="E21" i="2" s="1"/>
  <c r="M3" i="2"/>
  <c r="O4" i="2" l="1"/>
  <c r="L4" i="2" l="1"/>
  <c r="K4" i="2"/>
  <c r="M4" i="2" l="1"/>
  <c r="O5" i="2" l="1"/>
  <c r="K5" i="2" l="1"/>
  <c r="L5" i="2"/>
  <c r="M5" i="2" l="1"/>
  <c r="O6" i="2" l="1"/>
  <c r="L6" i="2" l="1"/>
  <c r="K6" i="2"/>
  <c r="M6" i="2" l="1"/>
  <c r="O7" i="2" l="1"/>
  <c r="L7" i="2" l="1"/>
  <c r="K7" i="2"/>
  <c r="M7" i="2" l="1"/>
  <c r="O8" i="2" l="1"/>
  <c r="K8" i="2" l="1"/>
  <c r="L8" i="2"/>
  <c r="M8" i="2" l="1"/>
  <c r="O9" i="2" l="1"/>
  <c r="L9" i="2" l="1"/>
  <c r="K9" i="2"/>
  <c r="M9" i="2" l="1"/>
  <c r="O10" i="2" s="1"/>
  <c r="K10" i="2" s="1"/>
  <c r="L10" i="2" l="1"/>
  <c r="M10" i="2" s="1"/>
  <c r="O11" i="2" s="1"/>
  <c r="K11" i="2" l="1"/>
  <c r="L11" i="2"/>
  <c r="M11" i="2" l="1"/>
  <c r="O12" i="2" s="1"/>
  <c r="L12" i="2" l="1"/>
  <c r="K12" i="2"/>
  <c r="M12" i="2" l="1"/>
  <c r="O13" i="2" s="1"/>
  <c r="K13" i="2" s="1"/>
  <c r="L13" i="2" l="1"/>
  <c r="M13" i="2" s="1"/>
  <c r="O14" i="2" s="1"/>
  <c r="K14" i="2" l="1"/>
  <c r="L14" i="2"/>
  <c r="M14" i="2" l="1"/>
  <c r="O15" i="2" s="1"/>
  <c r="O3" i="12" l="1"/>
  <c r="P3" i="12" s="1"/>
  <c r="F17" i="12"/>
  <c r="G17" i="12" s="1"/>
  <c r="H24" i="2" s="1"/>
  <c r="L15" i="2"/>
  <c r="C15" i="7" s="1"/>
  <c r="E15" i="7"/>
  <c r="K15" i="2"/>
  <c r="E27" i="2" l="1"/>
  <c r="H19" i="2"/>
  <c r="M15" i="2"/>
  <c r="B15" i="7"/>
  <c r="G15" i="7" l="1"/>
  <c r="R15" i="7"/>
  <c r="S15" i="7" s="1"/>
  <c r="P15" i="7"/>
  <c r="Q15" i="7" s="1"/>
  <c r="V15" i="7" s="1"/>
  <c r="H3" i="2" s="1"/>
  <c r="O16" i="2"/>
  <c r="D15" i="7"/>
  <c r="L16" i="2" l="1"/>
  <c r="K16" i="2"/>
  <c r="M16" i="2" l="1"/>
  <c r="O17" i="2" s="1"/>
  <c r="K17" i="2" s="1"/>
  <c r="L17" i="2" l="1"/>
  <c r="M17" i="2" s="1"/>
  <c r="O18" i="2" s="1"/>
  <c r="L18" i="2" l="1"/>
  <c r="K18" i="2"/>
  <c r="M18" i="2" l="1"/>
  <c r="O19" i="2" s="1"/>
  <c r="L19" i="2" s="1"/>
  <c r="K19" i="2" l="1"/>
  <c r="M19" i="2" s="1"/>
  <c r="O20" i="2" s="1"/>
  <c r="L20" i="2" s="1"/>
  <c r="K20" i="2" l="1"/>
  <c r="M20" i="2" s="1"/>
  <c r="O21" i="2" s="1"/>
  <c r="L21" i="2" l="1"/>
  <c r="K21" i="2"/>
  <c r="M21" i="2" s="1"/>
  <c r="O22" i="2" s="1"/>
  <c r="L22" i="2" s="1"/>
  <c r="K22" i="2" l="1"/>
  <c r="M22" i="2" s="1"/>
  <c r="O23" i="2" s="1"/>
  <c r="K23" i="2" s="1"/>
  <c r="L23" i="2" l="1"/>
  <c r="M23" i="2" s="1"/>
  <c r="O24" i="2" s="1"/>
  <c r="L24" i="2" l="1"/>
  <c r="K24" i="2"/>
  <c r="M24" i="2" l="1"/>
  <c r="O25" i="2" s="1"/>
  <c r="L25" i="2" s="1"/>
  <c r="K25" i="2" l="1"/>
  <c r="M25" i="2" s="1"/>
  <c r="O26" i="2" s="1"/>
  <c r="L26" i="2" s="1"/>
  <c r="K26" i="2" l="1"/>
  <c r="M26" i="2" s="1"/>
  <c r="O27" i="2" s="1"/>
  <c r="E16" i="7" s="1"/>
  <c r="L27" i="2" l="1"/>
  <c r="C16" i="7" s="1"/>
  <c r="K27" i="2"/>
  <c r="B16" i="7" s="1"/>
  <c r="O4" i="12"/>
  <c r="P4" i="12" s="1"/>
  <c r="F18" i="12"/>
  <c r="G18" i="12" l="1"/>
  <c r="M27" i="2"/>
  <c r="G16" i="7"/>
  <c r="R16" i="7"/>
  <c r="S16" i="7" s="1"/>
  <c r="P16" i="7"/>
  <c r="Q16" i="7" s="1"/>
  <c r="V16" i="7" s="1"/>
  <c r="H4" i="2" s="1"/>
  <c r="O28" i="2"/>
  <c r="D16" i="7"/>
  <c r="E28" i="2" l="1"/>
  <c r="L28" i="2"/>
  <c r="K28" i="2"/>
  <c r="M28" i="2" s="1"/>
  <c r="O29" i="2" s="1"/>
  <c r="L29" i="2" l="1"/>
  <c r="K29" i="2"/>
  <c r="M29" i="2" s="1"/>
  <c r="O30" i="2" s="1"/>
  <c r="L30" i="2" l="1"/>
  <c r="K30" i="2"/>
  <c r="M30" i="2" s="1"/>
  <c r="O31" i="2" s="1"/>
  <c r="K31" i="2" l="1"/>
  <c r="L31" i="2"/>
  <c r="M31" i="2" l="1"/>
  <c r="O32" i="2" s="1"/>
  <c r="L32" i="2" l="1"/>
  <c r="K32" i="2"/>
  <c r="M32" i="2" s="1"/>
  <c r="O33" i="2" s="1"/>
  <c r="L33" i="2" l="1"/>
  <c r="K33" i="2"/>
  <c r="M33" i="2" l="1"/>
  <c r="O34" i="2" s="1"/>
  <c r="L34" i="2" s="1"/>
  <c r="K34" i="2" l="1"/>
  <c r="M34" i="2" s="1"/>
  <c r="O35" i="2" s="1"/>
  <c r="K35" i="2" l="1"/>
  <c r="L35" i="2"/>
  <c r="M35" i="2" s="1"/>
  <c r="O36" i="2" s="1"/>
  <c r="L36" i="2" s="1"/>
  <c r="K36" i="2" l="1"/>
  <c r="M36" i="2" s="1"/>
  <c r="O37" i="2" s="1"/>
  <c r="L37" i="2" s="1"/>
  <c r="K37" i="2" l="1"/>
  <c r="M37" i="2" s="1"/>
  <c r="O38" i="2" s="1"/>
  <c r="L38" i="2" s="1"/>
  <c r="K38" i="2" l="1"/>
  <c r="M38" i="2" s="1"/>
  <c r="O39" i="2" s="1"/>
  <c r="O5" i="12" l="1"/>
  <c r="P5" i="12" s="1"/>
  <c r="F19" i="12"/>
  <c r="G19" i="12" s="1"/>
  <c r="E17" i="7"/>
  <c r="L39" i="2"/>
  <c r="C17" i="7" s="1"/>
  <c r="K39" i="2"/>
  <c r="E29" i="2" l="1"/>
  <c r="M39" i="2"/>
  <c r="B17" i="7"/>
  <c r="G17" i="7" s="1"/>
  <c r="O40" i="2"/>
  <c r="D17" i="7"/>
  <c r="R17" i="7" l="1"/>
  <c r="S17" i="7" s="1"/>
  <c r="P17" i="7"/>
  <c r="Q17" i="7" s="1"/>
  <c r="V17" i="7" s="1"/>
  <c r="H5" i="2" s="1"/>
  <c r="L40" i="2"/>
  <c r="K40" i="2"/>
  <c r="M40" i="2" l="1"/>
  <c r="O41" i="2" s="1"/>
  <c r="L41" i="2" s="1"/>
  <c r="K41" i="2" l="1"/>
  <c r="M41" i="2" s="1"/>
  <c r="O42" i="2" s="1"/>
  <c r="K42" i="2" s="1"/>
  <c r="L42" i="2" l="1"/>
  <c r="M42" i="2" s="1"/>
  <c r="O43" i="2" s="1"/>
  <c r="L43" i="2" l="1"/>
  <c r="K43" i="2"/>
  <c r="M43" i="2" l="1"/>
  <c r="O44" i="2" s="1"/>
  <c r="K44" i="2" s="1"/>
  <c r="L44" i="2" l="1"/>
  <c r="M44" i="2" s="1"/>
  <c r="O45" i="2" s="1"/>
  <c r="K45" i="2" l="1"/>
  <c r="L45" i="2"/>
  <c r="M45" i="2" l="1"/>
  <c r="O46" i="2" s="1"/>
  <c r="L46" i="2" l="1"/>
  <c r="K46" i="2"/>
  <c r="M46" i="2" l="1"/>
  <c r="O47" i="2" s="1"/>
  <c r="L47" i="2" s="1"/>
  <c r="K47" i="2" l="1"/>
  <c r="M47" i="2" s="1"/>
  <c r="O48" i="2" s="1"/>
  <c r="K48" i="2" l="1"/>
  <c r="L48" i="2"/>
  <c r="M48" i="2" l="1"/>
  <c r="O49" i="2" s="1"/>
  <c r="L49" i="2"/>
  <c r="K49" i="2"/>
  <c r="M49" i="2" l="1"/>
  <c r="O50" i="2" s="1"/>
  <c r="L50" i="2" s="1"/>
  <c r="K50" i="2" l="1"/>
  <c r="M50" i="2" s="1"/>
  <c r="O51" i="2" s="1"/>
  <c r="O6" i="12" l="1"/>
  <c r="P6" i="12" s="1"/>
  <c r="F20" i="12"/>
  <c r="L51" i="2"/>
  <c r="C18" i="7" s="1"/>
  <c r="K51" i="2"/>
  <c r="E18" i="7"/>
  <c r="G20" i="12" l="1"/>
  <c r="M51" i="2"/>
  <c r="O52" i="2" s="1"/>
  <c r="B18" i="7"/>
  <c r="G18" i="7" s="1"/>
  <c r="D18" i="7"/>
  <c r="E30" i="2" l="1"/>
  <c r="R18" i="7"/>
  <c r="S18" i="7" s="1"/>
  <c r="P18" i="7"/>
  <c r="Q18" i="7" s="1"/>
  <c r="V18" i="7" s="1"/>
  <c r="H6" i="2" s="1"/>
  <c r="K52" i="2"/>
  <c r="L52" i="2"/>
  <c r="M52" i="2" l="1"/>
  <c r="O53" i="2" s="1"/>
  <c r="K53" i="2" l="1"/>
  <c r="L53" i="2"/>
  <c r="M53" i="2" l="1"/>
  <c r="O54" i="2" s="1"/>
  <c r="L54" i="2" l="1"/>
  <c r="K54" i="2"/>
  <c r="M54" i="2" l="1"/>
  <c r="O55" i="2" s="1"/>
  <c r="K55" i="2" s="1"/>
  <c r="L55" i="2" l="1"/>
  <c r="M55" i="2"/>
  <c r="O56" i="2" s="1"/>
  <c r="L56" i="2" l="1"/>
  <c r="K56" i="2"/>
  <c r="M56" i="2" s="1"/>
  <c r="O57" i="2" s="1"/>
  <c r="K57" i="2" l="1"/>
  <c r="L57" i="2"/>
  <c r="M57" i="2" l="1"/>
  <c r="O58" i="2" s="1"/>
  <c r="L58" i="2" l="1"/>
  <c r="K58" i="2"/>
  <c r="M58" i="2" l="1"/>
  <c r="O59" i="2" s="1"/>
  <c r="L59" i="2" s="1"/>
  <c r="K59" i="2" l="1"/>
  <c r="M59" i="2" s="1"/>
  <c r="O60" i="2" s="1"/>
  <c r="K60" i="2" s="1"/>
  <c r="L60" i="2" l="1"/>
  <c r="M60" i="2" s="1"/>
  <c r="O61" i="2" s="1"/>
  <c r="K61" i="2" l="1"/>
  <c r="L61" i="2"/>
  <c r="M61" i="2" l="1"/>
  <c r="O62" i="2" s="1"/>
  <c r="L62" i="2" l="1"/>
  <c r="K62" i="2"/>
  <c r="M62" i="2" s="1"/>
  <c r="O63" i="2" s="1"/>
  <c r="O7" i="12" l="1"/>
  <c r="P7" i="12" s="1"/>
  <c r="F21" i="12"/>
  <c r="L63" i="2"/>
  <c r="C19" i="7" s="1"/>
  <c r="K63" i="2"/>
  <c r="E19" i="7"/>
  <c r="G21" i="12" l="1"/>
  <c r="E31" i="2" s="1"/>
  <c r="M63" i="2"/>
  <c r="B19" i="7"/>
  <c r="G19" i="7" l="1"/>
  <c r="P19" i="7"/>
  <c r="Q19" i="7" s="1"/>
  <c r="V19" i="7" s="1"/>
  <c r="H7" i="2" s="1"/>
  <c r="R19" i="7"/>
  <c r="S19" i="7" s="1"/>
  <c r="O64" i="2"/>
  <c r="D19" i="7"/>
  <c r="L64" i="2" l="1"/>
  <c r="K64" i="2"/>
  <c r="M64" i="2" l="1"/>
  <c r="O65" i="2" s="1"/>
  <c r="L65" i="2" s="1"/>
  <c r="K65" i="2" l="1"/>
  <c r="M65" i="2" s="1"/>
  <c r="O66" i="2" s="1"/>
  <c r="K66" i="2" s="1"/>
  <c r="L66" i="2" l="1"/>
  <c r="M66" i="2" s="1"/>
  <c r="O67" i="2" s="1"/>
  <c r="L67" i="2" l="1"/>
  <c r="K67" i="2"/>
  <c r="M67" i="2" l="1"/>
  <c r="O68" i="2" s="1"/>
  <c r="L68" i="2" s="1"/>
  <c r="K68" i="2" l="1"/>
  <c r="M68" i="2" s="1"/>
  <c r="O69" i="2" s="1"/>
  <c r="L69" i="2" s="1"/>
  <c r="K69" i="2" l="1"/>
  <c r="M69" i="2" s="1"/>
  <c r="O70" i="2" s="1"/>
  <c r="L70" i="2" l="1"/>
  <c r="K70" i="2"/>
  <c r="M70" i="2" l="1"/>
  <c r="O71" i="2" s="1"/>
  <c r="L71" i="2" s="1"/>
  <c r="K71" i="2" l="1"/>
  <c r="M71" i="2" s="1"/>
  <c r="O72" i="2" s="1"/>
  <c r="K72" i="2" s="1"/>
  <c r="L72" i="2" l="1"/>
  <c r="M72" i="2" s="1"/>
  <c r="O73" i="2" s="1"/>
  <c r="L73" i="2" s="1"/>
  <c r="K73" i="2" l="1"/>
  <c r="M73" i="2" s="1"/>
  <c r="O74" i="2" s="1"/>
  <c r="L74" i="2" s="1"/>
  <c r="K74" i="2" l="1"/>
  <c r="M74" i="2" s="1"/>
  <c r="O75" i="2" s="1"/>
  <c r="O8" i="12" l="1"/>
  <c r="P8" i="12" s="1"/>
  <c r="F22" i="12"/>
  <c r="L75" i="2"/>
  <c r="C20" i="7" s="1"/>
  <c r="K75" i="2"/>
  <c r="B20" i="7" s="1"/>
  <c r="G20" i="7" s="1"/>
  <c r="E20" i="7"/>
  <c r="G22" i="12" l="1"/>
  <c r="E32" i="2" s="1"/>
  <c r="P20" i="7"/>
  <c r="Q20" i="7" s="1"/>
  <c r="V20" i="7" s="1"/>
  <c r="H8" i="2" s="1"/>
  <c r="R20" i="7"/>
  <c r="S20" i="7" s="1"/>
  <c r="M75" i="2"/>
  <c r="O76" i="2" l="1"/>
  <c r="D20" i="7"/>
  <c r="K76" i="2" l="1"/>
  <c r="L76" i="2"/>
  <c r="M76" i="2" l="1"/>
  <c r="O77" i="2" s="1"/>
  <c r="L77" i="2" l="1"/>
  <c r="K77" i="2"/>
  <c r="M77" i="2" l="1"/>
  <c r="O78" i="2" s="1"/>
  <c r="K78" i="2" s="1"/>
  <c r="L78" i="2" l="1"/>
  <c r="M78" i="2"/>
  <c r="O79" i="2" s="1"/>
  <c r="L79" i="2" l="1"/>
  <c r="K79" i="2"/>
  <c r="M79" i="2" l="1"/>
  <c r="O80" i="2" s="1"/>
  <c r="K80" i="2" s="1"/>
  <c r="L80" i="2"/>
  <c r="M80" i="2" s="1"/>
  <c r="O81" i="2" s="1"/>
  <c r="L81" i="2" l="1"/>
  <c r="K81" i="2"/>
  <c r="M81" i="2" l="1"/>
  <c r="O82" i="2" s="1"/>
  <c r="L82" i="2" s="1"/>
  <c r="K82" i="2" l="1"/>
  <c r="M82" i="2" s="1"/>
  <c r="O83" i="2" s="1"/>
  <c r="L83" i="2" s="1"/>
  <c r="K83" i="2" l="1"/>
  <c r="M83" i="2" s="1"/>
  <c r="O84" i="2" s="1"/>
  <c r="L84" i="2" s="1"/>
  <c r="K84" i="2" l="1"/>
  <c r="M84" i="2" s="1"/>
  <c r="O85" i="2" s="1"/>
  <c r="L85" i="2" s="1"/>
  <c r="K85" i="2" l="1"/>
  <c r="M85" i="2" s="1"/>
  <c r="O86" i="2" s="1"/>
  <c r="L86" i="2" s="1"/>
  <c r="K86" i="2" l="1"/>
  <c r="M86" i="2" s="1"/>
  <c r="O87" i="2" s="1"/>
  <c r="O9" i="12" l="1"/>
  <c r="P9" i="12" s="1"/>
  <c r="F23" i="12"/>
  <c r="E21" i="7"/>
  <c r="L87" i="2"/>
  <c r="C21" i="7" s="1"/>
  <c r="K87" i="2"/>
  <c r="G23" i="12" l="1"/>
  <c r="B24" i="12" s="1"/>
  <c r="H22" i="2" s="1"/>
  <c r="M87" i="2"/>
  <c r="B21" i="7"/>
  <c r="E33" i="2" l="1"/>
  <c r="P21" i="7"/>
  <c r="Q21" i="7" s="1"/>
  <c r="V21" i="7" s="1"/>
  <c r="H9" i="2" s="1"/>
  <c r="G21" i="7"/>
  <c r="R21" i="7"/>
  <c r="S21" i="7" s="1"/>
  <c r="O88" i="2"/>
  <c r="D21" i="7"/>
  <c r="K88" i="2" l="1"/>
  <c r="L88" i="2"/>
  <c r="M88" i="2" l="1"/>
  <c r="O89" i="2" s="1"/>
  <c r="K89" i="2" l="1"/>
  <c r="L89" i="2"/>
  <c r="M89" i="2" s="1"/>
  <c r="O90" i="2" s="1"/>
  <c r="K90" i="2" l="1"/>
  <c r="L90" i="2"/>
  <c r="M90" i="2" l="1"/>
  <c r="O91" i="2" s="1"/>
  <c r="K91" i="2" l="1"/>
  <c r="L91" i="2"/>
  <c r="M91" i="2" l="1"/>
  <c r="O92" i="2" s="1"/>
  <c r="L92" i="2" s="1"/>
  <c r="K92" i="2" l="1"/>
  <c r="M92" i="2" s="1"/>
  <c r="O93" i="2" s="1"/>
  <c r="L93" i="2" s="1"/>
  <c r="K93" i="2" l="1"/>
  <c r="M93" i="2" s="1"/>
  <c r="O94" i="2" s="1"/>
  <c r="K94" i="2" s="1"/>
  <c r="L94" i="2" l="1"/>
  <c r="M94" i="2" s="1"/>
  <c r="O95" i="2" s="1"/>
  <c r="L95" i="2" s="1"/>
  <c r="K95" i="2" l="1"/>
  <c r="M95" i="2" s="1"/>
  <c r="O96" i="2" s="1"/>
  <c r="L96" i="2" s="1"/>
  <c r="K96" i="2" l="1"/>
  <c r="M96" i="2"/>
  <c r="O97" i="2" s="1"/>
  <c r="L97" i="2" s="1"/>
  <c r="K97" i="2" l="1"/>
  <c r="M97" i="2"/>
  <c r="O98" i="2" s="1"/>
  <c r="L98" i="2" s="1"/>
  <c r="K98" i="2" l="1"/>
  <c r="M98" i="2" s="1"/>
  <c r="O99" i="2" s="1"/>
  <c r="F24" i="12" s="1"/>
  <c r="G24" i="12" s="1"/>
  <c r="O10" i="12" l="1"/>
  <c r="P10" i="12" s="1"/>
  <c r="E34" i="2" s="1"/>
  <c r="E22" i="7"/>
  <c r="K99" i="2"/>
  <c r="L99" i="2"/>
  <c r="C22" i="7" s="1"/>
  <c r="B22" i="7"/>
  <c r="M99" i="2" l="1"/>
  <c r="G22" i="7"/>
  <c r="P22" i="7"/>
  <c r="Q22" i="7" s="1"/>
  <c r="V22" i="7" s="1"/>
  <c r="H10" i="2" s="1"/>
  <c r="R22" i="7"/>
  <c r="S22" i="7" s="1"/>
  <c r="O100" i="2"/>
  <c r="D22" i="7"/>
  <c r="L100" i="2" l="1"/>
  <c r="K100" i="2"/>
  <c r="M100" i="2" s="1"/>
  <c r="O101" i="2" s="1"/>
  <c r="L101" i="2" l="1"/>
  <c r="K101" i="2"/>
  <c r="M101" i="2" s="1"/>
  <c r="O102" i="2" s="1"/>
  <c r="L102" i="2" l="1"/>
  <c r="K102" i="2"/>
  <c r="M102" i="2" l="1"/>
  <c r="O103" i="2" s="1"/>
  <c r="L103" i="2" s="1"/>
  <c r="K103" i="2" l="1"/>
  <c r="M103" i="2" s="1"/>
  <c r="O104" i="2" s="1"/>
  <c r="K104" i="2" s="1"/>
  <c r="L104" i="2" l="1"/>
  <c r="M104" i="2" s="1"/>
  <c r="O105" i="2" s="1"/>
  <c r="L105" i="2" l="1"/>
  <c r="K105" i="2"/>
  <c r="M105" i="2" s="1"/>
  <c r="O106" i="2" s="1"/>
  <c r="K106" i="2" l="1"/>
  <c r="L106" i="2"/>
  <c r="M106" i="2" l="1"/>
  <c r="O107" i="2" s="1"/>
  <c r="L107" i="2" l="1"/>
  <c r="K107" i="2"/>
  <c r="M107" i="2" l="1"/>
  <c r="O108" i="2" s="1"/>
  <c r="L108" i="2" s="1"/>
  <c r="K108" i="2"/>
  <c r="M108" i="2" l="1"/>
  <c r="O109" i="2" s="1"/>
  <c r="L109" i="2" s="1"/>
  <c r="K109" i="2" l="1"/>
  <c r="M109" i="2" s="1"/>
  <c r="O110" i="2" s="1"/>
  <c r="L110" i="2" s="1"/>
  <c r="K110" i="2" l="1"/>
  <c r="M110" i="2" s="1"/>
  <c r="O111" i="2" s="1"/>
  <c r="E23" i="7" s="1"/>
  <c r="O11" i="12" l="1"/>
  <c r="P11" i="12" s="1"/>
  <c r="F25" i="12"/>
  <c r="L111" i="2"/>
  <c r="C23" i="7" s="1"/>
  <c r="K111" i="2"/>
  <c r="M111" i="2" l="1"/>
  <c r="G25" i="12"/>
  <c r="E35" i="2" s="1"/>
  <c r="B23" i="7"/>
  <c r="G23" i="7" s="1"/>
  <c r="O112" i="2"/>
  <c r="D23" i="7"/>
  <c r="R23" i="7" l="1"/>
  <c r="S23" i="7" s="1"/>
  <c r="P23" i="7"/>
  <c r="Q23" i="7" s="1"/>
  <c r="V23" i="7" s="1"/>
  <c r="H11" i="2" s="1"/>
  <c r="K112" i="2"/>
  <c r="L112" i="2"/>
  <c r="M112" i="2" l="1"/>
  <c r="O113" i="2" s="1"/>
  <c r="K113" i="2" l="1"/>
  <c r="L113" i="2"/>
  <c r="M113" i="2" l="1"/>
  <c r="O114" i="2" s="1"/>
  <c r="L114" i="2" s="1"/>
  <c r="K114" i="2" l="1"/>
  <c r="M114" i="2" s="1"/>
  <c r="O115" i="2" s="1"/>
  <c r="L115" i="2" s="1"/>
  <c r="K115" i="2" l="1"/>
  <c r="M115" i="2" s="1"/>
  <c r="O116" i="2" s="1"/>
  <c r="K116" i="2" l="1"/>
  <c r="L116" i="2"/>
  <c r="M116" i="2" l="1"/>
  <c r="O117" i="2" s="1"/>
  <c r="L117" i="2" s="1"/>
  <c r="K117" i="2" l="1"/>
  <c r="M117" i="2" s="1"/>
  <c r="O118" i="2" s="1"/>
  <c r="K118" i="2" l="1"/>
  <c r="L118" i="2"/>
  <c r="M118" i="2" l="1"/>
  <c r="O119" i="2" s="1"/>
  <c r="L119" i="2" s="1"/>
  <c r="K119" i="2" l="1"/>
  <c r="M119" i="2" s="1"/>
  <c r="O120" i="2" s="1"/>
  <c r="K120" i="2" s="1"/>
  <c r="L120" i="2" l="1"/>
  <c r="M120" i="2" s="1"/>
  <c r="O121" i="2" s="1"/>
  <c r="L121" i="2" s="1"/>
  <c r="K121" i="2" l="1"/>
  <c r="M121" i="2" s="1"/>
  <c r="O122" i="2" s="1"/>
  <c r="L122" i="2" l="1"/>
  <c r="K122" i="2"/>
  <c r="M122" i="2"/>
  <c r="O123" i="2" s="1"/>
  <c r="O12" i="12"/>
  <c r="P12" i="12" s="1"/>
  <c r="F26" i="12"/>
  <c r="E24" i="7"/>
  <c r="L123" i="2"/>
  <c r="C24" i="7" s="1"/>
  <c r="K123" i="2"/>
  <c r="G26" i="12" l="1"/>
  <c r="E36" i="2" s="1"/>
  <c r="M123" i="2"/>
  <c r="B24" i="7"/>
  <c r="G24" i="7" l="1"/>
  <c r="R24" i="7"/>
  <c r="S24" i="7" s="1"/>
  <c r="P24" i="7"/>
  <c r="Q24" i="7" s="1"/>
  <c r="V24" i="7" s="1"/>
  <c r="H12" i="2" s="1"/>
  <c r="O124" i="2"/>
  <c r="D24" i="7"/>
  <c r="L124" i="2" l="1"/>
  <c r="K124" i="2"/>
  <c r="M124" i="2" l="1"/>
  <c r="O125" i="2" s="1"/>
  <c r="L125" i="2" s="1"/>
  <c r="K125" i="2"/>
  <c r="M125" i="2" l="1"/>
  <c r="O126" i="2" s="1"/>
  <c r="L126" i="2" s="1"/>
  <c r="K126" i="2" l="1"/>
  <c r="M126" i="2" s="1"/>
  <c r="O127" i="2" s="1"/>
  <c r="L127" i="2" s="1"/>
  <c r="K127" i="2" l="1"/>
  <c r="M127" i="2" s="1"/>
  <c r="O128" i="2" s="1"/>
  <c r="L128" i="2" s="1"/>
  <c r="K128" i="2" l="1"/>
  <c r="M128" i="2" s="1"/>
  <c r="O129" i="2" s="1"/>
  <c r="L129" i="2" s="1"/>
  <c r="K129" i="2" l="1"/>
  <c r="M129" i="2" s="1"/>
  <c r="O130" i="2" s="1"/>
  <c r="L130" i="2" s="1"/>
  <c r="K130" i="2" l="1"/>
  <c r="M130" i="2" s="1"/>
  <c r="O131" i="2" s="1"/>
  <c r="L131" i="2" s="1"/>
  <c r="K131" i="2" l="1"/>
  <c r="M131" i="2" s="1"/>
  <c r="O132" i="2" s="1"/>
  <c r="L132" i="2" l="1"/>
  <c r="K132" i="2"/>
  <c r="M132" i="2" s="1"/>
  <c r="O133" i="2" s="1"/>
  <c r="L133" i="2" s="1"/>
  <c r="K133" i="2" l="1"/>
  <c r="M133" i="2" s="1"/>
  <c r="O134" i="2" s="1"/>
  <c r="L134" i="2" s="1"/>
  <c r="K134" i="2" l="1"/>
  <c r="M134" i="2" s="1"/>
  <c r="O135" i="2" s="1"/>
  <c r="O13" i="12" l="1"/>
  <c r="P13" i="12" s="1"/>
  <c r="F27" i="12"/>
  <c r="K135" i="2"/>
  <c r="E25" i="7"/>
  <c r="L135" i="2"/>
  <c r="C25" i="7" s="1"/>
  <c r="B25" i="7"/>
  <c r="G27" i="12" l="1"/>
  <c r="E37" i="2" s="1"/>
  <c r="M135" i="2"/>
  <c r="O136" i="2" s="1"/>
  <c r="G25" i="7"/>
  <c r="R25" i="7"/>
  <c r="S25" i="7" s="1"/>
  <c r="P25" i="7"/>
  <c r="Q25" i="7" s="1"/>
  <c r="V25" i="7" s="1"/>
  <c r="D25" i="7"/>
  <c r="K136" i="2" l="1"/>
  <c r="L136" i="2"/>
  <c r="M136" i="2" l="1"/>
  <c r="O137" i="2" s="1"/>
  <c r="K137" i="2" l="1"/>
  <c r="L137" i="2"/>
  <c r="M137" i="2" l="1"/>
  <c r="O138" i="2" s="1"/>
  <c r="L138" i="2" l="1"/>
  <c r="K138" i="2"/>
  <c r="M138" i="2" l="1"/>
  <c r="O139" i="2" s="1"/>
  <c r="L139" i="2" s="1"/>
  <c r="K139" i="2" l="1"/>
  <c r="M139" i="2" s="1"/>
  <c r="O140" i="2" s="1"/>
  <c r="L140" i="2" s="1"/>
  <c r="K140" i="2" l="1"/>
  <c r="M140" i="2" s="1"/>
  <c r="O141" i="2" s="1"/>
  <c r="L141" i="2" s="1"/>
  <c r="K141" i="2" l="1"/>
  <c r="M141" i="2" s="1"/>
  <c r="O142" i="2" s="1"/>
  <c r="L142" i="2" s="1"/>
  <c r="K142" i="2" l="1"/>
  <c r="M142" i="2" s="1"/>
  <c r="O143" i="2" s="1"/>
  <c r="L143" i="2" l="1"/>
  <c r="K143" i="2"/>
  <c r="M143" i="2" s="1"/>
  <c r="O144" i="2" s="1"/>
  <c r="L144" i="2" s="1"/>
  <c r="K144" i="2" l="1"/>
  <c r="M144" i="2" s="1"/>
  <c r="O145" i="2" s="1"/>
  <c r="L145" i="2" s="1"/>
  <c r="K145" i="2" l="1"/>
  <c r="M145" i="2" s="1"/>
  <c r="O146" i="2" s="1"/>
  <c r="L146" i="2" l="1"/>
  <c r="K146" i="2"/>
  <c r="M146" i="2" s="1"/>
  <c r="O147" i="2" s="1"/>
  <c r="O14" i="12" l="1"/>
  <c r="P14" i="12" s="1"/>
  <c r="F28" i="12"/>
  <c r="E26" i="7"/>
  <c r="L147" i="2"/>
  <c r="C26" i="7" s="1"/>
  <c r="K147" i="2"/>
  <c r="G28" i="12" l="1"/>
  <c r="E38" i="2" s="1"/>
  <c r="M147" i="2"/>
  <c r="B26" i="7"/>
  <c r="G26" i="7" l="1"/>
  <c r="R26" i="7"/>
  <c r="S26" i="7" s="1"/>
  <c r="P26" i="7"/>
  <c r="Q26" i="7" s="1"/>
  <c r="V26" i="7" s="1"/>
  <c r="O148" i="2"/>
  <c r="D26" i="7"/>
  <c r="L148" i="2" l="1"/>
  <c r="K148" i="2"/>
  <c r="M148" i="2" s="1"/>
  <c r="O149" i="2" s="1"/>
  <c r="K149" i="2" l="1"/>
  <c r="L149" i="2"/>
  <c r="M149" i="2" l="1"/>
  <c r="O150" i="2" s="1"/>
  <c r="L150" i="2" l="1"/>
  <c r="K150" i="2"/>
  <c r="M150" i="2" l="1"/>
  <c r="O151" i="2" s="1"/>
  <c r="L151" i="2"/>
  <c r="K151" i="2"/>
  <c r="M151" i="2" s="1"/>
  <c r="O152" i="2" s="1"/>
  <c r="L152" i="2" l="1"/>
  <c r="K152" i="2"/>
  <c r="M152" i="2" l="1"/>
  <c r="O153" i="2" s="1"/>
  <c r="L153" i="2" s="1"/>
  <c r="K153" i="2" l="1"/>
  <c r="M153" i="2" s="1"/>
  <c r="O154" i="2" s="1"/>
  <c r="L154" i="2" s="1"/>
  <c r="K154" i="2" l="1"/>
  <c r="M154" i="2" s="1"/>
  <c r="O155" i="2" s="1"/>
  <c r="K155" i="2" l="1"/>
  <c r="L155" i="2"/>
  <c r="M155" i="2" l="1"/>
  <c r="O156" i="2" s="1"/>
  <c r="L156" i="2" s="1"/>
  <c r="K156" i="2" l="1"/>
  <c r="M156" i="2" s="1"/>
  <c r="O157" i="2" s="1"/>
  <c r="L157" i="2" s="1"/>
  <c r="K157" i="2" l="1"/>
  <c r="M157" i="2" s="1"/>
  <c r="O158" i="2" s="1"/>
  <c r="L158" i="2" l="1"/>
  <c r="K158" i="2"/>
  <c r="M158" i="2" s="1"/>
  <c r="O159" i="2" s="1"/>
  <c r="O15" i="12" l="1"/>
  <c r="F29" i="12"/>
  <c r="G29" i="12" s="1"/>
  <c r="P15" i="12"/>
  <c r="L159" i="2"/>
  <c r="C27" i="7" s="1"/>
  <c r="E27" i="7"/>
  <c r="K159" i="2"/>
  <c r="E39" i="2" l="1"/>
  <c r="M159" i="2"/>
  <c r="B27" i="7"/>
  <c r="G27" i="7" l="1"/>
  <c r="P27" i="7"/>
  <c r="Q27" i="7" s="1"/>
  <c r="V27" i="7" s="1"/>
  <c r="R27" i="7"/>
  <c r="S27" i="7" s="1"/>
  <c r="O160" i="2"/>
  <c r="D27" i="7"/>
  <c r="L160" i="2" l="1"/>
  <c r="K160" i="2"/>
  <c r="M160" i="2" l="1"/>
  <c r="O161" i="2" s="1"/>
  <c r="K161" i="2" s="1"/>
  <c r="L161" i="2" l="1"/>
  <c r="M161" i="2" s="1"/>
  <c r="O162" i="2" s="1"/>
  <c r="L162" i="2" l="1"/>
  <c r="K162" i="2"/>
  <c r="M162" i="2" s="1"/>
  <c r="O163" i="2" s="1"/>
  <c r="L163" i="2" l="1"/>
  <c r="K163" i="2"/>
  <c r="M163" i="2" s="1"/>
  <c r="O164" i="2" s="1"/>
  <c r="L164" i="2" l="1"/>
  <c r="K164" i="2"/>
  <c r="M164" i="2" l="1"/>
  <c r="O165" i="2" s="1"/>
  <c r="K165" i="2" s="1"/>
  <c r="L165" i="2" l="1"/>
  <c r="M165" i="2"/>
  <c r="O166" i="2" s="1"/>
  <c r="L166" i="2" l="1"/>
  <c r="K166" i="2"/>
  <c r="M166" i="2" l="1"/>
  <c r="O167" i="2" s="1"/>
  <c r="L167" i="2" s="1"/>
  <c r="K167" i="2" l="1"/>
  <c r="M167" i="2" s="1"/>
  <c r="O168" i="2" s="1"/>
  <c r="K168" i="2" s="1"/>
  <c r="L168" i="2" l="1"/>
  <c r="M168" i="2" s="1"/>
  <c r="O169" i="2" s="1"/>
  <c r="L169" i="2" l="1"/>
  <c r="K169" i="2"/>
  <c r="M169" i="2" l="1"/>
  <c r="O170" i="2" s="1"/>
  <c r="L170" i="2" s="1"/>
  <c r="K170" i="2" l="1"/>
  <c r="M170" i="2" s="1"/>
  <c r="O171" i="2" s="1"/>
  <c r="F30" i="12" s="1"/>
  <c r="G30" i="12" s="1"/>
  <c r="O16" i="12" l="1"/>
  <c r="P16" i="12" s="1"/>
  <c r="E40" i="2" s="1"/>
  <c r="E28" i="7"/>
  <c r="K171" i="2"/>
  <c r="L171" i="2"/>
  <c r="C28" i="7" s="1"/>
  <c r="B28" i="7"/>
  <c r="M171" i="2" l="1"/>
  <c r="G28" i="7"/>
  <c r="R28" i="7"/>
  <c r="S28" i="7" s="1"/>
  <c r="P28" i="7"/>
  <c r="Q28" i="7" s="1"/>
  <c r="V28" i="7" s="1"/>
  <c r="O172" i="2"/>
  <c r="D28" i="7"/>
  <c r="L172" i="2" l="1"/>
  <c r="K172" i="2"/>
  <c r="M172" i="2" l="1"/>
  <c r="O173" i="2" s="1"/>
  <c r="K173" i="2" s="1"/>
  <c r="L173" i="2" l="1"/>
  <c r="M173" i="2" s="1"/>
  <c r="O174" i="2" s="1"/>
  <c r="K174" i="2" l="1"/>
  <c r="L174" i="2"/>
  <c r="M174" i="2" l="1"/>
  <c r="O175" i="2" s="1"/>
  <c r="K175" i="2" l="1"/>
  <c r="L175" i="2"/>
  <c r="M175" i="2" l="1"/>
  <c r="O176" i="2" s="1"/>
  <c r="K176" i="2" l="1"/>
  <c r="L176" i="2"/>
  <c r="M176" i="2" l="1"/>
  <c r="O177" i="2" s="1"/>
  <c r="L177" i="2" l="1"/>
  <c r="K177" i="2"/>
  <c r="M177" i="2" l="1"/>
  <c r="O178" i="2" s="1"/>
  <c r="L178" i="2" s="1"/>
  <c r="K178" i="2" l="1"/>
  <c r="M178" i="2" s="1"/>
  <c r="O179" i="2" s="1"/>
  <c r="L179" i="2" s="1"/>
  <c r="K179" i="2" l="1"/>
  <c r="M179" i="2" s="1"/>
  <c r="O180" i="2" s="1"/>
  <c r="L180" i="2" s="1"/>
  <c r="K180" i="2" l="1"/>
  <c r="M180" i="2" s="1"/>
  <c r="O181" i="2" s="1"/>
  <c r="L181" i="2" s="1"/>
  <c r="K181" i="2" l="1"/>
  <c r="M181" i="2" s="1"/>
  <c r="O182" i="2" s="1"/>
  <c r="K182" i="2" s="1"/>
  <c r="L182" i="2" l="1"/>
  <c r="M182" i="2" s="1"/>
  <c r="O183" i="2" s="1"/>
  <c r="O17" i="12" l="1"/>
  <c r="F31" i="12"/>
  <c r="P17" i="12"/>
  <c r="E29" i="7"/>
  <c r="K183" i="2"/>
  <c r="L183" i="2"/>
  <c r="C29" i="7" s="1"/>
  <c r="B29" i="7"/>
  <c r="G31" i="12" l="1"/>
  <c r="E41" i="2" s="1"/>
  <c r="M183" i="2"/>
  <c r="O184" i="2" s="1"/>
  <c r="G29" i="7"/>
  <c r="P29" i="7"/>
  <c r="Q29" i="7" s="1"/>
  <c r="V29" i="7" s="1"/>
  <c r="R29" i="7"/>
  <c r="S29" i="7" s="1"/>
  <c r="D29" i="7"/>
  <c r="L184" i="2" l="1"/>
  <c r="K184" i="2"/>
  <c r="M184" i="2" l="1"/>
  <c r="O185" i="2" s="1"/>
  <c r="L185" i="2" s="1"/>
  <c r="K185" i="2" l="1"/>
  <c r="M185" i="2" s="1"/>
  <c r="O186" i="2" s="1"/>
  <c r="L186" i="2" l="1"/>
  <c r="K186" i="2"/>
  <c r="M186" i="2" l="1"/>
  <c r="O187" i="2" s="1"/>
  <c r="L187" i="2" s="1"/>
  <c r="K187" i="2" l="1"/>
  <c r="M187" i="2" s="1"/>
  <c r="O188" i="2" s="1"/>
  <c r="L188" i="2" s="1"/>
  <c r="K188" i="2" l="1"/>
  <c r="M188" i="2" s="1"/>
  <c r="O189" i="2" s="1"/>
  <c r="L189" i="2" l="1"/>
  <c r="K189" i="2"/>
  <c r="M189" i="2" s="1"/>
  <c r="O190" i="2" s="1"/>
  <c r="L190" i="2" s="1"/>
  <c r="K190" i="2" l="1"/>
  <c r="M190" i="2" s="1"/>
  <c r="O191" i="2" s="1"/>
  <c r="L191" i="2" s="1"/>
  <c r="K191" i="2" l="1"/>
  <c r="M191" i="2" s="1"/>
  <c r="O192" i="2" s="1"/>
  <c r="L192" i="2" s="1"/>
  <c r="K192" i="2" l="1"/>
  <c r="M192" i="2" s="1"/>
  <c r="O193" i="2" s="1"/>
  <c r="L193" i="2" l="1"/>
  <c r="K193" i="2"/>
  <c r="M193" i="2" l="1"/>
  <c r="O194" i="2" s="1"/>
  <c r="L194" i="2" s="1"/>
  <c r="K194" i="2" l="1"/>
  <c r="M194" i="2" s="1"/>
  <c r="O195" i="2" s="1"/>
  <c r="O18" i="12" l="1"/>
  <c r="P18" i="12" s="1"/>
  <c r="F32" i="12"/>
  <c r="G32" i="12" s="1"/>
  <c r="L195" i="2"/>
  <c r="C30" i="7" s="1"/>
  <c r="K195" i="2"/>
  <c r="B30" i="7" s="1"/>
  <c r="G30" i="7" s="1"/>
  <c r="E30" i="7"/>
  <c r="M195" i="2" l="1"/>
  <c r="R30" i="7"/>
  <c r="S30" i="7" s="1"/>
  <c r="P30" i="7"/>
  <c r="Q30" i="7" s="1"/>
  <c r="V30" i="7" s="1"/>
  <c r="O196" i="2" l="1"/>
  <c r="D30" i="7"/>
  <c r="K196" i="2" l="1"/>
  <c r="L196" i="2"/>
  <c r="M196" i="2" l="1"/>
  <c r="O197" i="2" s="1"/>
  <c r="K197" i="2" l="1"/>
  <c r="L197" i="2"/>
  <c r="M197" i="2" l="1"/>
  <c r="O198" i="2" s="1"/>
  <c r="L198" i="2" l="1"/>
  <c r="K198" i="2"/>
  <c r="M198" i="2" l="1"/>
  <c r="O199" i="2" s="1"/>
  <c r="K199" i="2" s="1"/>
  <c r="L199" i="2" l="1"/>
  <c r="M199" i="2" s="1"/>
  <c r="O200" i="2" s="1"/>
  <c r="K200" i="2" l="1"/>
  <c r="L200" i="2"/>
  <c r="M200" i="2" l="1"/>
  <c r="O201" i="2" s="1"/>
  <c r="L201" i="2" s="1"/>
  <c r="K201" i="2" l="1"/>
  <c r="M201" i="2" s="1"/>
  <c r="O202" i="2" s="1"/>
  <c r="L202" i="2" s="1"/>
  <c r="K202" i="2" l="1"/>
  <c r="M202" i="2" s="1"/>
  <c r="O203" i="2" s="1"/>
  <c r="K203" i="2" s="1"/>
  <c r="L203" i="2" l="1"/>
  <c r="M203" i="2" s="1"/>
  <c r="O204" i="2" s="1"/>
  <c r="L204" i="2" l="1"/>
  <c r="K204" i="2"/>
  <c r="M204" i="2" s="1"/>
  <c r="O205" i="2" s="1"/>
  <c r="L205" i="2" l="1"/>
  <c r="K205" i="2"/>
  <c r="M205" i="2" l="1"/>
  <c r="O206" i="2" s="1"/>
  <c r="L206" i="2" s="1"/>
  <c r="K206" i="2"/>
  <c r="M206" i="2" l="1"/>
  <c r="O207" i="2" l="1"/>
  <c r="F33" i="12" s="1"/>
  <c r="G33" i="12" s="1"/>
  <c r="O19" i="12" l="1"/>
  <c r="P19" i="12" s="1"/>
  <c r="L207" i="2"/>
  <c r="C31" i="7" s="1"/>
  <c r="K207" i="2"/>
  <c r="E31" i="7"/>
  <c r="M207" i="2" l="1"/>
  <c r="B31" i="7"/>
  <c r="G31" i="7" l="1"/>
  <c r="R31" i="7"/>
  <c r="S31" i="7" s="1"/>
  <c r="P31" i="7"/>
  <c r="Q31" i="7" s="1"/>
  <c r="V31" i="7" s="1"/>
  <c r="D31" i="7"/>
  <c r="O208" i="2"/>
  <c r="L208" i="2" l="1"/>
  <c r="K208" i="2"/>
  <c r="M208" i="2" l="1"/>
  <c r="O209" i="2" s="1"/>
  <c r="K209" i="2" s="1"/>
  <c r="L209" i="2" l="1"/>
  <c r="M209" i="2" s="1"/>
  <c r="O210" i="2" s="1"/>
  <c r="K210" i="2" l="1"/>
  <c r="L210" i="2"/>
  <c r="M210" i="2" l="1"/>
  <c r="O211" i="2" s="1"/>
  <c r="L211" i="2" s="1"/>
  <c r="K211" i="2" l="1"/>
  <c r="M211" i="2" s="1"/>
  <c r="O212" i="2" s="1"/>
  <c r="K212" i="2" s="1"/>
  <c r="L212" i="2" l="1"/>
  <c r="M212" i="2" s="1"/>
  <c r="O213" i="2" s="1"/>
  <c r="L213" i="2" s="1"/>
  <c r="K213" i="2" l="1"/>
  <c r="M213" i="2" s="1"/>
  <c r="O214" i="2" s="1"/>
  <c r="L214" i="2" s="1"/>
  <c r="K214" i="2" l="1"/>
  <c r="M214" i="2" s="1"/>
  <c r="O215" i="2" s="1"/>
  <c r="K215" i="2" s="1"/>
  <c r="L215" i="2" l="1"/>
  <c r="M215" i="2" s="1"/>
  <c r="O216" i="2" s="1"/>
  <c r="L216" i="2" l="1"/>
  <c r="K216" i="2"/>
  <c r="M216" i="2" s="1"/>
  <c r="O217" i="2" s="1"/>
  <c r="L217" i="2" l="1"/>
  <c r="K217" i="2"/>
  <c r="M217" i="2" s="1"/>
  <c r="O218" i="2" s="1"/>
  <c r="K218" i="2" l="1"/>
  <c r="L218" i="2"/>
  <c r="M218" i="2" l="1"/>
  <c r="O219" i="2" s="1"/>
  <c r="K219" i="2" s="1"/>
  <c r="E32" i="7" l="1"/>
  <c r="L219" i="2"/>
  <c r="C32" i="7" s="1"/>
  <c r="O20" i="12"/>
  <c r="P20" i="12" s="1"/>
  <c r="F34" i="12"/>
  <c r="G34" i="12" s="1"/>
  <c r="M219" i="2"/>
  <c r="B32" i="7"/>
  <c r="G32" i="7" l="1"/>
  <c r="R32" i="7"/>
  <c r="S32" i="7" s="1"/>
  <c r="P32" i="7"/>
  <c r="Q32" i="7" s="1"/>
  <c r="V32" i="7" s="1"/>
  <c r="D32" i="7"/>
  <c r="O220" i="2"/>
  <c r="L220" i="2" l="1"/>
  <c r="K220" i="2"/>
  <c r="M220" i="2" l="1"/>
  <c r="O221" i="2" s="1"/>
  <c r="L221" i="2" s="1"/>
  <c r="K221" i="2" l="1"/>
  <c r="M221" i="2" s="1"/>
  <c r="O222" i="2" s="1"/>
  <c r="K222" i="2" s="1"/>
  <c r="L222" i="2" l="1"/>
  <c r="M222" i="2" s="1"/>
  <c r="O223" i="2" s="1"/>
  <c r="L223" i="2" l="1"/>
  <c r="K223" i="2"/>
  <c r="M223" i="2" s="1"/>
  <c r="O224" i="2" s="1"/>
  <c r="L224" i="2" l="1"/>
  <c r="K224" i="2"/>
  <c r="M224" i="2" s="1"/>
  <c r="O225" i="2" s="1"/>
  <c r="L225" i="2" l="1"/>
  <c r="K225" i="2"/>
  <c r="M225" i="2" l="1"/>
  <c r="O226" i="2" s="1"/>
  <c r="K226" i="2" s="1"/>
  <c r="L226" i="2" l="1"/>
  <c r="M226" i="2"/>
  <c r="O227" i="2" s="1"/>
  <c r="L227" i="2" s="1"/>
  <c r="K227" i="2" l="1"/>
  <c r="M227" i="2" s="1"/>
  <c r="O228" i="2" s="1"/>
  <c r="L228" i="2" l="1"/>
  <c r="K228" i="2"/>
  <c r="M228" i="2" s="1"/>
  <c r="O229" i="2" s="1"/>
  <c r="K229" i="2" s="1"/>
  <c r="L229" i="2" l="1"/>
  <c r="M229" i="2" s="1"/>
  <c r="O230" i="2" s="1"/>
  <c r="L230" i="2" l="1"/>
  <c r="K230" i="2"/>
  <c r="M230" i="2" l="1"/>
  <c r="O231" i="2" l="1"/>
  <c r="F35" i="12" l="1"/>
  <c r="G35" i="12" s="1"/>
  <c r="O21" i="12"/>
  <c r="P21" i="12" s="1"/>
  <c r="E33" i="7"/>
  <c r="L231" i="2"/>
  <c r="C33" i="7" s="1"/>
  <c r="K231" i="2"/>
  <c r="M231" i="2" l="1"/>
  <c r="B33" i="7"/>
  <c r="G33" i="7" l="1"/>
  <c r="P33" i="7"/>
  <c r="Q33" i="7" s="1"/>
  <c r="V33" i="7" s="1"/>
  <c r="R33" i="7"/>
  <c r="S33" i="7" s="1"/>
  <c r="D33" i="7"/>
  <c r="O232" i="2"/>
  <c r="L232" i="2" l="1"/>
  <c r="K232" i="2"/>
  <c r="M232" i="2" l="1"/>
  <c r="O233" i="2" s="1"/>
  <c r="L233" i="2" s="1"/>
  <c r="K233" i="2" l="1"/>
  <c r="M233" i="2" s="1"/>
  <c r="O234" i="2" s="1"/>
  <c r="K234" i="2" s="1"/>
  <c r="L234" i="2" l="1"/>
  <c r="M234" i="2"/>
  <c r="O235" i="2" s="1"/>
  <c r="K235" i="2" s="1"/>
  <c r="L235" i="2" l="1"/>
  <c r="M235" i="2" s="1"/>
  <c r="O236" i="2" s="1"/>
  <c r="L236" i="2" l="1"/>
  <c r="K236" i="2"/>
  <c r="M236" i="2" s="1"/>
  <c r="O237" i="2" s="1"/>
  <c r="L237" i="2" l="1"/>
  <c r="K237" i="2"/>
  <c r="M237" i="2" l="1"/>
  <c r="O238" i="2" s="1"/>
  <c r="L238" i="2" s="1"/>
  <c r="K238" i="2"/>
  <c r="M238" i="2" l="1"/>
  <c r="O239" i="2" s="1"/>
  <c r="K239" i="2" s="1"/>
  <c r="L239" i="2" l="1"/>
  <c r="M239" i="2" s="1"/>
  <c r="O240" i="2" s="1"/>
  <c r="L240" i="2" l="1"/>
  <c r="K240" i="2"/>
  <c r="M240" i="2" l="1"/>
  <c r="O241" i="2" l="1"/>
  <c r="K241" i="2" l="1"/>
  <c r="L241" i="2"/>
  <c r="M241" i="2" l="1"/>
  <c r="O242" i="2" l="1"/>
  <c r="L242" i="2" l="1"/>
  <c r="K242" i="2"/>
  <c r="M242" i="2" l="1"/>
  <c r="O243" i="2" l="1"/>
  <c r="F36" i="12" s="1"/>
  <c r="G36" i="12" s="1"/>
  <c r="K243" i="2" l="1"/>
  <c r="L243" i="2"/>
  <c r="C34" i="7" s="1"/>
  <c r="O22" i="12"/>
  <c r="P22" i="12" s="1"/>
  <c r="E34" i="7"/>
  <c r="M243" i="2" l="1"/>
  <c r="B34" i="7"/>
  <c r="G34" i="7" l="1"/>
  <c r="P34" i="7"/>
  <c r="Q34" i="7" s="1"/>
  <c r="V34" i="7" s="1"/>
  <c r="R34" i="7"/>
  <c r="S34" i="7" s="1"/>
  <c r="D34" i="7"/>
  <c r="O244" i="2"/>
  <c r="L244" i="2" l="1"/>
  <c r="K244" i="2"/>
  <c r="M244" i="2" l="1"/>
  <c r="O245" i="2" s="1"/>
  <c r="L245" i="2" s="1"/>
  <c r="K245" i="2" l="1"/>
  <c r="M245" i="2" s="1"/>
  <c r="O246" i="2" s="1"/>
  <c r="K246" i="2" s="1"/>
  <c r="L246" i="2" l="1"/>
  <c r="M246" i="2"/>
  <c r="O247" i="2" s="1"/>
  <c r="L247" i="2" s="1"/>
  <c r="K247" i="2" l="1"/>
  <c r="M247" i="2" s="1"/>
  <c r="O248" i="2" s="1"/>
  <c r="K248" i="2" s="1"/>
  <c r="L248" i="2" l="1"/>
  <c r="M248" i="2" s="1"/>
  <c r="O249" i="2" s="1"/>
  <c r="K249" i="2" s="1"/>
  <c r="L249" i="2" l="1"/>
  <c r="M249" i="2" s="1"/>
  <c r="O250" i="2" l="1"/>
  <c r="L250" i="2" l="1"/>
  <c r="K250" i="2"/>
  <c r="M250" i="2" l="1"/>
  <c r="O251" i="2" l="1"/>
  <c r="L251" i="2" l="1"/>
  <c r="K251" i="2"/>
  <c r="M251" i="2" l="1"/>
  <c r="O252" i="2" l="1"/>
  <c r="L252" i="2" l="1"/>
  <c r="K252" i="2"/>
  <c r="M252" i="2" l="1"/>
  <c r="O253" i="2" l="1"/>
  <c r="K253" i="2" l="1"/>
  <c r="L253" i="2"/>
  <c r="M253" i="2" l="1"/>
  <c r="O254" i="2" s="1"/>
  <c r="L254" i="2" l="1"/>
  <c r="K254" i="2"/>
  <c r="M254" i="2" s="1"/>
  <c r="O255" i="2" s="1"/>
  <c r="F37" i="12" s="1"/>
  <c r="G37" i="12" s="1"/>
  <c r="O23" i="12" l="1"/>
  <c r="P23" i="12" s="1"/>
  <c r="L255" i="2"/>
  <c r="C35" i="7" s="1"/>
  <c r="E35" i="7"/>
  <c r="K255" i="2"/>
  <c r="M255" i="2" l="1"/>
  <c r="B35" i="7"/>
  <c r="G35" i="7" l="1"/>
  <c r="P35" i="7"/>
  <c r="Q35" i="7" s="1"/>
  <c r="V35" i="7" s="1"/>
  <c r="R35" i="7"/>
  <c r="S35" i="7" s="1"/>
  <c r="D35" i="7"/>
  <c r="O256" i="2"/>
  <c r="L256" i="2" l="1"/>
  <c r="K256" i="2"/>
  <c r="M256" i="2" l="1"/>
  <c r="O257" i="2" l="1"/>
  <c r="K257" i="2" l="1"/>
  <c r="L257" i="2"/>
  <c r="M257" i="2" l="1"/>
  <c r="O258" i="2" l="1"/>
  <c r="L258" i="2" l="1"/>
  <c r="K258" i="2"/>
  <c r="M258" i="2" l="1"/>
  <c r="O259" i="2" l="1"/>
  <c r="K259" i="2" l="1"/>
  <c r="L259" i="2"/>
  <c r="M259" i="2" l="1"/>
  <c r="O260" i="2" l="1"/>
  <c r="K260" i="2" l="1"/>
  <c r="L260" i="2"/>
  <c r="M260" i="2" l="1"/>
  <c r="O261" i="2" l="1"/>
  <c r="L261" i="2" l="1"/>
  <c r="K261" i="2"/>
  <c r="M261" i="2" s="1"/>
  <c r="O262" i="2" s="1"/>
  <c r="L262" i="2" l="1"/>
  <c r="K262" i="2"/>
  <c r="M262" i="2" l="1"/>
  <c r="O263" i="2" s="1"/>
  <c r="L263" i="2" s="1"/>
  <c r="K263" i="2" l="1"/>
  <c r="M263" i="2"/>
  <c r="O264" i="2" l="1"/>
  <c r="L264" i="2" l="1"/>
  <c r="K264" i="2"/>
  <c r="M264" i="2" l="1"/>
  <c r="O265" i="2" l="1"/>
  <c r="L265" i="2" l="1"/>
  <c r="K265" i="2"/>
  <c r="M265" i="2" l="1"/>
  <c r="O266" i="2" l="1"/>
  <c r="K266" i="2" l="1"/>
  <c r="L266" i="2"/>
  <c r="M266" i="2" l="1"/>
  <c r="O267" i="2" l="1"/>
  <c r="F38" i="12" l="1"/>
  <c r="G38" i="12" s="1"/>
  <c r="O24" i="12"/>
  <c r="P24" i="12" s="1"/>
  <c r="K267" i="2"/>
  <c r="L267" i="2"/>
  <c r="C36" i="7" s="1"/>
  <c r="E36" i="7"/>
  <c r="M267" i="2" l="1"/>
  <c r="B36" i="7"/>
  <c r="G36" i="7" l="1"/>
  <c r="R36" i="7"/>
  <c r="S36" i="7" s="1"/>
  <c r="P36" i="7"/>
  <c r="Q36" i="7" s="1"/>
  <c r="V36" i="7" s="1"/>
  <c r="D36" i="7"/>
  <c r="O268" i="2"/>
  <c r="L268" i="2" l="1"/>
  <c r="K268" i="2"/>
  <c r="M268" i="2" l="1"/>
  <c r="O269" i="2" s="1"/>
  <c r="L269" i="2" s="1"/>
  <c r="K269" i="2" l="1"/>
  <c r="M269" i="2" s="1"/>
  <c r="O270" i="2" l="1"/>
  <c r="K270" i="2" l="1"/>
  <c r="L270" i="2"/>
  <c r="M270" i="2" l="1"/>
  <c r="O271" i="2" l="1"/>
  <c r="L271" i="2" l="1"/>
  <c r="K271" i="2"/>
  <c r="M271" i="2" l="1"/>
  <c r="O272" i="2" l="1"/>
  <c r="K272" i="2" l="1"/>
  <c r="L272" i="2"/>
  <c r="M272" i="2" l="1"/>
  <c r="O273" i="2" l="1"/>
  <c r="K273" i="2" l="1"/>
  <c r="L273" i="2"/>
  <c r="M273" i="2" l="1"/>
  <c r="O274" i="2" l="1"/>
  <c r="K274" i="2" l="1"/>
  <c r="L274" i="2"/>
  <c r="M274" i="2" l="1"/>
  <c r="O275" i="2" l="1"/>
  <c r="K275" i="2" l="1"/>
  <c r="L275" i="2"/>
  <c r="M275" i="2" l="1"/>
  <c r="O276" i="2" l="1"/>
  <c r="K276" i="2" l="1"/>
  <c r="L276" i="2"/>
  <c r="M276" i="2" l="1"/>
  <c r="O277" i="2" l="1"/>
  <c r="L277" i="2" l="1"/>
  <c r="K277" i="2"/>
  <c r="M277" i="2" l="1"/>
  <c r="O278" i="2" l="1"/>
  <c r="L278" i="2" l="1"/>
  <c r="K278" i="2"/>
  <c r="M278" i="2" l="1"/>
  <c r="O279" i="2" l="1"/>
  <c r="F39" i="12" s="1"/>
  <c r="G39" i="12" s="1"/>
  <c r="E37" i="7" l="1"/>
  <c r="L279" i="2"/>
  <c r="C37" i="7" s="1"/>
  <c r="O25" i="12"/>
  <c r="P25" i="12" s="1"/>
  <c r="K279" i="2"/>
  <c r="M279" i="2" l="1"/>
  <c r="B37" i="7"/>
  <c r="G37" i="7" l="1"/>
  <c r="R37" i="7"/>
  <c r="S37" i="7" s="1"/>
  <c r="P37" i="7"/>
  <c r="Q37" i="7" s="1"/>
  <c r="V37" i="7" s="1"/>
  <c r="D37" i="7"/>
  <c r="O280" i="2"/>
  <c r="L280" i="2" l="1"/>
  <c r="K280" i="2"/>
  <c r="M280" i="2" l="1"/>
  <c r="O281" i="2" l="1"/>
  <c r="K281" i="2" l="1"/>
  <c r="L281" i="2"/>
  <c r="M281" i="2" l="1"/>
  <c r="O282" i="2" l="1"/>
  <c r="K282" i="2" l="1"/>
  <c r="L282" i="2"/>
  <c r="M282" i="2" l="1"/>
  <c r="O283" i="2"/>
  <c r="K283" i="2" l="1"/>
  <c r="L283" i="2"/>
  <c r="M283" i="2" l="1"/>
  <c r="O284" i="2" l="1"/>
  <c r="L284" i="2" l="1"/>
  <c r="K284" i="2"/>
  <c r="M284" i="2" s="1"/>
  <c r="O285" i="2" s="1"/>
  <c r="L285" i="2" l="1"/>
  <c r="K285" i="2"/>
  <c r="M285" i="2" l="1"/>
  <c r="O286" i="2" l="1"/>
  <c r="L286" i="2" l="1"/>
  <c r="K286" i="2"/>
  <c r="M286" i="2" l="1"/>
  <c r="O287" i="2" l="1"/>
  <c r="K287" i="2" l="1"/>
  <c r="L287" i="2"/>
  <c r="M287" i="2" l="1"/>
  <c r="O288" i="2" l="1"/>
  <c r="L288" i="2" l="1"/>
  <c r="K288" i="2"/>
  <c r="M288" i="2" l="1"/>
  <c r="O289" i="2" l="1"/>
  <c r="K289" i="2" l="1"/>
  <c r="L289" i="2"/>
  <c r="M289" i="2" l="1"/>
  <c r="O290" i="2" l="1"/>
  <c r="L290" i="2" l="1"/>
  <c r="K290" i="2"/>
  <c r="M290" i="2" l="1"/>
  <c r="O291" i="2" l="1"/>
  <c r="F40" i="12" s="1"/>
  <c r="G40" i="12" s="1"/>
  <c r="O26" i="12" l="1"/>
  <c r="P26" i="12" s="1"/>
  <c r="L291" i="2"/>
  <c r="C38" i="7" s="1"/>
  <c r="K291" i="2"/>
  <c r="E38" i="7"/>
  <c r="M291" i="2" l="1"/>
  <c r="B38" i="7"/>
  <c r="G38" i="7" l="1"/>
  <c r="R38" i="7"/>
  <c r="S38" i="7" s="1"/>
  <c r="P38" i="7"/>
  <c r="Q38" i="7" s="1"/>
  <c r="V38" i="7" s="1"/>
  <c r="O292" i="2"/>
  <c r="D38" i="7"/>
  <c r="L292" i="2" l="1"/>
  <c r="K292" i="2"/>
  <c r="M292" i="2" l="1"/>
  <c r="O293" i="2" l="1"/>
  <c r="L293" i="2" l="1"/>
  <c r="K293" i="2"/>
  <c r="M293" i="2" l="1"/>
  <c r="O294" i="2" l="1"/>
  <c r="L294" i="2" l="1"/>
  <c r="K294" i="2"/>
  <c r="M294" i="2" l="1"/>
  <c r="O295" i="2" l="1"/>
  <c r="L295" i="2" l="1"/>
  <c r="K295" i="2"/>
  <c r="M295" i="2" l="1"/>
  <c r="O296" i="2" s="1"/>
  <c r="L296" i="2" s="1"/>
  <c r="K296" i="2" l="1"/>
  <c r="M296" i="2" s="1"/>
  <c r="O297" i="2" s="1"/>
  <c r="L297" i="2" s="1"/>
  <c r="K297" i="2" l="1"/>
  <c r="M297" i="2" s="1"/>
  <c r="O298" i="2" l="1"/>
  <c r="L298" i="2" l="1"/>
  <c r="K298" i="2"/>
  <c r="M298" i="2" l="1"/>
  <c r="O299" i="2" l="1"/>
  <c r="L299" i="2" l="1"/>
  <c r="K299" i="2"/>
  <c r="M299" i="2" l="1"/>
  <c r="O300" i="2" l="1"/>
  <c r="K300" i="2" l="1"/>
  <c r="L300" i="2"/>
  <c r="M300" i="2" l="1"/>
  <c r="O301" i="2" l="1"/>
  <c r="L301" i="2" l="1"/>
  <c r="K301" i="2"/>
  <c r="M301" i="2" l="1"/>
  <c r="O302" i="2" l="1"/>
  <c r="L302" i="2" l="1"/>
  <c r="K302" i="2"/>
  <c r="M302" i="2" l="1"/>
  <c r="O303" i="2" s="1"/>
  <c r="F41" i="12" s="1"/>
  <c r="G41" i="12" s="1"/>
  <c r="E39" i="7"/>
  <c r="L303" i="2"/>
  <c r="C39" i="7" s="1"/>
  <c r="K303" i="2" l="1"/>
  <c r="M303" i="2" s="1"/>
  <c r="O27" i="12"/>
  <c r="P27" i="12" s="1"/>
  <c r="B39" i="7"/>
  <c r="G39" i="7" l="1"/>
  <c r="P39" i="7"/>
  <c r="Q39" i="7" s="1"/>
  <c r="V39" i="7" s="1"/>
  <c r="R39" i="7"/>
  <c r="S39" i="7" s="1"/>
  <c r="O304" i="2"/>
  <c r="D39" i="7"/>
  <c r="L304" i="2" l="1"/>
  <c r="K304" i="2"/>
  <c r="M304" i="2" l="1"/>
  <c r="O305" i="2" l="1"/>
  <c r="L305" i="2" l="1"/>
  <c r="K305" i="2"/>
  <c r="M305" i="2" l="1"/>
  <c r="O306" i="2" l="1"/>
  <c r="L306" i="2" l="1"/>
  <c r="K306" i="2"/>
  <c r="M306" i="2" l="1"/>
  <c r="O307" i="2" l="1"/>
  <c r="L307" i="2" l="1"/>
  <c r="K307" i="2"/>
  <c r="M307" i="2" l="1"/>
  <c r="O308" i="2" l="1"/>
  <c r="K308" i="2" l="1"/>
  <c r="L308" i="2"/>
  <c r="M308" i="2" l="1"/>
  <c r="O309" i="2" l="1"/>
  <c r="L309" i="2" l="1"/>
  <c r="K309" i="2"/>
  <c r="M309" i="2" l="1"/>
  <c r="O310" i="2" s="1"/>
  <c r="L310" i="2" s="1"/>
  <c r="K310" i="2" l="1"/>
  <c r="M310" i="2"/>
  <c r="O311" i="2" s="1"/>
  <c r="L311" i="2" s="1"/>
  <c r="K311" i="2" l="1"/>
  <c r="M311" i="2" s="1"/>
  <c r="O312" i="2" s="1"/>
  <c r="L312" i="2" s="1"/>
  <c r="K312" i="2" l="1"/>
  <c r="M312" i="2" s="1"/>
  <c r="O313" i="2" s="1"/>
  <c r="L313" i="2" s="1"/>
  <c r="K313" i="2" l="1"/>
  <c r="M313" i="2"/>
  <c r="O314" i="2" s="1"/>
  <c r="L314" i="2" s="1"/>
  <c r="K314" i="2" l="1"/>
  <c r="M314" i="2" s="1"/>
  <c r="O315" i="2" s="1"/>
  <c r="F42" i="12" l="1"/>
  <c r="G42" i="12" s="1"/>
  <c r="O28" i="12"/>
  <c r="P28" i="12" s="1"/>
  <c r="E40" i="7"/>
  <c r="L315" i="2"/>
  <c r="C40" i="7" s="1"/>
  <c r="K315" i="2"/>
  <c r="B40" i="7"/>
  <c r="M315" i="2" l="1"/>
  <c r="P40" i="7"/>
  <c r="Q40" i="7" s="1"/>
  <c r="V40" i="7" s="1"/>
  <c r="G40" i="7"/>
  <c r="R40" i="7"/>
  <c r="S40" i="7" s="1"/>
  <c r="D40" i="7"/>
  <c r="O316" i="2"/>
  <c r="L316" i="2" l="1"/>
  <c r="K316" i="2"/>
  <c r="M316" i="2" s="1"/>
  <c r="O317" i="2" s="1"/>
  <c r="L317" i="2" l="1"/>
  <c r="K317" i="2"/>
  <c r="M317" i="2" l="1"/>
  <c r="O318" i="2" s="1"/>
  <c r="L318" i="2" s="1"/>
  <c r="K318" i="2" l="1"/>
  <c r="M318" i="2" s="1"/>
  <c r="O319" i="2" s="1"/>
  <c r="L319" i="2" s="1"/>
  <c r="K319" i="2" l="1"/>
  <c r="M319" i="2" s="1"/>
  <c r="O320" i="2" s="1"/>
  <c r="L320" i="2" s="1"/>
  <c r="K320" i="2" l="1"/>
  <c r="M320" i="2" s="1"/>
  <c r="O321" i="2" s="1"/>
  <c r="L321" i="2" l="1"/>
  <c r="K321" i="2"/>
  <c r="M321" i="2" l="1"/>
  <c r="O322" i="2" s="1"/>
  <c r="K322" i="2" s="1"/>
  <c r="L322" i="2" l="1"/>
  <c r="M322" i="2" s="1"/>
  <c r="O323" i="2" s="1"/>
  <c r="L323" i="2" s="1"/>
  <c r="K323" i="2" l="1"/>
  <c r="M323" i="2" s="1"/>
  <c r="O324" i="2" s="1"/>
  <c r="L324" i="2" s="1"/>
  <c r="K324" i="2" l="1"/>
  <c r="M324" i="2" s="1"/>
  <c r="O325" i="2" s="1"/>
  <c r="L325" i="2" s="1"/>
  <c r="K325" i="2" l="1"/>
  <c r="M325" i="2" s="1"/>
  <c r="O326" i="2" s="1"/>
  <c r="L326" i="2" s="1"/>
  <c r="K326" i="2" l="1"/>
  <c r="M326" i="2" s="1"/>
  <c r="O327" i="2" s="1"/>
  <c r="O29" i="12" s="1"/>
  <c r="P29" i="12" s="1"/>
  <c r="F43" i="12" l="1"/>
  <c r="G43" i="12" s="1"/>
  <c r="K327" i="2"/>
  <c r="B41" i="7" s="1"/>
  <c r="G41" i="7" s="1"/>
  <c r="L327" i="2"/>
  <c r="C41" i="7" s="1"/>
  <c r="E41" i="7"/>
  <c r="R41" i="7" l="1"/>
  <c r="S41" i="7" s="1"/>
  <c r="P41" i="7"/>
  <c r="Q41" i="7" s="1"/>
  <c r="V41" i="7" s="1"/>
  <c r="M327" i="2"/>
  <c r="O328" i="2" l="1"/>
  <c r="D41" i="7"/>
  <c r="L328" i="2" l="1"/>
  <c r="K328" i="2"/>
  <c r="M328" i="2" s="1"/>
  <c r="O329" i="2" s="1"/>
  <c r="L329" i="2" l="1"/>
  <c r="K329" i="2"/>
  <c r="M329" i="2" s="1"/>
  <c r="O330" i="2" s="1"/>
  <c r="L330" i="2" s="1"/>
  <c r="K330" i="2" l="1"/>
  <c r="M330" i="2" s="1"/>
  <c r="O331" i="2" s="1"/>
  <c r="L331" i="2" s="1"/>
  <c r="K331" i="2" l="1"/>
  <c r="M331" i="2" s="1"/>
  <c r="O332" i="2" s="1"/>
  <c r="L332" i="2" s="1"/>
  <c r="K332" i="2" l="1"/>
  <c r="M332" i="2" s="1"/>
  <c r="O333" i="2" s="1"/>
  <c r="L333" i="2" s="1"/>
  <c r="K333" i="2" l="1"/>
  <c r="M333" i="2" s="1"/>
  <c r="O334" i="2" s="1"/>
  <c r="L334" i="2" s="1"/>
  <c r="K334" i="2" l="1"/>
  <c r="M334" i="2"/>
  <c r="O335" i="2" s="1"/>
  <c r="L335" i="2" s="1"/>
  <c r="K335" i="2" l="1"/>
  <c r="M335" i="2" s="1"/>
  <c r="O336" i="2" s="1"/>
  <c r="K336" i="2" s="1"/>
  <c r="L336" i="2" l="1"/>
  <c r="M336" i="2" s="1"/>
  <c r="O337" i="2" s="1"/>
  <c r="L337" i="2" s="1"/>
  <c r="K337" i="2" l="1"/>
  <c r="M337" i="2" s="1"/>
  <c r="O338" i="2" s="1"/>
  <c r="L338" i="2" s="1"/>
  <c r="K338" i="2" l="1"/>
  <c r="M338" i="2" s="1"/>
  <c r="O339" i="2" s="1"/>
  <c r="K339" i="2" l="1"/>
  <c r="B42" i="7" s="1"/>
  <c r="G42" i="7" s="1"/>
  <c r="O30" i="12"/>
  <c r="P30" i="12" s="1"/>
  <c r="F44" i="12"/>
  <c r="G44" i="12" s="1"/>
  <c r="E42" i="7"/>
  <c r="L339" i="2"/>
  <c r="P42" i="7" l="1"/>
  <c r="Q42" i="7" s="1"/>
  <c r="V42" i="7" s="1"/>
  <c r="R42" i="7"/>
  <c r="S42" i="7" s="1"/>
  <c r="C42" i="7"/>
  <c r="M339" i="2"/>
  <c r="O340" i="2" l="1"/>
  <c r="D42" i="7"/>
  <c r="K340" i="2" l="1"/>
  <c r="L340" i="2"/>
  <c r="M340" i="2" l="1"/>
  <c r="O341" i="2" s="1"/>
  <c r="L341" i="2" l="1"/>
  <c r="K341" i="2"/>
  <c r="M341" i="2" s="1"/>
  <c r="O342" i="2" s="1"/>
  <c r="L342" i="2" l="1"/>
  <c r="K342" i="2"/>
  <c r="M342" i="2" s="1"/>
  <c r="O343" i="2" s="1"/>
  <c r="L343" i="2" s="1"/>
  <c r="K343" i="2" l="1"/>
  <c r="M343" i="2" s="1"/>
  <c r="O344" i="2" s="1"/>
  <c r="K344" i="2" s="1"/>
  <c r="L344" i="2" l="1"/>
  <c r="M344" i="2" s="1"/>
  <c r="O345" i="2" s="1"/>
  <c r="L345" i="2" l="1"/>
  <c r="K345" i="2"/>
  <c r="M345" i="2" l="1"/>
  <c r="O346" i="2" s="1"/>
  <c r="K346" i="2" s="1"/>
  <c r="L346" i="2" l="1"/>
  <c r="M346" i="2" s="1"/>
  <c r="O347" i="2" s="1"/>
  <c r="L347" i="2"/>
  <c r="K347" i="2"/>
  <c r="M347" i="2" s="1"/>
  <c r="O348" i="2" s="1"/>
  <c r="L348" i="2" l="1"/>
  <c r="K348" i="2"/>
  <c r="M348" i="2" s="1"/>
  <c r="O349" i="2" s="1"/>
  <c r="L349" i="2" l="1"/>
  <c r="K349" i="2"/>
  <c r="M349" i="2" l="1"/>
  <c r="O350" i="2" s="1"/>
  <c r="K350" i="2" s="1"/>
  <c r="L350" i="2" l="1"/>
  <c r="M350" i="2" s="1"/>
  <c r="O351" i="2" s="1"/>
  <c r="F45" i="12" s="1"/>
  <c r="G45" i="12" s="1"/>
  <c r="O31" i="12" l="1"/>
  <c r="P31" i="12" s="1"/>
  <c r="K351" i="2"/>
  <c r="L351" i="2"/>
  <c r="C43" i="7" s="1"/>
  <c r="E43" i="7"/>
  <c r="M351" i="2" l="1"/>
  <c r="B43" i="7"/>
  <c r="G43" i="7" l="1"/>
  <c r="P43" i="7"/>
  <c r="Q43" i="7" s="1"/>
  <c r="V43" i="7" s="1"/>
  <c r="R43" i="7"/>
  <c r="S43" i="7" s="1"/>
  <c r="D43" i="7"/>
  <c r="O352" i="2"/>
  <c r="K352" i="2" l="1"/>
  <c r="L352" i="2"/>
  <c r="M352" i="2" l="1"/>
  <c r="O353" i="2" s="1"/>
  <c r="L353" i="2" l="1"/>
  <c r="K353" i="2"/>
  <c r="M353" i="2" s="1"/>
  <c r="O354" i="2" s="1"/>
  <c r="L354" i="2" l="1"/>
  <c r="K354" i="2"/>
  <c r="M354" i="2" s="1"/>
  <c r="O355" i="2" s="1"/>
  <c r="L355" i="2" l="1"/>
  <c r="K355" i="2"/>
  <c r="M355" i="2" l="1"/>
  <c r="O356" i="2" s="1"/>
  <c r="L356" i="2" s="1"/>
  <c r="K356" i="2" l="1"/>
  <c r="M356" i="2" s="1"/>
  <c r="O357" i="2" s="1"/>
  <c r="L357" i="2" s="1"/>
  <c r="K357" i="2" l="1"/>
  <c r="M357" i="2" s="1"/>
  <c r="O358" i="2" s="1"/>
  <c r="L358" i="2" s="1"/>
  <c r="K358" i="2" l="1"/>
  <c r="M358" i="2" s="1"/>
  <c r="O359" i="2" s="1"/>
  <c r="L359" i="2" l="1"/>
  <c r="K359" i="2"/>
  <c r="M359" i="2" s="1"/>
  <c r="O360" i="2" s="1"/>
  <c r="L360" i="2" l="1"/>
  <c r="K360" i="2"/>
  <c r="M360" i="2" s="1"/>
  <c r="O361" i="2" s="1"/>
  <c r="K361" i="2" l="1"/>
  <c r="L361" i="2"/>
  <c r="M361" i="2" l="1"/>
  <c r="O362" i="2" s="1"/>
  <c r="L362" i="2" l="1"/>
  <c r="K362" i="2"/>
  <c r="M362" i="2" l="1"/>
  <c r="O363" i="2" s="1"/>
  <c r="F46" i="12" s="1"/>
  <c r="G46" i="12" s="1"/>
  <c r="L363" i="2" l="1"/>
  <c r="K363" i="2"/>
  <c r="E44" i="7"/>
  <c r="O32" i="12"/>
  <c r="P32" i="12" s="1"/>
  <c r="C44" i="7"/>
  <c r="L364" i="2"/>
  <c r="M363" i="2"/>
  <c r="K364" i="2"/>
  <c r="B44" i="7"/>
  <c r="D44" i="7" l="1"/>
  <c r="M364" i="2"/>
  <c r="G44" i="7"/>
  <c r="P44" i="7"/>
  <c r="Q44" i="7" s="1"/>
  <c r="V44" i="7" s="1"/>
  <c r="R44" i="7"/>
  <c r="S4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Clint McCue</author>
  </authors>
  <commentList>
    <comment ref="G1" authorId="0" shapeId="0" xr:uid="{D5544CA1-2F62-40E5-B3AB-D0EC5D5D3042}">
      <text>
        <r>
          <rPr>
            <b/>
            <sz val="9"/>
            <color indexed="81"/>
            <rFont val="Tahoma"/>
            <family val="2"/>
          </rPr>
          <t>See "Potential Profit Loss" tab for savings beyond 10 years</t>
        </r>
      </text>
    </comment>
    <comment ref="A2" authorId="0" shapeId="0" xr:uid="{8EB0F5F8-56DE-47DB-8ED8-9AE880393C50}">
      <text>
        <r>
          <rPr>
            <b/>
            <sz val="9"/>
            <color indexed="81"/>
            <rFont val="Tahoma"/>
            <family val="2"/>
          </rPr>
          <t>List price or expected purchase price</t>
        </r>
      </text>
    </comment>
    <comment ref="A3" authorId="0" shapeId="0" xr:uid="{6E143C7C-3883-4493-A325-AEE14A7F9F4D}">
      <text>
        <r>
          <rPr>
            <b/>
            <sz val="9"/>
            <color indexed="81"/>
            <rFont val="Tahoma"/>
            <family val="2"/>
          </rPr>
          <t>Total loan term, most conventional loans are 15 or 30 year terms</t>
        </r>
      </text>
    </comment>
    <comment ref="A4" authorId="0" shapeId="0" xr:uid="{A7CB4641-D4BF-491C-9C58-344893C0DD98}">
      <text>
        <r>
          <rPr>
            <b/>
            <sz val="9"/>
            <color indexed="81"/>
            <rFont val="Tahoma"/>
            <family val="2"/>
          </rPr>
          <t>The majority of loans have 12 payments periods per year</t>
        </r>
      </text>
    </comment>
    <comment ref="A5" authorId="0" shapeId="0" xr:uid="{61C56004-EA14-4CC4-BD91-3FDB8F53294F}">
      <text>
        <r>
          <rPr>
            <b/>
            <sz val="9"/>
            <color indexed="81"/>
            <rFont val="Tahoma"/>
            <family val="2"/>
          </rPr>
          <t>Interest rate of the loan, not APR</t>
        </r>
      </text>
    </comment>
    <comment ref="A6" authorId="0" shapeId="0" xr:uid="{FC903A18-78B7-4644-83AA-EC07D7C5B306}">
      <text>
        <r>
          <rPr>
            <b/>
            <sz val="9"/>
            <color indexed="81"/>
            <rFont val="Tahoma"/>
            <family val="2"/>
          </rPr>
          <t>Entire Down Payment + Assistance Here</t>
        </r>
      </text>
    </comment>
    <comment ref="A7" authorId="0" shapeId="0" xr:uid="{8B1E2014-E3A6-48F1-8CD5-5C1BE4B98203}">
      <text>
        <r>
          <rPr>
            <b/>
            <sz val="9"/>
            <color indexed="81"/>
            <rFont val="Tahoma"/>
            <family val="2"/>
          </rPr>
          <t>Amount of Down Payment Allocated as Assistance</t>
        </r>
      </text>
    </comment>
    <comment ref="A8" authorId="0" shapeId="0" xr:uid="{25E10D0E-9AFF-4770-AD3C-6853DA26EE50}">
      <text>
        <r>
          <rPr>
            <b/>
            <sz val="9"/>
            <color indexed="81"/>
            <rFont val="Tahoma"/>
            <family val="2"/>
          </rPr>
          <t>Closing costs are typically calculated as a percentage of the total purchase price of the home, 5% typical, with 2.5% going to each agent</t>
        </r>
      </text>
    </comment>
    <comment ref="A9" authorId="0" shapeId="0" xr:uid="{E13436C0-433D-4469-A68D-DD3C02C384DE}">
      <text>
        <r>
          <rPr>
            <b/>
            <sz val="9"/>
            <color indexed="81"/>
            <rFont val="Tahoma"/>
            <family val="2"/>
          </rPr>
          <t>Added estimated closing costs here if costs are added to loan amount</t>
        </r>
      </text>
    </comment>
    <comment ref="G15" authorId="0" shapeId="0" xr:uid="{F462FF90-C477-4E8D-A43D-29D985C09226}">
      <text>
        <r>
          <rPr>
            <b/>
            <sz val="9"/>
            <color indexed="81"/>
            <rFont val="Tahoma"/>
            <family val="2"/>
          </rPr>
          <t>Loan to Value Ratio</t>
        </r>
      </text>
    </comment>
    <comment ref="A18" authorId="0" shapeId="0" xr:uid="{4BBCEA8A-24A7-4023-AE64-81C02813E45D}">
      <text>
        <r>
          <rPr>
            <b/>
            <sz val="9"/>
            <color indexed="81"/>
            <rFont val="Tahoma"/>
            <family val="2"/>
          </rPr>
          <t>Input estimated annual home insurance payment here</t>
        </r>
      </text>
    </comment>
    <comment ref="G18" authorId="0" shapeId="0" xr:uid="{06FE279F-195F-44A9-BED0-792D3F1659EA}">
      <text>
        <r>
          <rPr>
            <b/>
            <sz val="9"/>
            <color indexed="81"/>
            <rFont val="Tahoma"/>
            <family val="2"/>
          </rPr>
          <t>Added to total loan amount</t>
        </r>
      </text>
    </comment>
    <comment ref="A19" authorId="0" shapeId="0" xr:uid="{FC237F80-6B17-4AF9-9DBA-141B32881B42}">
      <text>
        <r>
          <rPr>
            <b/>
            <sz val="9"/>
            <color indexed="81"/>
            <rFont val="Tahoma"/>
            <family val="2"/>
          </rPr>
          <t>Input estimated annual property taxes here</t>
        </r>
      </text>
    </comment>
    <comment ref="A22" authorId="0" shapeId="0" xr:uid="{BC75EB10-1050-4B08-BA30-B985F55A8D0A}">
      <text>
        <r>
          <rPr>
            <b/>
            <sz val="9"/>
            <color indexed="81"/>
            <rFont val="Tahoma"/>
            <family val="2"/>
          </rPr>
          <t>Input Yes if using an FHA loan, No if using a conventional loan</t>
        </r>
      </text>
    </comment>
    <comment ref="G22" authorId="0" shapeId="0" xr:uid="{6C363C6E-935F-496E-B394-23CB18DEBF9C}">
      <text>
        <r>
          <rPr>
            <b/>
            <sz val="9"/>
            <color indexed="81"/>
            <rFont val="Tahoma"/>
            <family val="2"/>
          </rPr>
          <t>If choosing to pay PMI in lump sum, this shows the total payment due at closing, this is reflected in the total out of pocket cost at closing (cell E10)</t>
        </r>
      </text>
    </comment>
    <comment ref="A23" authorId="0" shapeId="0" xr:uid="{B7E8DB66-DE0C-47D3-875C-0582BEF906CD}">
      <text>
        <r>
          <rPr>
            <b/>
            <sz val="9"/>
            <color indexed="81"/>
            <rFont val="Tahoma"/>
            <family val="2"/>
          </rPr>
          <t>UMIP (Upfront Mortgage Insurance Premium)</t>
        </r>
      </text>
    </comment>
    <comment ref="G23" authorId="0" shapeId="0" xr:uid="{61FEDEDB-3F0C-4244-9FD0-686A631DF761}">
      <text>
        <r>
          <rPr>
            <b/>
            <sz val="9"/>
            <color indexed="81"/>
            <rFont val="Tahoma"/>
            <family val="2"/>
          </rPr>
          <t>Remaining loan value at which PMI can be terminated by the lender</t>
        </r>
      </text>
    </comment>
    <comment ref="A24" authorId="0" shapeId="0" xr:uid="{AC62160C-3DD2-42E6-8E52-11F1457AA7FF}">
      <text>
        <r>
          <rPr>
            <b/>
            <sz val="9"/>
            <color indexed="81"/>
            <rFont val="Tahoma"/>
            <family val="2"/>
          </rPr>
          <t>Amount of UMIP (Upfront Mortgage Insurance Premium) to be paid out of pocket at closing</t>
        </r>
      </text>
    </comment>
    <comment ref="G24" authorId="0" shapeId="0" xr:uid="{135A6720-1E7B-43D5-A13B-912296FB1474}">
      <text>
        <r>
          <rPr>
            <b/>
            <sz val="9"/>
            <color indexed="81"/>
            <rFont val="Tahoma"/>
            <family val="2"/>
          </rPr>
          <t>Shows the total annual PMI payment after the first year of ownership</t>
        </r>
      </text>
    </comment>
    <comment ref="D25" authorId="0" shapeId="0" xr:uid="{158EA63C-E0F5-4879-9054-B13EC108D763}">
      <text>
        <r>
          <rPr>
            <b/>
            <sz val="9"/>
            <color indexed="81"/>
            <rFont val="Tahoma"/>
            <family val="2"/>
          </rPr>
          <t xml:space="preserve">Breakdown of total monthly cost including all insurance and secondary expenses, broken down annually </t>
        </r>
      </text>
    </comment>
    <comment ref="A27" authorId="0" shapeId="0" xr:uid="{5FB3C2B4-48DF-4842-9063-E4632EDAB3E8}">
      <text>
        <r>
          <rPr>
            <b/>
            <sz val="9"/>
            <color indexed="81"/>
            <rFont val="Tahoma"/>
            <family val="2"/>
          </rPr>
          <t>Input either Yes or No</t>
        </r>
      </text>
    </comment>
    <comment ref="A28" authorId="0" shapeId="0" xr:uid="{82BE69E7-200B-4F81-9644-4A85866E0B60}">
      <text>
        <r>
          <rPr>
            <b/>
            <sz val="9"/>
            <color indexed="81"/>
            <rFont val="Tahoma"/>
            <family val="2"/>
          </rPr>
          <t>Input either Upfront or Annual</t>
        </r>
      </text>
    </comment>
    <comment ref="A29" authorId="0" shapeId="0" xr:uid="{48904C58-10B9-4921-A130-0832E8F47C9A}">
      <text>
        <r>
          <rPr>
            <b/>
            <sz val="9"/>
            <color indexed="81"/>
            <rFont val="Tahoma"/>
            <family val="2"/>
          </rPr>
          <t>Percent of the loan value charged annually for insurance</t>
        </r>
      </text>
    </comment>
    <comment ref="A30" authorId="0" shapeId="0" xr:uid="{18ACB6A8-5BD3-4BAD-9237-718316B29A69}">
      <text>
        <r>
          <rPr>
            <b/>
            <sz val="9"/>
            <color indexed="81"/>
            <rFont val="Tahoma"/>
            <family val="2"/>
          </rPr>
          <t>Equity required for termination of private insurance, usually this is set at 22%</t>
        </r>
      </text>
    </comment>
    <comment ref="A33" authorId="0" shapeId="0" xr:uid="{3459F55B-2CAA-41EF-A18B-608FA439A827}">
      <text>
        <r>
          <rPr>
            <b/>
            <sz val="9"/>
            <color indexed="81"/>
            <rFont val="Tahoma"/>
            <family val="2"/>
          </rPr>
          <t>Average Appreciation is 3-5%</t>
        </r>
      </text>
    </comment>
    <comment ref="A36" authorId="0" shapeId="0" xr:uid="{7AE0A178-280D-495E-8A64-6F69251C2467}">
      <text>
        <r>
          <rPr>
            <b/>
            <sz val="9"/>
            <color indexed="81"/>
            <rFont val="Tahoma"/>
            <family val="2"/>
          </rPr>
          <t>Current monthly rent</t>
        </r>
      </text>
    </comment>
    <comment ref="D44" authorId="0" shapeId="0" xr:uid="{A5208DF8-2D1B-47AF-8EBB-FBEC92E0E306}">
      <text>
        <r>
          <rPr>
            <b/>
            <sz val="9"/>
            <color indexed="81"/>
            <rFont val="Tahoma"/>
            <family val="2"/>
          </rPr>
          <t xml:space="preserve">Debt to Income Ratio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Clint McCue</author>
  </authors>
  <commentList>
    <comment ref="A5" authorId="0" shapeId="0" xr:uid="{38B14682-8E79-4B08-BB39-CC2F80D3C96F}">
      <text>
        <r>
          <rPr>
            <b/>
            <sz val="9"/>
            <color indexed="81"/>
            <rFont val="Tahoma"/>
            <family val="2"/>
          </rPr>
          <t>Loan to Value Ratio</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<sst xmlns="http://schemas.openxmlformats.org/spreadsheetml/2006/main" count="231" uniqueCount="137">
  <si>
    <t>Down Payment Assistance</t>
  </si>
  <si>
    <t>Purchase Price</t>
  </si>
  <si>
    <t>Closing Cost Percentage</t>
  </si>
  <si>
    <t>Closing Cost ($)</t>
  </si>
  <si>
    <t>Loan Amount</t>
  </si>
  <si>
    <t>Annual Interest Rate</t>
  </si>
  <si>
    <t>Number of Payments per Year</t>
  </si>
  <si>
    <t>Payment per Period</t>
  </si>
  <si>
    <t>Sum of Payments</t>
  </si>
  <si>
    <t>Life of Loan (in years)</t>
  </si>
  <si>
    <t>Total Number of Payments</t>
  </si>
  <si>
    <t>Payment No.</t>
  </si>
  <si>
    <t>Payment Amount</t>
  </si>
  <si>
    <t>Interest</t>
  </si>
  <si>
    <t>Principal</t>
  </si>
  <si>
    <t>Extra Payment</t>
  </si>
  <si>
    <t>Loan</t>
  </si>
  <si>
    <t>Totals:</t>
  </si>
  <si>
    <t>Down Payment</t>
  </si>
  <si>
    <t>Interest Cost</t>
  </si>
  <si>
    <t>Mortgage Inputs</t>
  </si>
  <si>
    <t>Cost of Ownership Outputs</t>
  </si>
  <si>
    <t>Total Cost Per Month</t>
  </si>
  <si>
    <t>Electricity (Monthly)</t>
  </si>
  <si>
    <t>Gas (Monthly)</t>
  </si>
  <si>
    <t>Water (Monthly)</t>
  </si>
  <si>
    <t>Garbage (Monthly)</t>
  </si>
  <si>
    <t>Snow Removal (Monthly)</t>
  </si>
  <si>
    <t>Internet (Monthly)</t>
  </si>
  <si>
    <t>Home Insurance (Annual)</t>
  </si>
  <si>
    <t>Property Taxes (Annual)</t>
  </si>
  <si>
    <t>1st Borrower Monthly Income</t>
  </si>
  <si>
    <t>1st Borrower Debts</t>
  </si>
  <si>
    <t>2nd Borrower Monthly Income</t>
  </si>
  <si>
    <t>2nd Borrower Debts</t>
  </si>
  <si>
    <t>1st Borrower D/I Ratio</t>
  </si>
  <si>
    <t>2nd Borrower D/I Ratio</t>
  </si>
  <si>
    <t>Total Payments</t>
  </si>
  <si>
    <t>Interest Paid</t>
  </si>
  <si>
    <t>Current Rent</t>
  </si>
  <si>
    <t>Secondary Costs</t>
  </si>
  <si>
    <t>Secondary Costs Of Ownership</t>
  </si>
  <si>
    <t>Primary Costs of Ownership</t>
  </si>
  <si>
    <t>Primary Costs of Renting</t>
  </si>
  <si>
    <t>Secondary Costs of Renting</t>
  </si>
  <si>
    <t>Rent Insurance (Monthly)</t>
  </si>
  <si>
    <t>Average Yearly Appreciation (%)</t>
  </si>
  <si>
    <t>Purchase Price ($)</t>
  </si>
  <si>
    <t>Loan Amount ($)</t>
  </si>
  <si>
    <t>Down Payment ($)</t>
  </si>
  <si>
    <t>Projected Sale Price ($)</t>
  </si>
  <si>
    <t>Breakeven Sale Price ($)</t>
  </si>
  <si>
    <t>Remaining Loan Value</t>
  </si>
  <si>
    <t>Average Total Cost</t>
  </si>
  <si>
    <t>Total Purchase Price ($)</t>
  </si>
  <si>
    <t>Out of Pocket Cost at Closing</t>
  </si>
  <si>
    <t>Out of Pocket Cost at Closing ($)</t>
  </si>
  <si>
    <t>Total Profit at Sale ($)</t>
  </si>
  <si>
    <t>Year</t>
  </si>
  <si>
    <t>Secondary Costs (Own)</t>
  </si>
  <si>
    <t>Ownership</t>
  </si>
  <si>
    <t>Renting</t>
  </si>
  <si>
    <t>Breakeven Sale Price (No Sec Cost)</t>
  </si>
  <si>
    <t>Total Profit at Sale (No Sec Cost)</t>
  </si>
  <si>
    <t>Home Value Appreciation</t>
  </si>
  <si>
    <t>Sale Analysis</t>
  </si>
  <si>
    <t>Total Savings</t>
  </si>
  <si>
    <t>Savings of Ownership Over Renting</t>
  </si>
  <si>
    <t>Sale of Home After x Years</t>
  </si>
  <si>
    <t>Utilities (Monthly)</t>
  </si>
  <si>
    <t>Secondary Cost Of Ownership Inputs</t>
  </si>
  <si>
    <t>Primary Costs of Renting Input</t>
  </si>
  <si>
    <t xml:space="preserve">Secondary Costs of Renting Input </t>
  </si>
  <si>
    <t>Home Value Appreciation Input</t>
  </si>
  <si>
    <t>Loan Eligibility Outputs (WIP)</t>
  </si>
  <si>
    <t>Loan Eligibility Inputs (WIP)</t>
  </si>
  <si>
    <t>Payment Schedule</t>
  </si>
  <si>
    <t>Down Payment Assistance ($)</t>
  </si>
  <si>
    <t>Closing Cost (Added to Loan)</t>
  </si>
  <si>
    <t>Mortgage Outputs</t>
  </si>
  <si>
    <t xml:space="preserve">LTV </t>
  </si>
  <si>
    <t>Upfront MIP % of Loan Amount</t>
  </si>
  <si>
    <t>Upfront Mortgage Insurance Premium</t>
  </si>
  <si>
    <t>Mortgage Insurance Outputs</t>
  </si>
  <si>
    <t>UMIP % of Loan Amount</t>
  </si>
  <si>
    <t>LTV</t>
  </si>
  <si>
    <t>Duration of insurance payments</t>
  </si>
  <si>
    <t>MIP in Basis Pts</t>
  </si>
  <si>
    <t>Loan amount (625k)</t>
  </si>
  <si>
    <t>Less</t>
  </si>
  <si>
    <t>More</t>
  </si>
  <si>
    <t>Life of Loan</t>
  </si>
  <si>
    <t>Life of Loan (years)</t>
  </si>
  <si>
    <t>Loan Term</t>
  </si>
  <si>
    <t>&gt; 15</t>
  </si>
  <si>
    <t>&lt; 15</t>
  </si>
  <si>
    <t>Loan Term (Years)</t>
  </si>
  <si>
    <t>Loan Amount Less or More than 625K?</t>
  </si>
  <si>
    <t>MIP in basis points</t>
  </si>
  <si>
    <t>Loan Term (MIP)</t>
  </si>
  <si>
    <t>90-95</t>
  </si>
  <si>
    <t>&gt;95</t>
  </si>
  <si>
    <t>&lt;=90</t>
  </si>
  <si>
    <t>&gt;90</t>
  </si>
  <si>
    <t>&lt;=78</t>
  </si>
  <si>
    <t>78-90</t>
  </si>
  <si>
    <t>MIP in Percent</t>
  </si>
  <si>
    <t>Duration of Insurance Payments (Years)</t>
  </si>
  <si>
    <t>MIP Payment</t>
  </si>
  <si>
    <t>Monthly Cost</t>
  </si>
  <si>
    <t>FHA Mortgage Insurance Premium Outputs</t>
  </si>
  <si>
    <t>Private Mortgage Insurance Premium Outputs</t>
  </si>
  <si>
    <t>PMI Fee</t>
  </si>
  <si>
    <t>FHA Mortgage Insurance?</t>
  </si>
  <si>
    <t>Yes</t>
  </si>
  <si>
    <t>No</t>
  </si>
  <si>
    <t>FHA Mortgage Insurance Inputs</t>
  </si>
  <si>
    <t>Private Mortgage Insurance Inputs</t>
  </si>
  <si>
    <t>Private Mortgage Insurance?</t>
  </si>
  <si>
    <t>MIP Table</t>
  </si>
  <si>
    <t>MIP Table 2</t>
  </si>
  <si>
    <t>MIP Table 3</t>
  </si>
  <si>
    <t>PMI Table</t>
  </si>
  <si>
    <t>PMI Payment</t>
  </si>
  <si>
    <t>FHA Mortgage Insurance Outputs</t>
  </si>
  <si>
    <t>Private Mortgage Insurance Outputs</t>
  </si>
  <si>
    <t>Loan Value Required for PMI Termination</t>
  </si>
  <si>
    <t xml:space="preserve">PMI Termination Equity </t>
  </si>
  <si>
    <t>PMI Termination Equity (%)</t>
  </si>
  <si>
    <t>Loan Value for PMI Termination</t>
  </si>
  <si>
    <t>1st Year Annual Premium Payment</t>
  </si>
  <si>
    <t>Upfront Fee or Annual?</t>
  </si>
  <si>
    <t>Annual</t>
  </si>
  <si>
    <t>Upfront PMI Payment</t>
  </si>
  <si>
    <t>Upfront MIP Included in Loan?</t>
  </si>
  <si>
    <t>1. - This spreadsheet uses the inputs to the left, highlighted with an orange background, to determine a number of outputs, of which can be seen below and to the right of this box. All output values are shaded in gray. Notes for inputs and outputs are denoted by a small red triangle in the upper right hand corner of the cell.                                                                                            2. -The first worksheet is all you should need if you aren't looking to modify this spreadsheet, as the other two sheets are simply used for calculations.</t>
  </si>
  <si>
    <t>Getting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</si>
</sst>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0.0%"/>
  </numFmts>
  <fonts count="9" x14ac:knownFonts="1">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9"/>
      <color indexed="81"/>
      <name val="Tahoma"/>
      <family val="2"/>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3F3F3F"/>
      </left>
      <right style="thin">
        <color rgb="FF3F3F3F"/>
      </right>
      <top/>
      <bottom style="thin">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3F3F3F"/>
      </left>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rgb="FF3F3F3F"/>
      </right>
      <top style="thin">
        <color rgb="FF3F3F3F"/>
      </top>
      <bottom style="thin">
        <color rgb="FF3F3F3F"/>
      </bottom>
      <diagonal/>
    </border>
    <border>
      <left style="thin">
        <color rgb="FF3F3F3F"/>
      </left>
      <right style="thin">
        <color rgb="FF3F3F3F"/>
      </right>
      <top/>
      <bottom/>
      <diagonal/>
    </border>
    <border>
      <left style="thin">
        <color indexed="64"/>
      </left>
      <right/>
      <top/>
      <bottom/>
      <diagonal/>
    </border>
    <border>
      <left/>
      <right style="thin">
        <color indexed="64"/>
      </right>
      <top/>
      <bottom/>
      <diagonal/>
    </border>
  </borders>
  <cellStyleXfs count="6">
    <xf numFmtId="0" fontId="0" fillId="0" borderId="0"/>
    <xf numFmtId="44" fontId="1" fillId="0" borderId="0" applyFont="0" applyFill="0" applyBorder="0" applyAlignment="0" applyProtection="0"/>
    <xf numFmtId="0" fontId="2" fillId="2" borderId="1" applyNumberFormat="0" applyAlignment="0" applyProtection="0"/>
    <xf numFmtId="0" fontId="3" fillId="3" borderId="2" applyNumberFormat="0" applyAlignment="0" applyProtection="0"/>
    <xf numFmtId="9" fontId="1" fillId="0" borderId="0" applyFont="0" applyFill="0" applyBorder="0" applyAlignment="0" applyProtection="0"/>
    <xf numFmtId="0" fontId="7" fillId="5" borderId="0" applyNumberFormat="0" applyBorder="0" applyAlignment="0" applyProtection="0"/>
  </cellStyleXfs>
  <cellXfs count="85">
    <xf numFmtId="0" fontId="0" fillId="0" borderId="0" xfId="0"/>
    <xf numFmtId="0" fontId="4" fillId="0" borderId="0" xfId="0" applyFont="1"/>
    <xf numFmtId="44" fontId="3" fillId="3" borderId="2" xfId="3" applyNumberFormat="1"/>
    <xf numFmtId="0" fontId="3" fillId="3" borderId="2" xfId="3"/>
    <xf numFmtId="44" fontId="0" fillId="0" borderId="0" xfId="0" applyNumberFormat="1"/>
    <xf numFmtId="8" fontId="3" fillId="3" borderId="2" xfId="3" applyNumberFormat="1"/>
    <xf numFmtId="0" fontId="0" fillId="0" borderId="0" xfId="0" applyFont="1" applyFill="1" applyBorder="1"/>
    <xf numFmtId="0" fontId="4" fillId="0" borderId="3" xfId="0" applyFont="1" applyBorder="1"/>
    <xf numFmtId="0" fontId="0" fillId="0" borderId="3" xfId="0" applyBorder="1"/>
    <xf numFmtId="0" fontId="0" fillId="0" borderId="3" xfId="0" applyFont="1" applyFill="1" applyBorder="1"/>
    <xf numFmtId="44" fontId="2" fillId="2" borderId="3" xfId="2" applyNumberFormat="1" applyBorder="1" applyAlignment="1">
      <alignment horizontal="center"/>
    </xf>
    <xf numFmtId="0" fontId="0" fillId="0" borderId="3" xfId="0" applyFont="1" applyBorder="1"/>
    <xf numFmtId="0" fontId="3" fillId="3" borderId="3" xfId="3" applyBorder="1" applyAlignment="1">
      <alignment horizontal="center"/>
    </xf>
    <xf numFmtId="44" fontId="2" fillId="2" borderId="3" xfId="1" applyFont="1" applyFill="1" applyBorder="1" applyAlignment="1">
      <alignment horizontal="center"/>
    </xf>
    <xf numFmtId="0" fontId="2" fillId="2" borderId="3" xfId="2" applyBorder="1" applyAlignment="1">
      <alignment horizontal="center"/>
    </xf>
    <xf numFmtId="9" fontId="2" fillId="2" borderId="3" xfId="2" applyNumberFormat="1" applyBorder="1" applyAlignment="1">
      <alignment horizontal="center"/>
    </xf>
    <xf numFmtId="44" fontId="3" fillId="3" borderId="3" xfId="3" applyNumberFormat="1" applyBorder="1" applyAlignment="1">
      <alignment horizontal="center"/>
    </xf>
    <xf numFmtId="8" fontId="3" fillId="3" borderId="3" xfId="3" applyNumberFormat="1" applyBorder="1" applyAlignment="1">
      <alignment horizontal="center"/>
    </xf>
    <xf numFmtId="44" fontId="0" fillId="0" borderId="3" xfId="0" applyNumberFormat="1" applyBorder="1"/>
    <xf numFmtId="0" fontId="4" fillId="0" borderId="4" xfId="0" applyFont="1" applyBorder="1"/>
    <xf numFmtId="44" fontId="3" fillId="3" borderId="5" xfId="3" applyNumberFormat="1" applyBorder="1"/>
    <xf numFmtId="44" fontId="0" fillId="0" borderId="3" xfId="1" applyFont="1" applyBorder="1"/>
    <xf numFmtId="0" fontId="0" fillId="0" borderId="8" xfId="0" applyBorder="1"/>
    <xf numFmtId="0" fontId="4" fillId="0" borderId="3" xfId="0" applyFont="1" applyFill="1" applyBorder="1"/>
    <xf numFmtId="0" fontId="0" fillId="0" borderId="4" xfId="0" applyFont="1" applyBorder="1"/>
    <xf numFmtId="0" fontId="4" fillId="0" borderId="6" xfId="0" applyFont="1" applyBorder="1"/>
    <xf numFmtId="44" fontId="3" fillId="3" borderId="9" xfId="3" applyNumberFormat="1" applyBorder="1"/>
    <xf numFmtId="44" fontId="3" fillId="3" borderId="10" xfId="1" applyFont="1" applyFill="1" applyBorder="1"/>
    <xf numFmtId="44" fontId="3" fillId="3" borderId="3" xfId="3" applyNumberFormat="1" applyBorder="1"/>
    <xf numFmtId="0" fontId="4" fillId="0" borderId="8" xfId="0" applyFont="1" applyBorder="1"/>
    <xf numFmtId="44" fontId="3" fillId="3" borderId="10" xfId="3" applyNumberFormat="1" applyBorder="1"/>
    <xf numFmtId="44" fontId="3" fillId="3" borderId="11" xfId="3" applyNumberFormat="1" applyBorder="1"/>
    <xf numFmtId="0" fontId="4" fillId="0" borderId="7" xfId="0" applyFont="1" applyFill="1" applyBorder="1"/>
    <xf numFmtId="44" fontId="3" fillId="3" borderId="7" xfId="3" applyNumberFormat="1" applyBorder="1"/>
    <xf numFmtId="10" fontId="2" fillId="2" borderId="3" xfId="2" applyNumberFormat="1" applyBorder="1" applyAlignment="1">
      <alignment horizontal="center"/>
    </xf>
    <xf numFmtId="2" fontId="3" fillId="3" borderId="3" xfId="3" applyNumberFormat="1" applyBorder="1" applyAlignment="1">
      <alignment horizontal="center"/>
    </xf>
    <xf numFmtId="2" fontId="3" fillId="3" borderId="2" xfId="3" applyNumberFormat="1" applyAlignment="1">
      <alignment horizontal="center"/>
    </xf>
    <xf numFmtId="9" fontId="3" fillId="3" borderId="2" xfId="3" applyNumberFormat="1"/>
    <xf numFmtId="0" fontId="4" fillId="0" borderId="6" xfId="0" applyFont="1" applyBorder="1" applyAlignment="1">
      <alignment horizontal="center"/>
    </xf>
    <xf numFmtId="0" fontId="4" fillId="0" borderId="7" xfId="0" applyFont="1" applyBorder="1" applyAlignment="1">
      <alignment horizontal="center"/>
    </xf>
    <xf numFmtId="8" fontId="0" fillId="0" borderId="0" xfId="0" applyNumberFormat="1"/>
    <xf numFmtId="0" fontId="0" fillId="0" borderId="12" xfId="0" applyFont="1" applyFill="1" applyBorder="1"/>
    <xf numFmtId="0" fontId="4" fillId="0" borderId="0" xfId="0" applyFont="1" applyBorder="1"/>
    <xf numFmtId="0" fontId="0" fillId="0" borderId="7" xfId="0" applyBorder="1"/>
    <xf numFmtId="0" fontId="4" fillId="0" borderId="14" xfId="0" applyFont="1" applyBorder="1"/>
    <xf numFmtId="0" fontId="4" fillId="0" borderId="13" xfId="0" applyFont="1" applyBorder="1"/>
    <xf numFmtId="0" fontId="0" fillId="0" borderId="15" xfId="0" applyBorder="1"/>
    <xf numFmtId="0" fontId="0" fillId="0" borderId="3"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0" fillId="0" borderId="16" xfId="0" applyBorder="1" applyAlignment="1">
      <alignment horizontal="left"/>
    </xf>
    <xf numFmtId="0" fontId="0" fillId="0" borderId="8" xfId="0" applyFont="1" applyFill="1" applyBorder="1"/>
    <xf numFmtId="0" fontId="0" fillId="4" borderId="3" xfId="0" applyFont="1" applyFill="1" applyBorder="1"/>
    <xf numFmtId="44" fontId="3" fillId="3" borderId="2" xfId="3" applyNumberFormat="1" applyAlignment="1">
      <alignment horizontal="center"/>
    </xf>
    <xf numFmtId="44" fontId="3" fillId="3" borderId="17" xfId="3" applyNumberFormat="1" applyBorder="1"/>
    <xf numFmtId="44" fontId="3" fillId="3" borderId="17" xfId="1" applyNumberFormat="1" applyFont="1" applyFill="1" applyBorder="1" applyAlignment="1">
      <alignment horizontal="center"/>
    </xf>
    <xf numFmtId="44" fontId="3" fillId="3" borderId="10" xfId="3" applyNumberFormat="1" applyBorder="1" applyAlignment="1">
      <alignment horizontal="center"/>
    </xf>
    <xf numFmtId="44" fontId="3" fillId="3" borderId="3" xfId="1" applyFont="1" applyFill="1" applyBorder="1" applyAlignment="1">
      <alignment horizontal="center"/>
    </xf>
    <xf numFmtId="8" fontId="3" fillId="3" borderId="2" xfId="3" applyNumberFormat="1" applyAlignment="1">
      <alignment horizontal="center"/>
    </xf>
    <xf numFmtId="44" fontId="2" fillId="2" borderId="1" xfId="2" applyNumberFormat="1" applyAlignment="1">
      <alignment horizontal="center"/>
    </xf>
    <xf numFmtId="0" fontId="3" fillId="3" borderId="2" xfId="3" applyAlignment="1">
      <alignment horizontal="center"/>
    </xf>
    <xf numFmtId="9" fontId="3" fillId="3" borderId="10" xfId="3" applyNumberFormat="1" applyBorder="1" applyAlignment="1">
      <alignment horizontal="center"/>
    </xf>
    <xf numFmtId="9" fontId="3" fillId="3" borderId="2" xfId="3" applyNumberFormat="1" applyAlignment="1">
      <alignment horizontal="center"/>
    </xf>
    <xf numFmtId="44" fontId="3" fillId="3" borderId="5" xfId="3" applyNumberFormat="1" applyBorder="1" applyAlignment="1">
      <alignment horizontal="center"/>
    </xf>
    <xf numFmtId="0" fontId="3" fillId="3" borderId="2" xfId="3" applyNumberFormat="1" applyAlignment="1">
      <alignment horizontal="center"/>
    </xf>
    <xf numFmtId="0" fontId="3" fillId="3" borderId="17" xfId="3" applyBorder="1" applyAlignment="1">
      <alignment horizontal="center"/>
    </xf>
    <xf numFmtId="10" fontId="3" fillId="3" borderId="5" xfId="3" applyNumberFormat="1" applyBorder="1" applyAlignment="1">
      <alignment horizontal="center"/>
    </xf>
    <xf numFmtId="10" fontId="3" fillId="3" borderId="2" xfId="4" applyNumberFormat="1" applyFont="1" applyFill="1" applyBorder="1" applyAlignment="1">
      <alignment horizontal="center"/>
    </xf>
    <xf numFmtId="44" fontId="3" fillId="3" borderId="18" xfId="3" applyNumberFormat="1" applyBorder="1" applyAlignment="1">
      <alignment horizontal="center"/>
    </xf>
    <xf numFmtId="164" fontId="2" fillId="2" borderId="3" xfId="2" applyNumberFormat="1" applyBorder="1" applyAlignment="1">
      <alignment horizontal="center"/>
    </xf>
    <xf numFmtId="164" fontId="3" fillId="3" borderId="5" xfId="3" applyNumberFormat="1" applyBorder="1"/>
    <xf numFmtId="0" fontId="4" fillId="0" borderId="6" xfId="0" applyFont="1" applyBorder="1" applyAlignment="1">
      <alignment horizontal="center"/>
    </xf>
    <xf numFmtId="0" fontId="4" fillId="0" borderId="7" xfId="0" applyFont="1" applyBorder="1" applyAlignment="1">
      <alignment horizontal="center"/>
    </xf>
    <xf numFmtId="0" fontId="4" fillId="0" borderId="3" xfId="0" applyFont="1" applyBorder="1" applyAlignment="1">
      <alignment horizontal="center"/>
    </xf>
    <xf numFmtId="0" fontId="4" fillId="4" borderId="3" xfId="0" applyFont="1" applyFill="1" applyBorder="1" applyAlignment="1">
      <alignment horizontal="center"/>
    </xf>
    <xf numFmtId="0" fontId="4" fillId="0" borderId="6" xfId="0" applyFont="1" applyFill="1" applyBorder="1" applyAlignment="1">
      <alignment horizontal="center"/>
    </xf>
    <xf numFmtId="0" fontId="4" fillId="0" borderId="7" xfId="0" applyFont="1" applyFill="1" applyBorder="1" applyAlignment="1">
      <alignment horizontal="center"/>
    </xf>
    <xf numFmtId="0" fontId="4" fillId="0" borderId="3" xfId="0" applyFont="1" applyFill="1" applyBorder="1" applyAlignment="1">
      <alignment horizontal="center"/>
    </xf>
    <xf numFmtId="0" fontId="4" fillId="0" borderId="3" xfId="0" applyFont="1" applyFill="1" applyBorder="1" applyAlignment="1">
      <alignment horizontal="right"/>
    </xf>
    <xf numFmtId="0" fontId="8" fillId="5" borderId="16" xfId="5" applyFont="1" applyBorder="1" applyAlignment="1">
      <alignment horizontal="center" vertical="center" wrapText="1"/>
    </xf>
    <xf numFmtId="0" fontId="8" fillId="5" borderId="15" xfId="5" applyFont="1" applyBorder="1" applyAlignment="1">
      <alignment horizontal="center" vertical="center" wrapText="1"/>
    </xf>
    <xf numFmtId="0" fontId="8" fillId="5" borderId="19" xfId="5" applyFont="1" applyBorder="1" applyAlignment="1">
      <alignment horizontal="center" vertical="center" wrapText="1"/>
    </xf>
    <xf numFmtId="0" fontId="8" fillId="5" borderId="20" xfId="5" applyFont="1" applyBorder="1" applyAlignment="1">
      <alignment horizontal="center" vertical="center" wrapText="1"/>
    </xf>
    <xf numFmtId="0" fontId="8" fillId="5" borderId="13" xfId="5" applyFont="1" applyBorder="1" applyAlignment="1">
      <alignment horizontal="center" vertical="center" wrapText="1"/>
    </xf>
    <xf numFmtId="0" fontId="8" fillId="5" borderId="14" xfId="5" applyFont="1" applyBorder="1" applyAlignment="1">
      <alignment horizontal="center" vertical="center" wrapText="1"/>
    </xf>
  </cellXfs>
  <cellStyles count="6">
    <cellStyle name="Currency" xfId="1" builtinId="4"/>
    <cellStyle name="Input" xfId="2" builtinId="20"/>
    <cellStyle name="Neutral" xfId="5" builtinId="28"/>
    <cellStyle name="Normal" xfId="0" builtinId="0"/>
    <cellStyle name="Output" xfId="3" builtinId="21"/>
    <cellStyle name="Percent" xfId="4" builtinId="5"/>
  </cellStyles>
  <dxfs count="14">
    <dxf>
      <numFmt numFmtId="34" formatCode="_(&quot;$&quot;* #,##0.00_);_(&quot;$&quot;* \(#,##0.00\);_(&quot;$&quot;* &quot;-&quot;??_);_(@_)"/>
    </dxf>
    <dxf>
      <font>
        <b/>
        <i val="0"/>
        <strike val="0"/>
        <condense val="0"/>
        <extend val="0"/>
        <outline val="0"/>
        <shadow val="0"/>
        <u val="none"/>
        <vertAlign val="baseline"/>
        <sz val="11"/>
        <color theme="1"/>
        <name val="Calibri"/>
        <family val="2"/>
        <scheme val="minor"/>
      </font>
    </dxf>
    <dxf>
      <numFmt numFmtId="34" formatCode="_(&quot;$&quot;* #,##0.00_);_(&quot;$&quot;* \(#,##0.00\);_(&quot;$&quot;* &quot;-&quot;??_);_(@_)"/>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A51FE0-443D-4D93-A1A8-04975D153724}" name="Table3" displayName="Table3" ref="E2:I13" totalsRowShown="0" headerRowDxfId="13" headerRowBorderDxfId="12" tableBorderDxfId="11" totalsRowBorderDxfId="10">
  <autoFilter ref="E2:I13" xr:uid="{B6A51FE0-443D-4D93-A1A8-04975D153724}"/>
  <tableColumns count="5">
    <tableColumn id="1" xr3:uid="{9836FC27-6748-4A7F-9EC3-BEE2A562C624}" name="Loan Term (Years)" dataDxfId="9"/>
    <tableColumn id="2" xr3:uid="{2716C692-C213-4027-B4B5-A1FD6779D081}" name="Loan amount (625k)" dataDxfId="8"/>
    <tableColumn id="3" xr3:uid="{C2146342-E482-4376-98F8-A85F62C59C97}" name="LTV" dataDxfId="7"/>
    <tableColumn id="4" xr3:uid="{E3CABC9C-0A65-4FFD-9A1F-7C5F9366AD68}" name="MIP in basis points" dataDxfId="6"/>
    <tableColumn id="5" xr3:uid="{D03A3908-4787-48D2-A0AE-77F115B04277}" name="Duration of insurance payments" dataDxfId="5"/>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4520F4-B825-4EE5-AFDD-D23977FA374B}" name="Table4" displayName="Table4" ref="K2:L32" totalsRowShown="0" headerRowDxfId="4">
  <autoFilter ref="K2:L32" xr:uid="{234520F4-B825-4EE5-AFDD-D23977FA374B}"/>
  <tableColumns count="2">
    <tableColumn id="1" xr3:uid="{1A5A1EE1-E090-40AF-A69F-59BEF0829DBD}" name="Life of Loan"/>
    <tableColumn id="2" xr3:uid="{72B7CE75-A8F5-4174-99CB-E02455300BD7}" name="Loan Term (MIP)"/>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88D10E-9E8B-4AA8-A16E-FF169E3DE549}" name="Table5" displayName="Table5" ref="N2:P32" totalsRowShown="0" headerRowDxfId="3">
  <autoFilter ref="N2:P32" xr:uid="{5E88D10E-9E8B-4AA8-A16E-FF169E3DE549}"/>
  <tableColumns count="3">
    <tableColumn id="1" xr3:uid="{E4AA8652-F209-48AB-9578-223795F5559F}" name="Year"/>
    <tableColumn id="2" xr3:uid="{3CCF4279-105F-46D6-A49E-F9A4D7375BD9}" name="Loan Amount" dataDxfId="2"/>
    <tableColumn id="3" xr3:uid="{579D7FBB-7CB9-4192-B0C9-23BB91F27858}" name="MIP Payment"/>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0960A93-466D-4C3C-8CB4-EFBF3A97802C}" name="Table57" displayName="Table57" ref="E16:G46" totalsRowShown="0" headerRowDxfId="1">
  <autoFilter ref="E16:G46" xr:uid="{B0960A93-466D-4C3C-8CB4-EFBF3A97802C}"/>
  <tableColumns count="3">
    <tableColumn id="1" xr3:uid="{BD8C03A0-17F0-4BDC-B580-19F6B2DB957A}" name="Year"/>
    <tableColumn id="2" xr3:uid="{08EA2EAA-69FD-45CB-8F05-F49040A48838}" name="Loan Amount" dataDxfId="0"/>
    <tableColumn id="3" xr3:uid="{F36DF38C-107F-46A1-84B5-5A62720B60A2}" name="PMI Payment">
      <calculatedColumnFormula>IF(AND($B$19="Yes",$B$23&lt;Table57[[#This Row],[Loan Amount]]),Table57[[#This Row],[Loan Amount]]*$B$21,"0")</calculatedColumnFormula>
    </tableColum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2.vml"/><Relationship Id="rId6" Type="http://schemas.openxmlformats.org/officeDocument/2006/relationships/comments" Target="../comments2.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441BF-DF37-48DD-A746-038365A09939}">
  <sheetPr>
    <pageSetUpPr autoPageBreaks="0"/>
  </sheetPr>
  <dimension ref="A1:Q364"/>
  <sheetViews>
    <sheetView tabSelected="1" zoomScaleNormal="100" workbookViewId="0">
      <selection activeCell="C22" sqref="C22"/>
    </sheetView>
  </sheetViews>
  <sheetFormatPr defaultRowHeight="15" x14ac:dyDescent="0.25"/>
  <cols>
    <col min="1" max="1" width="29.5703125" customWidth="1"/>
    <col min="2" max="2" width="14.28515625" bestFit="1" customWidth="1"/>
    <col min="4" max="4" width="35.42578125" bestFit="1" customWidth="1"/>
    <col min="5" max="5" width="12.5703125" bestFit="1" customWidth="1"/>
    <col min="7" max="7" width="35.140625" bestFit="1" customWidth="1"/>
    <col min="8" max="8" width="12.42578125" bestFit="1" customWidth="1"/>
    <col min="10" max="10" width="12" bestFit="1" customWidth="1"/>
    <col min="11" max="11" width="16" bestFit="1" customWidth="1"/>
    <col min="12" max="13" width="12.5703125" bestFit="1" customWidth="1"/>
    <col min="14" max="14" width="13.28515625" bestFit="1" customWidth="1"/>
    <col min="15" max="15" width="12.5703125" bestFit="1" customWidth="1"/>
    <col min="17" max="17" width="11.5703125" bestFit="1" customWidth="1"/>
    <col min="18" max="18" width="10.5703125" bestFit="1" customWidth="1"/>
  </cols>
  <sheetData>
    <row r="1" spans="1:17" ht="15" customHeight="1" x14ac:dyDescent="0.25">
      <c r="A1" s="71" t="s">
        <v>20</v>
      </c>
      <c r="B1" s="72"/>
      <c r="D1" s="73" t="s">
        <v>136</v>
      </c>
      <c r="E1" s="73"/>
      <c r="G1" s="71" t="s">
        <v>67</v>
      </c>
      <c r="H1" s="72"/>
      <c r="J1" s="74" t="s">
        <v>76</v>
      </c>
      <c r="K1" s="74"/>
      <c r="L1" s="74"/>
      <c r="M1" s="74"/>
      <c r="N1" s="74"/>
      <c r="O1" s="74"/>
    </row>
    <row r="2" spans="1:17" ht="15" customHeight="1" x14ac:dyDescent="0.25">
      <c r="A2" s="11" t="s">
        <v>1</v>
      </c>
      <c r="B2" s="13">
        <v>170000</v>
      </c>
      <c r="D2" s="79" t="s">
        <v>135</v>
      </c>
      <c r="E2" s="80"/>
      <c r="G2" s="7" t="s">
        <v>68</v>
      </c>
      <c r="H2" s="7" t="s">
        <v>66</v>
      </c>
      <c r="J2" s="7" t="s">
        <v>11</v>
      </c>
      <c r="K2" s="7" t="s">
        <v>12</v>
      </c>
      <c r="L2" s="7" t="s">
        <v>13</v>
      </c>
      <c r="M2" s="7" t="s">
        <v>14</v>
      </c>
      <c r="N2" s="7" t="s">
        <v>15</v>
      </c>
      <c r="O2" s="7" t="s">
        <v>16</v>
      </c>
    </row>
    <row r="3" spans="1:17" x14ac:dyDescent="0.25">
      <c r="A3" s="9" t="s">
        <v>9</v>
      </c>
      <c r="B3" s="14">
        <v>30</v>
      </c>
      <c r="D3" s="81"/>
      <c r="E3" s="82"/>
      <c r="G3" s="7">
        <v>1</v>
      </c>
      <c r="H3" s="58">
        <f>'Potential Profit Loss'!V15</f>
        <v>-6184.0099998966107</v>
      </c>
      <c r="J3" s="8">
        <v>0</v>
      </c>
      <c r="K3" s="21">
        <f>IF($E$19&lt;O3+(O3*($B$5/$E$19)),$E$19,O3+(O3*($B$5/$E$19)))</f>
        <v>777.23210101776806</v>
      </c>
      <c r="L3" s="18">
        <f t="shared" ref="L3:L27" si="0">O3*$B$5/$B$4</f>
        <v>542.66666666666663</v>
      </c>
      <c r="M3" s="18">
        <f>K3-L3</f>
        <v>234.56543435110143</v>
      </c>
      <c r="N3" s="8">
        <v>0</v>
      </c>
      <c r="O3" s="18">
        <f>E16</f>
        <v>162800</v>
      </c>
    </row>
    <row r="4" spans="1:17" x14ac:dyDescent="0.25">
      <c r="A4" s="11" t="s">
        <v>6</v>
      </c>
      <c r="B4" s="14">
        <v>12</v>
      </c>
      <c r="D4" s="81"/>
      <c r="E4" s="82"/>
      <c r="G4" s="7">
        <v>2</v>
      </c>
      <c r="H4" s="58">
        <f>'Potential Profit Loss'!V16</f>
        <v>98.016773070456111</v>
      </c>
      <c r="J4" s="8">
        <v>1</v>
      </c>
      <c r="K4" s="21">
        <f>IF($E$19&lt;O4+(O4*($B$5/$E$19)),$E$19,O4+(O4*($B$5/$E$19)))</f>
        <v>777.23210101776806</v>
      </c>
      <c r="L4" s="18">
        <f t="shared" si="0"/>
        <v>541.88478188549641</v>
      </c>
      <c r="M4" s="18">
        <f>K4-L4</f>
        <v>235.34731913227165</v>
      </c>
      <c r="N4" s="8">
        <v>0</v>
      </c>
      <c r="O4" s="18">
        <f>O3-M3-N3</f>
        <v>162565.4345656489</v>
      </c>
    </row>
    <row r="5" spans="1:17" x14ac:dyDescent="0.25">
      <c r="A5" s="11" t="s">
        <v>5</v>
      </c>
      <c r="B5" s="34">
        <v>0.04</v>
      </c>
      <c r="D5" s="81"/>
      <c r="E5" s="82"/>
      <c r="G5" s="23">
        <v>3</v>
      </c>
      <c r="H5" s="58">
        <f>'Potential Profit Loss'!V17</f>
        <v>6784.4870204344988</v>
      </c>
      <c r="J5" s="8">
        <v>2</v>
      </c>
      <c r="K5" s="21">
        <f>IF($E$19&lt;O5+(O5*($B$5/$E$19)),$E$19,O5+(O5*($B$5/$E$19)))</f>
        <v>777.23210101776806</v>
      </c>
      <c r="L5" s="18">
        <f t="shared" si="0"/>
        <v>541.10029082172207</v>
      </c>
      <c r="M5" s="18">
        <f t="shared" ref="M5:M10" si="1">K5-L5</f>
        <v>236.13181019604599</v>
      </c>
      <c r="N5" s="8">
        <v>0</v>
      </c>
      <c r="O5" s="18">
        <f t="shared" ref="O5:O10" si="2">O4-M4-N4</f>
        <v>162330.08724651663</v>
      </c>
    </row>
    <row r="6" spans="1:17" x14ac:dyDescent="0.25">
      <c r="A6" s="11" t="s">
        <v>18</v>
      </c>
      <c r="B6" s="10">
        <v>10000</v>
      </c>
      <c r="D6" s="81"/>
      <c r="E6" s="82"/>
      <c r="G6" s="7">
        <v>4</v>
      </c>
      <c r="H6" s="58">
        <f>'Potential Profit Loss'!V18</f>
        <v>13891.668625705293</v>
      </c>
      <c r="J6" s="8">
        <v>3</v>
      </c>
      <c r="K6" s="21">
        <f>IF($E$19&lt;O6+(O6*($B$5/$E$19)),$E$19,O6+(O6*($B$5/$E$19)))</f>
        <v>777.23210101776806</v>
      </c>
      <c r="L6" s="18">
        <f t="shared" si="0"/>
        <v>540.31318478773539</v>
      </c>
      <c r="M6" s="18">
        <f t="shared" si="1"/>
        <v>236.91891623003266</v>
      </c>
      <c r="N6" s="8">
        <v>0</v>
      </c>
      <c r="O6" s="18">
        <f>O5-M5-N5</f>
        <v>162093.9554363206</v>
      </c>
    </row>
    <row r="7" spans="1:17" x14ac:dyDescent="0.25">
      <c r="A7" s="41" t="s">
        <v>0</v>
      </c>
      <c r="B7" s="59">
        <v>10000</v>
      </c>
      <c r="D7" s="81"/>
      <c r="E7" s="82"/>
      <c r="G7" s="7">
        <v>5</v>
      </c>
      <c r="H7" s="58">
        <f>'Potential Profit Loss'!V19</f>
        <v>21436.483860360182</v>
      </c>
      <c r="J7" s="8">
        <v>4</v>
      </c>
      <c r="K7" s="21">
        <f>IF($E$19&lt;O7+(O7*($B$5/$E$19)),$E$19,O7+(O7*($B$5/$E$19)))</f>
        <v>777.23210101776806</v>
      </c>
      <c r="L7" s="18">
        <f t="shared" si="0"/>
        <v>539.52345506696849</v>
      </c>
      <c r="M7" s="18">
        <f t="shared" si="1"/>
        <v>237.70864595079956</v>
      </c>
      <c r="N7" s="8">
        <v>0</v>
      </c>
      <c r="O7" s="18">
        <f t="shared" si="2"/>
        <v>161857.03652009057</v>
      </c>
    </row>
    <row r="8" spans="1:17" x14ac:dyDescent="0.25">
      <c r="A8" s="11" t="s">
        <v>2</v>
      </c>
      <c r="B8" s="15">
        <v>0.05</v>
      </c>
      <c r="D8" s="81"/>
      <c r="E8" s="82"/>
      <c r="G8" s="23">
        <v>6</v>
      </c>
      <c r="H8" s="58">
        <f>'Potential Profit Loss'!V20</f>
        <v>29436.535708991534</v>
      </c>
      <c r="J8" s="8">
        <v>5</v>
      </c>
      <c r="K8" s="21">
        <f>IF($E$19&lt;O8+(O8*($B$5/$E$19)),$E$19,O8+(O8*($B$5/$E$19)))</f>
        <v>777.23210101776806</v>
      </c>
      <c r="L8" s="18">
        <f t="shared" si="0"/>
        <v>538.73109291379922</v>
      </c>
      <c r="M8" s="18">
        <f t="shared" si="1"/>
        <v>238.50100810396884</v>
      </c>
      <c r="N8" s="8">
        <v>0</v>
      </c>
      <c r="O8" s="18">
        <f t="shared" si="2"/>
        <v>161619.32787413977</v>
      </c>
    </row>
    <row r="9" spans="1:17" x14ac:dyDescent="0.25">
      <c r="A9" s="9" t="s">
        <v>78</v>
      </c>
      <c r="B9" s="10">
        <v>0</v>
      </c>
      <c r="D9" s="81"/>
      <c r="E9" s="82"/>
      <c r="G9" s="7">
        <v>7</v>
      </c>
      <c r="H9" s="58">
        <f>'Potential Profit Loss'!V21</f>
        <v>37910.135253556073</v>
      </c>
      <c r="J9" s="8">
        <v>6</v>
      </c>
      <c r="K9" s="21">
        <f>IF($E$19&lt;O9+(O9*($B$5/$E$19)),$E$19,O9+(O9*($B$5/$E$19)))</f>
        <v>777.23210101776806</v>
      </c>
      <c r="L9" s="18">
        <f t="shared" si="0"/>
        <v>537.93608955345269</v>
      </c>
      <c r="M9" s="18">
        <f t="shared" si="1"/>
        <v>239.29601146431537</v>
      </c>
      <c r="N9" s="8">
        <v>0</v>
      </c>
      <c r="O9" s="18">
        <f t="shared" si="2"/>
        <v>161380.82686603579</v>
      </c>
    </row>
    <row r="10" spans="1:17" x14ac:dyDescent="0.25">
      <c r="D10" s="81"/>
      <c r="E10" s="82"/>
      <c r="G10" s="7">
        <v>8</v>
      </c>
      <c r="H10" s="58">
        <f>'Potential Profit Loss'!V22</f>
        <v>46876.330159338133</v>
      </c>
      <c r="J10" s="8">
        <v>7</v>
      </c>
      <c r="K10" s="21">
        <f>IF($E$19&lt;O10+(O10*($B$5/$E$19)),$E$19,O10+(O10*($B$5/$E$19)))</f>
        <v>777.23210101776806</v>
      </c>
      <c r="L10" s="18">
        <f t="shared" si="0"/>
        <v>537.13843618190492</v>
      </c>
      <c r="M10" s="18">
        <f t="shared" si="1"/>
        <v>240.09366483586314</v>
      </c>
      <c r="N10" s="8">
        <v>0</v>
      </c>
      <c r="O10" s="18">
        <f t="shared" si="2"/>
        <v>161141.53085457147</v>
      </c>
    </row>
    <row r="11" spans="1:17" x14ac:dyDescent="0.25">
      <c r="A11" s="71" t="s">
        <v>70</v>
      </c>
      <c r="B11" s="72"/>
      <c r="D11" s="81"/>
      <c r="E11" s="82"/>
      <c r="G11" s="23">
        <v>9</v>
      </c>
      <c r="H11" s="58">
        <f>'Potential Profit Loss'!V23</f>
        <v>56354.934306955067</v>
      </c>
      <c r="J11" s="8">
        <v>8</v>
      </c>
      <c r="K11" s="21">
        <f>IF($E$19&lt;O11+(O11*($B$5/$E$19)),$E$19,O11+(O11*($B$5/$E$19)))</f>
        <v>777.23210101776806</v>
      </c>
      <c r="L11" s="18">
        <f t="shared" si="0"/>
        <v>536.33812396578526</v>
      </c>
      <c r="M11" s="18">
        <f t="shared" ref="M11:M27" si="3">K11-L11</f>
        <v>240.8939770519828</v>
      </c>
      <c r="N11" s="8">
        <v>0</v>
      </c>
      <c r="O11" s="18">
        <f t="shared" ref="O11:O27" si="4">O10-M10-N10</f>
        <v>160901.43718973559</v>
      </c>
    </row>
    <row r="12" spans="1:17" x14ac:dyDescent="0.25">
      <c r="A12" s="11" t="s">
        <v>23</v>
      </c>
      <c r="B12" s="13">
        <v>75</v>
      </c>
      <c r="D12" s="83"/>
      <c r="E12" s="84"/>
      <c r="G12" s="7">
        <v>10</v>
      </c>
      <c r="H12" s="58">
        <f>'Potential Profit Loss'!V24</f>
        <v>66366.558616514492</v>
      </c>
      <c r="J12" s="8">
        <v>9</v>
      </c>
      <c r="K12" s="21">
        <f>IF($E$19&lt;O12+(O12*($B$5/$E$19)),$E$19,O12+(O12*($B$5/$E$19)))</f>
        <v>777.23210101776806</v>
      </c>
      <c r="L12" s="18">
        <f t="shared" si="0"/>
        <v>535.53514404227872</v>
      </c>
      <c r="M12" s="18">
        <f t="shared" si="3"/>
        <v>241.69695697548934</v>
      </c>
      <c r="N12" s="8">
        <v>0</v>
      </c>
      <c r="O12" s="18">
        <f t="shared" si="4"/>
        <v>160660.54321268361</v>
      </c>
      <c r="Q12" s="4"/>
    </row>
    <row r="13" spans="1:17" x14ac:dyDescent="0.25">
      <c r="A13" s="9" t="s">
        <v>24</v>
      </c>
      <c r="B13" s="13">
        <v>60</v>
      </c>
      <c r="J13" s="8">
        <v>10</v>
      </c>
      <c r="K13" s="21">
        <f>IF($E$19&lt;O13+(O13*($B$5/$E$19)),$E$19,O13+(O13*($B$5/$E$19)))</f>
        <v>777.23210101776806</v>
      </c>
      <c r="L13" s="18">
        <f t="shared" si="0"/>
        <v>534.72948751902697</v>
      </c>
      <c r="M13" s="18">
        <f t="shared" si="3"/>
        <v>242.50261349874108</v>
      </c>
      <c r="N13" s="8">
        <v>0</v>
      </c>
      <c r="O13" s="18">
        <f t="shared" si="4"/>
        <v>160418.84625570811</v>
      </c>
      <c r="Q13" s="4"/>
    </row>
    <row r="14" spans="1:17" x14ac:dyDescent="0.25">
      <c r="A14" s="9" t="s">
        <v>25</v>
      </c>
      <c r="B14" s="13">
        <v>60</v>
      </c>
      <c r="G14" s="73" t="s">
        <v>83</v>
      </c>
      <c r="H14" s="73"/>
      <c r="J14" s="8">
        <v>11</v>
      </c>
      <c r="K14" s="21">
        <f>IF($E$19&lt;O14+(O14*($B$5/$E$19)),$E$19,O14+(O14*($B$5/$E$19)))</f>
        <v>777.23210101776806</v>
      </c>
      <c r="L14" s="18">
        <f t="shared" si="0"/>
        <v>533.92114547403128</v>
      </c>
      <c r="M14" s="18">
        <f t="shared" si="3"/>
        <v>243.31095554373678</v>
      </c>
      <c r="N14" s="8">
        <v>0</v>
      </c>
      <c r="O14" s="18">
        <f t="shared" si="4"/>
        <v>160176.34364220937</v>
      </c>
      <c r="Q14" s="4"/>
    </row>
    <row r="15" spans="1:17" x14ac:dyDescent="0.25">
      <c r="A15" s="9" t="s">
        <v>26</v>
      </c>
      <c r="B15" s="13">
        <v>23</v>
      </c>
      <c r="D15" s="71" t="s">
        <v>79</v>
      </c>
      <c r="E15" s="72"/>
      <c r="G15" s="24" t="s">
        <v>80</v>
      </c>
      <c r="H15" s="70">
        <f>'PMI MIP Calc'!B5</f>
        <v>0.94117647058823528</v>
      </c>
      <c r="J15" s="8">
        <v>12</v>
      </c>
      <c r="K15" s="21">
        <f>IF($E$19&lt;O15+(O15*($B$5/$E$19)),$E$19,O15+(O15*($B$5/$E$19)))</f>
        <v>777.23210101776806</v>
      </c>
      <c r="L15" s="18">
        <f t="shared" si="0"/>
        <v>533.11010895555216</v>
      </c>
      <c r="M15" s="18">
        <f t="shared" si="3"/>
        <v>244.1219920622159</v>
      </c>
      <c r="N15" s="8">
        <v>0</v>
      </c>
      <c r="O15" s="18">
        <f t="shared" si="4"/>
        <v>159933.03268666563</v>
      </c>
      <c r="Q15" s="4"/>
    </row>
    <row r="16" spans="1:17" x14ac:dyDescent="0.25">
      <c r="A16" s="9" t="s">
        <v>27</v>
      </c>
      <c r="B16" s="13">
        <v>10</v>
      </c>
      <c r="D16" s="9" t="s">
        <v>4</v>
      </c>
      <c r="E16" s="16">
        <f>(B2-B6)+B9+IF(B24="Yes",H18)</f>
        <v>162800</v>
      </c>
      <c r="J16" s="8">
        <v>13</v>
      </c>
      <c r="K16" s="21">
        <f>IF($E$19&lt;O16+(O16*($B$5/$E$19)),$E$19,O16+(O16*($B$5/$E$19)))</f>
        <v>777.23210101776806</v>
      </c>
      <c r="L16" s="18">
        <f t="shared" si="0"/>
        <v>532.29636898201136</v>
      </c>
      <c r="M16" s="18">
        <f t="shared" si="3"/>
        <v>244.9357320357567</v>
      </c>
      <c r="N16" s="8">
        <v>0</v>
      </c>
      <c r="O16" s="18">
        <f t="shared" si="4"/>
        <v>159688.9106946034</v>
      </c>
    </row>
    <row r="17" spans="1:17" x14ac:dyDescent="0.25">
      <c r="A17" s="9" t="s">
        <v>28</v>
      </c>
      <c r="B17" s="13">
        <v>65</v>
      </c>
      <c r="D17" s="9" t="s">
        <v>3</v>
      </c>
      <c r="E17" s="16">
        <f>(B2*B8)</f>
        <v>8500</v>
      </c>
      <c r="G17" s="73" t="s">
        <v>124</v>
      </c>
      <c r="H17" s="73"/>
      <c r="J17" s="8">
        <v>14</v>
      </c>
      <c r="K17" s="21">
        <f>IF($E$19&lt;O17+(O17*($B$5/$E$19)),$E$19,O17+(O17*($B$5/$E$19)))</f>
        <v>777.23210101776806</v>
      </c>
      <c r="L17" s="18">
        <f t="shared" si="0"/>
        <v>531.47991654189218</v>
      </c>
      <c r="M17" s="18">
        <f t="shared" si="3"/>
        <v>245.75218447587588</v>
      </c>
      <c r="N17" s="8">
        <v>0</v>
      </c>
      <c r="O17" s="18">
        <f t="shared" si="4"/>
        <v>159443.97496256765</v>
      </c>
      <c r="Q17" s="4"/>
    </row>
    <row r="18" spans="1:17" x14ac:dyDescent="0.25">
      <c r="A18" s="9" t="s">
        <v>29</v>
      </c>
      <c r="B18" s="13">
        <v>1500</v>
      </c>
      <c r="D18" s="9" t="s">
        <v>10</v>
      </c>
      <c r="E18" s="12">
        <f>B4*B3</f>
        <v>360</v>
      </c>
      <c r="G18" s="11" t="s">
        <v>82</v>
      </c>
      <c r="H18" s="55">
        <f>'PMI MIP Calc'!B10</f>
        <v>2800.0000000000005</v>
      </c>
      <c r="J18" s="8">
        <v>15</v>
      </c>
      <c r="K18" s="21">
        <f>IF($E$19&lt;O18+(O18*($B$5/$E$19)),$E$19,O18+(O18*($B$5/$E$19)))</f>
        <v>777.23210101776806</v>
      </c>
      <c r="L18" s="18">
        <f t="shared" si="0"/>
        <v>530.66074259363916</v>
      </c>
      <c r="M18" s="18">
        <f t="shared" si="3"/>
        <v>246.5713584241289</v>
      </c>
      <c r="N18" s="8">
        <v>0</v>
      </c>
      <c r="O18" s="18">
        <f t="shared" si="4"/>
        <v>159198.22277809176</v>
      </c>
    </row>
    <row r="19" spans="1:17" x14ac:dyDescent="0.25">
      <c r="A19" s="9" t="s">
        <v>30</v>
      </c>
      <c r="B19" s="13">
        <v>2000</v>
      </c>
      <c r="D19" s="52" t="s">
        <v>7</v>
      </c>
      <c r="E19" s="17">
        <f>-PMT(B5/B4,E18,E16,0)</f>
        <v>777.23210101776806</v>
      </c>
      <c r="G19" s="9" t="s">
        <v>130</v>
      </c>
      <c r="H19" s="54">
        <f>'PMI MIP Calc'!P3</f>
        <v>1279.464261493325</v>
      </c>
      <c r="J19" s="8">
        <v>16</v>
      </c>
      <c r="K19" s="21">
        <f>IF($E$19&lt;O19+(O19*($B$5/$E$19)),$E$19,O19+(O19*($B$5/$E$19)))</f>
        <v>777.23210101776806</v>
      </c>
      <c r="L19" s="18">
        <f t="shared" si="0"/>
        <v>529.83883806555889</v>
      </c>
      <c r="M19" s="18">
        <f t="shared" si="3"/>
        <v>247.39326295220917</v>
      </c>
      <c r="N19" s="8">
        <v>0</v>
      </c>
      <c r="O19" s="18">
        <f t="shared" si="4"/>
        <v>158951.65141966764</v>
      </c>
    </row>
    <row r="20" spans="1:17" x14ac:dyDescent="0.25">
      <c r="D20" s="9" t="s">
        <v>8</v>
      </c>
      <c r="E20" s="17">
        <f>E19*E18</f>
        <v>279803.55636639649</v>
      </c>
      <c r="J20" s="8">
        <v>17</v>
      </c>
      <c r="K20" s="21">
        <f>IF($E$19&lt;O20+(O20*($B$5/$E$19)),$E$19,O20+(O20*($B$5/$E$19)))</f>
        <v>777.23210101776806</v>
      </c>
      <c r="L20" s="18">
        <f t="shared" si="0"/>
        <v>529.01419385571808</v>
      </c>
      <c r="M20" s="18">
        <f t="shared" si="3"/>
        <v>248.21790716204998</v>
      </c>
      <c r="N20" s="8">
        <v>0</v>
      </c>
      <c r="O20" s="18">
        <f t="shared" si="4"/>
        <v>158704.25815671543</v>
      </c>
    </row>
    <row r="21" spans="1:17" x14ac:dyDescent="0.25">
      <c r="A21" s="73" t="s">
        <v>116</v>
      </c>
      <c r="B21" s="73"/>
      <c r="D21" s="11" t="s">
        <v>19</v>
      </c>
      <c r="E21" s="17">
        <f>E20-E16</f>
        <v>117003.55636639649</v>
      </c>
      <c r="G21" s="71" t="s">
        <v>125</v>
      </c>
      <c r="H21" s="72"/>
      <c r="J21" s="8">
        <v>18</v>
      </c>
      <c r="K21" s="21">
        <f>IF($E$19&lt;O21+(O21*($B$5/$E$19)),$E$19,O21+(O21*($B$5/$E$19)))</f>
        <v>777.23210101776806</v>
      </c>
      <c r="L21" s="18">
        <f t="shared" si="0"/>
        <v>528.18680083184461</v>
      </c>
      <c r="M21" s="18">
        <f t="shared" si="3"/>
        <v>249.04530018592345</v>
      </c>
      <c r="N21" s="8">
        <v>0</v>
      </c>
      <c r="O21" s="18">
        <f t="shared" si="4"/>
        <v>158456.04024955336</v>
      </c>
    </row>
    <row r="22" spans="1:17" x14ac:dyDescent="0.25">
      <c r="A22" t="s">
        <v>113</v>
      </c>
      <c r="B22" s="14" t="s">
        <v>114</v>
      </c>
      <c r="G22" s="8" t="s">
        <v>133</v>
      </c>
      <c r="H22" s="53" t="str">
        <f>'PMI MIP Calc'!B24</f>
        <v>0</v>
      </c>
      <c r="J22" s="8">
        <v>19</v>
      </c>
      <c r="K22" s="21">
        <f>IF($E$19&lt;O22+(O22*($B$5/$E$19)),$E$19,O22+(O22*($B$5/$E$19)))</f>
        <v>777.23210101776806</v>
      </c>
      <c r="L22" s="18">
        <f t="shared" si="0"/>
        <v>527.3566498312249</v>
      </c>
      <c r="M22" s="18">
        <f t="shared" si="3"/>
        <v>249.87545118654316</v>
      </c>
      <c r="N22" s="8">
        <v>0</v>
      </c>
      <c r="O22" s="18">
        <f t="shared" si="4"/>
        <v>158206.99494936745</v>
      </c>
    </row>
    <row r="23" spans="1:17" x14ac:dyDescent="0.25">
      <c r="A23" s="11" t="s">
        <v>84</v>
      </c>
      <c r="B23" s="34">
        <v>1.7500000000000002E-2</v>
      </c>
      <c r="D23" s="71" t="s">
        <v>21</v>
      </c>
      <c r="E23" s="72"/>
      <c r="G23" s="41" t="s">
        <v>129</v>
      </c>
      <c r="H23" s="68" t="str">
        <f>IF(B28="Annual",'PMI MIP Calc'!B23, "0")</f>
        <v>0</v>
      </c>
      <c r="J23" s="8">
        <v>20</v>
      </c>
      <c r="K23" s="21">
        <f>IF($E$19&lt;O23+(O23*($B$5/$E$19)),$E$19,O23+(O23*($B$5/$E$19)))</f>
        <v>777.23210101776806</v>
      </c>
      <c r="L23" s="18">
        <f t="shared" si="0"/>
        <v>526.52373166060295</v>
      </c>
      <c r="M23" s="18">
        <f t="shared" si="3"/>
        <v>250.70836935716511</v>
      </c>
      <c r="N23" s="8">
        <v>0</v>
      </c>
      <c r="O23" s="18">
        <f t="shared" si="4"/>
        <v>157957.11949818089</v>
      </c>
    </row>
    <row r="24" spans="1:17" x14ac:dyDescent="0.25">
      <c r="A24" s="9" t="s">
        <v>134</v>
      </c>
      <c r="B24" s="14" t="s">
        <v>114</v>
      </c>
      <c r="D24" s="9" t="s">
        <v>55</v>
      </c>
      <c r="E24" s="16">
        <f>(B6+E17)-B7+IF(B24="No", H18)+IF(B28="Upfront",H22)</f>
        <v>8500</v>
      </c>
      <c r="G24" s="9" t="s">
        <v>130</v>
      </c>
      <c r="H24" s="53" t="str">
        <f>IF(B28="Annual",'PMI MIP Calc'!G17, "0")</f>
        <v>0</v>
      </c>
      <c r="J24" s="8">
        <v>21</v>
      </c>
      <c r="K24" s="21">
        <f>IF($E$19&lt;O24+(O24*($B$5/$E$19)),$E$19,O24+(O24*($B$5/$E$19)))</f>
        <v>777.23210101776806</v>
      </c>
      <c r="L24" s="18">
        <f t="shared" si="0"/>
        <v>525.68803709607914</v>
      </c>
      <c r="M24" s="18">
        <f t="shared" si="3"/>
        <v>251.54406392168892</v>
      </c>
      <c r="N24" s="8">
        <v>0</v>
      </c>
      <c r="O24" s="18">
        <f t="shared" si="4"/>
        <v>157706.41112882373</v>
      </c>
    </row>
    <row r="25" spans="1:17" x14ac:dyDescent="0.25">
      <c r="D25" s="71" t="s">
        <v>22</v>
      </c>
      <c r="E25" s="72"/>
      <c r="J25" s="8">
        <v>22</v>
      </c>
      <c r="K25" s="21">
        <f>IF($E$19&lt;O25+(O25*($B$5/$E$19)),$E$19,O25+(O25*($B$5/$E$19)))</f>
        <v>777.23210101776806</v>
      </c>
      <c r="L25" s="18">
        <f t="shared" si="0"/>
        <v>524.84955688300681</v>
      </c>
      <c r="M25" s="18">
        <f t="shared" si="3"/>
        <v>252.38254413476125</v>
      </c>
      <c r="N25" s="8">
        <v>0</v>
      </c>
      <c r="O25" s="18">
        <f t="shared" si="4"/>
        <v>157454.86706490204</v>
      </c>
    </row>
    <row r="26" spans="1:17" x14ac:dyDescent="0.25">
      <c r="A26" s="7" t="s">
        <v>117</v>
      </c>
      <c r="B26" s="8"/>
      <c r="D26" s="78" t="s">
        <v>58</v>
      </c>
      <c r="E26" s="7" t="s">
        <v>109</v>
      </c>
      <c r="J26" s="8">
        <v>23</v>
      </c>
      <c r="K26" s="21">
        <f>IF($E$19&lt;O26+(O26*($B$5/$E$19)),$E$19,O26+(O26*($B$5/$E$19)))</f>
        <v>777.23210101776806</v>
      </c>
      <c r="L26" s="18">
        <f t="shared" si="0"/>
        <v>524.00828173589082</v>
      </c>
      <c r="M26" s="18">
        <f t="shared" si="3"/>
        <v>253.22381928187724</v>
      </c>
      <c r="N26" s="8">
        <v>0</v>
      </c>
      <c r="O26" s="18">
        <f t="shared" si="4"/>
        <v>157202.48452076726</v>
      </c>
    </row>
    <row r="27" spans="1:17" x14ac:dyDescent="0.25">
      <c r="A27" s="8" t="s">
        <v>118</v>
      </c>
      <c r="B27" s="14" t="s">
        <v>115</v>
      </c>
      <c r="D27" s="8">
        <v>1</v>
      </c>
      <c r="E27" s="57">
        <f>SUM($E$19,$B$12,$B$13,$B$14,$B$15,$B$16,$B$17+($B$18/12)+($B$19/12)+('PMI MIP Calc'!P3/12)+('PMI MIP Calc'!G17/12))</f>
        <v>1468.5207894755451</v>
      </c>
      <c r="J27" s="8">
        <v>24</v>
      </c>
      <c r="K27" s="21">
        <f>IF($E$19&lt;O27+(O27*($B$5/$E$19)),$E$19,O27+(O27*($B$5/$E$19)))</f>
        <v>777.23210101776806</v>
      </c>
      <c r="L27" s="18">
        <f t="shared" si="0"/>
        <v>523.16420233828467</v>
      </c>
      <c r="M27" s="18">
        <f t="shared" si="3"/>
        <v>254.06789867948339</v>
      </c>
      <c r="N27" s="8">
        <v>0</v>
      </c>
      <c r="O27" s="18">
        <f t="shared" si="4"/>
        <v>156949.26070148539</v>
      </c>
    </row>
    <row r="28" spans="1:17" x14ac:dyDescent="0.25">
      <c r="A28" s="8" t="s">
        <v>131</v>
      </c>
      <c r="B28" s="14" t="s">
        <v>132</v>
      </c>
      <c r="D28" s="8">
        <v>2</v>
      </c>
      <c r="E28" s="57">
        <f>SUM($E$19,$B$12,$B$13,$B$14,$B$15,$B$16,$B$17+($B$18/12)+($B$19/12)+('PMI MIP Calc'!P4/12)+('PMI MIP Calc'!G18/12))</f>
        <v>1466.5316081520916</v>
      </c>
      <c r="J28" s="8">
        <v>25</v>
      </c>
      <c r="K28" s="21">
        <f>IF($E$19&lt;O28+(O28*($B$5/$E$19)),$E$19,O28+(O28*($B$5/$E$19)))</f>
        <v>777.23210101776806</v>
      </c>
      <c r="L28" s="18">
        <f t="shared" ref="L28:L66" si="5">O28*$B$5/$B$4</f>
        <v>522.31730934268637</v>
      </c>
      <c r="M28" s="18">
        <f t="shared" ref="M28:M42" si="6">K28-L28</f>
        <v>254.91479167508169</v>
      </c>
      <c r="N28" s="8">
        <v>0</v>
      </c>
      <c r="O28" s="18">
        <f t="shared" ref="O28:O42" si="7">O27-M27-N27</f>
        <v>156695.19280280589</v>
      </c>
    </row>
    <row r="29" spans="1:17" x14ac:dyDescent="0.25">
      <c r="A29" s="9" t="s">
        <v>112</v>
      </c>
      <c r="B29" s="15">
        <v>0.01</v>
      </c>
      <c r="D29" s="8">
        <v>3</v>
      </c>
      <c r="E29" s="57">
        <f>SUM($E$19,$B$12,$B$13,$B$14,$B$15,$B$16,$B$17+($B$18/12)+($B$19/12)+('PMI MIP Calc'!P5/12)+('PMI MIP Calc'!G19/12))</f>
        <v>1464.4613845123733</v>
      </c>
      <c r="J29" s="8">
        <v>26</v>
      </c>
      <c r="K29" s="21">
        <f>IF($E$19&lt;O29+(O29*($B$5/$E$19)),$E$19,O29+(O29*($B$5/$E$19)))</f>
        <v>777.23210101776806</v>
      </c>
      <c r="L29" s="18">
        <f t="shared" si="5"/>
        <v>521.46759337043602</v>
      </c>
      <c r="M29" s="18">
        <f t="shared" si="6"/>
        <v>255.76450764733204</v>
      </c>
      <c r="N29" s="8">
        <v>0</v>
      </c>
      <c r="O29" s="18">
        <f t="shared" si="7"/>
        <v>156440.27801113081</v>
      </c>
    </row>
    <row r="30" spans="1:17" x14ac:dyDescent="0.25">
      <c r="A30" s="9" t="s">
        <v>128</v>
      </c>
      <c r="B30" s="15">
        <v>0.22</v>
      </c>
      <c r="D30" s="8">
        <v>4</v>
      </c>
      <c r="E30" s="57">
        <f>SUM($E$19,$B$12,$B$13,$B$14,$B$15,$B$16,$B$17+($B$18/12)+($B$19/12)+('PMI MIP Calc'!P6/12)+('PMI MIP Calc'!G20/12))</f>
        <v>1462.3068167673841</v>
      </c>
      <c r="J30" s="8">
        <v>27</v>
      </c>
      <c r="K30" s="21">
        <f>IF($E$19&lt;O30+(O30*($B$5/$E$19)),$E$19,O30+(O30*($B$5/$E$19)))</f>
        <v>777.23210101776806</v>
      </c>
      <c r="L30" s="18">
        <f t="shared" si="5"/>
        <v>520.61504501161164</v>
      </c>
      <c r="M30" s="18">
        <f t="shared" si="6"/>
        <v>256.61705600615642</v>
      </c>
      <c r="N30" s="8">
        <v>0</v>
      </c>
      <c r="O30" s="18">
        <f t="shared" si="7"/>
        <v>156184.51350348347</v>
      </c>
    </row>
    <row r="31" spans="1:17" x14ac:dyDescent="0.25">
      <c r="D31" s="8">
        <v>5</v>
      </c>
      <c r="E31" s="57">
        <f>SUM($E$19,$B$12,$B$13,$B$14,$B$15,$B$16,$B$17+($B$18/12)+($B$19/12)+('PMI MIP Calc'!P7/12)+('PMI MIP Calc'!G21/12))</f>
        <v>1460.0644686081387</v>
      </c>
      <c r="J31" s="8">
        <v>28</v>
      </c>
      <c r="K31" s="21">
        <f>IF($E$19&lt;O31+(O31*($B$5/$E$19)),$E$19,O31+(O31*($B$5/$E$19)))</f>
        <v>777.23210101776806</v>
      </c>
      <c r="L31" s="18">
        <f t="shared" si="5"/>
        <v>519.75965482492438</v>
      </c>
      <c r="M31" s="18">
        <f t="shared" si="6"/>
        <v>257.47244619284368</v>
      </c>
      <c r="N31" s="8">
        <v>0</v>
      </c>
      <c r="O31" s="18">
        <f t="shared" si="7"/>
        <v>155927.89644747731</v>
      </c>
    </row>
    <row r="32" spans="1:17" x14ac:dyDescent="0.25">
      <c r="A32" s="38" t="s">
        <v>73</v>
      </c>
      <c r="B32" s="39"/>
      <c r="D32" s="8">
        <v>6</v>
      </c>
      <c r="E32" s="57">
        <f>SUM($E$19,$B$12,$B$13,$B$14,$B$15,$B$16,$B$17+($B$18/12)+($B$19/12)+('PMI MIP Calc'!P8/12)+('PMI MIP Calc'!G22/12))</f>
        <v>1457.7307637251224</v>
      </c>
      <c r="J32" s="8">
        <v>29</v>
      </c>
      <c r="K32" s="21">
        <f>IF($E$19&lt;O32+(O32*($B$5/$E$19)),$E$19,O32+(O32*($B$5/$E$19)))</f>
        <v>777.23210101776806</v>
      </c>
      <c r="L32" s="18">
        <f t="shared" si="5"/>
        <v>518.90141333761494</v>
      </c>
      <c r="M32" s="18">
        <f t="shared" si="6"/>
        <v>258.33068768015312</v>
      </c>
      <c r="N32" s="8">
        <v>0</v>
      </c>
      <c r="O32" s="18">
        <f t="shared" si="7"/>
        <v>155670.42400128447</v>
      </c>
    </row>
    <row r="33" spans="1:15" x14ac:dyDescent="0.25">
      <c r="A33" s="19" t="s">
        <v>46</v>
      </c>
      <c r="B33" s="69">
        <v>0.04</v>
      </c>
      <c r="D33" s="8">
        <v>7</v>
      </c>
      <c r="E33" s="57">
        <f>SUM($E$19,$B$12,$B$13,$B$14,$B$15,$B$16,$B$17+($B$18/12)+($B$19/12)+('PMI MIP Calc'!P9/12)+('PMI MIP Calc'!G23/12))</f>
        <v>1455.3019801044522</v>
      </c>
      <c r="J33" s="8">
        <v>30</v>
      </c>
      <c r="K33" s="21">
        <f>IF($E$19&lt;O33+(O33*($B$5/$E$19)),$E$19,O33+(O33*($B$5/$E$19)))</f>
        <v>777.23210101776806</v>
      </c>
      <c r="L33" s="18">
        <f t="shared" si="5"/>
        <v>518.04031104534772</v>
      </c>
      <c r="M33" s="18">
        <f t="shared" si="6"/>
        <v>259.19178997242034</v>
      </c>
      <c r="N33" s="8">
        <v>0</v>
      </c>
      <c r="O33" s="18">
        <f t="shared" si="7"/>
        <v>155412.0933136043</v>
      </c>
    </row>
    <row r="34" spans="1:15" x14ac:dyDescent="0.25">
      <c r="D34" s="8">
        <v>8</v>
      </c>
      <c r="E34" s="57">
        <f>SUM($E$19,$B$12,$B$13,$B$14,$B$15,$B$16,$B$17+($B$18/12)+($B$19/12)+('PMI MIP Calc'!P10/12)+('PMI MIP Calc'!G24/12))</f>
        <v>1452.7742440916579</v>
      </c>
      <c r="J34" s="8">
        <v>31</v>
      </c>
      <c r="K34" s="21">
        <f>IF($E$19&lt;O34+(O34*($B$5/$E$19)),$E$19,O34+(O34*($B$5/$E$19)))</f>
        <v>777.23210101776806</v>
      </c>
      <c r="L34" s="18">
        <f t="shared" si="5"/>
        <v>517.17633841210625</v>
      </c>
      <c r="M34" s="18">
        <f t="shared" si="6"/>
        <v>260.05576260566181</v>
      </c>
      <c r="N34" s="8">
        <v>0</v>
      </c>
      <c r="O34" s="18">
        <f t="shared" si="7"/>
        <v>155152.90152363188</v>
      </c>
    </row>
    <row r="35" spans="1:15" x14ac:dyDescent="0.25">
      <c r="A35" s="38" t="s">
        <v>71</v>
      </c>
      <c r="B35" s="39"/>
      <c r="D35" s="8">
        <v>9</v>
      </c>
      <c r="E35" s="57">
        <f>SUM($E$19,$B$12,$B$13,$B$14,$B$15,$B$16,$B$17+($B$18/12)+($B$19/12)+('PMI MIP Calc'!P11/12)+('PMI MIP Calc'!G25/12))</f>
        <v>1450.1435242136085</v>
      </c>
      <c r="J35" s="8">
        <v>32</v>
      </c>
      <c r="K35" s="21">
        <f>IF($E$19&lt;O35+(O35*($B$5/$E$19)),$E$19,O35+(O35*($B$5/$E$19)))</f>
        <v>777.23210101776806</v>
      </c>
      <c r="L35" s="18">
        <f t="shared" si="5"/>
        <v>516.30948587008743</v>
      </c>
      <c r="M35" s="18">
        <f t="shared" si="6"/>
        <v>260.92261514768063</v>
      </c>
      <c r="N35" s="8">
        <v>0</v>
      </c>
      <c r="O35" s="18">
        <f t="shared" si="7"/>
        <v>154892.84576102623</v>
      </c>
    </row>
    <row r="36" spans="1:15" x14ac:dyDescent="0.25">
      <c r="A36" s="11" t="s">
        <v>39</v>
      </c>
      <c r="B36" s="10">
        <v>900</v>
      </c>
      <c r="D36" s="8">
        <v>10</v>
      </c>
      <c r="E36" s="57">
        <f>SUM($E$19,$B$12,$B$13,$B$14,$B$15,$B$16,$B$17+($B$18/12)+($B$19/12)+('PMI MIP Calc'!P12/12)+('PMI MIP Calc'!G26/12))</f>
        <v>1447.4056247487374</v>
      </c>
      <c r="J36" s="8">
        <v>33</v>
      </c>
      <c r="K36" s="21">
        <f>IF($E$19&lt;O36+(O36*($B$5/$E$19)),$E$19,O36+(O36*($B$5/$E$19)))</f>
        <v>777.23210101776806</v>
      </c>
      <c r="L36" s="18">
        <f t="shared" si="5"/>
        <v>515.43974381959515</v>
      </c>
      <c r="M36" s="18">
        <f t="shared" si="6"/>
        <v>261.79235719817291</v>
      </c>
      <c r="N36" s="8">
        <v>0</v>
      </c>
      <c r="O36" s="18">
        <f t="shared" si="7"/>
        <v>154631.92314587854</v>
      </c>
    </row>
    <row r="37" spans="1:15" x14ac:dyDescent="0.25">
      <c r="D37" s="8">
        <v>11</v>
      </c>
      <c r="E37" s="57">
        <f>SUM($E$19,$B$12,$B$13,$B$14,$B$15,$B$16,$B$17+($B$18/12)+($B$19/12)+('PMI MIP Calc'!P13/12)+('PMI MIP Calc'!G27/12))</f>
        <v>1444.5561790353083</v>
      </c>
      <c r="J37" s="8">
        <v>34</v>
      </c>
      <c r="K37" s="21">
        <f>IF($E$19&lt;O37+(O37*($B$5/$E$19)),$E$19,O37+(O37*($B$5/$E$19)))</f>
        <v>777.23210101776806</v>
      </c>
      <c r="L37" s="18">
        <f t="shared" si="5"/>
        <v>514.56710262893455</v>
      </c>
      <c r="M37" s="18">
        <f t="shared" si="6"/>
        <v>262.66499838883351</v>
      </c>
      <c r="N37" s="8">
        <v>0</v>
      </c>
      <c r="O37" s="18">
        <f t="shared" si="7"/>
        <v>154370.13078868037</v>
      </c>
    </row>
    <row r="38" spans="1:15" x14ac:dyDescent="0.25">
      <c r="A38" s="38" t="s">
        <v>72</v>
      </c>
      <c r="B38" s="39"/>
      <c r="D38" s="8">
        <v>12</v>
      </c>
      <c r="E38" s="57">
        <f>SUM($E$19,$B$12,$B$13,$B$14,$B$15,$B$16,$B$17+($B$18/12)+($B$19/12)+('PMI MIP Calc'!P14/12)+('PMI MIP Calc'!G28/12))</f>
        <v>1441.590642507048</v>
      </c>
      <c r="J38" s="8">
        <v>35</v>
      </c>
      <c r="K38" s="21">
        <f>IF($E$19&lt;O38+(O38*($B$5/$E$19)),$E$19,O38+(O38*($B$5/$E$19)))</f>
        <v>777.23210101776806</v>
      </c>
      <c r="L38" s="18">
        <f t="shared" si="5"/>
        <v>513.69155263430514</v>
      </c>
      <c r="M38" s="18">
        <f t="shared" si="6"/>
        <v>263.54054838346292</v>
      </c>
      <c r="N38" s="8">
        <v>0</v>
      </c>
      <c r="O38" s="18">
        <f t="shared" si="7"/>
        <v>154107.46579029155</v>
      </c>
    </row>
    <row r="39" spans="1:15" x14ac:dyDescent="0.25">
      <c r="A39" s="8" t="s">
        <v>69</v>
      </c>
      <c r="B39" s="13">
        <v>60</v>
      </c>
      <c r="D39" s="8">
        <v>13</v>
      </c>
      <c r="E39" s="57">
        <f>SUM($E$19,$B$12,$B$13,$B$14,$B$15,$B$16,$B$17+($B$18/12)+($B$19/12)+('PMI MIP Calc'!P15/12)+('PMI MIP Calc'!G29/12))</f>
        <v>1438.5042854450412</v>
      </c>
      <c r="J39" s="8">
        <v>36</v>
      </c>
      <c r="K39" s="21">
        <f>IF($E$19&lt;O39+(O39*($B$5/$E$19)),$E$19,O39+(O39*($B$5/$E$19)))</f>
        <v>777.23210101776806</v>
      </c>
      <c r="L39" s="18">
        <f t="shared" si="5"/>
        <v>512.81308413969361</v>
      </c>
      <c r="M39" s="18">
        <f t="shared" si="6"/>
        <v>264.41901687807444</v>
      </c>
      <c r="N39" s="8">
        <v>0</v>
      </c>
      <c r="O39" s="18">
        <f t="shared" si="7"/>
        <v>153843.92524190809</v>
      </c>
    </row>
    <row r="40" spans="1:15" x14ac:dyDescent="0.25">
      <c r="A40" s="22" t="s">
        <v>28</v>
      </c>
      <c r="B40" s="13">
        <v>75</v>
      </c>
      <c r="D40" s="8">
        <v>14</v>
      </c>
      <c r="E40" s="57">
        <f>SUM($E$19,$B$12,$B$13,$B$14,$B$15,$B$16,$B$17+($B$18/12)+($B$19/12)+('PMI MIP Calc'!P16/12)+('PMI MIP Calc'!G30/12))</f>
        <v>1435.2921854343267</v>
      </c>
      <c r="J40" s="8">
        <v>37</v>
      </c>
      <c r="K40" s="21">
        <f>IF($E$19&lt;O40+(O40*($B$5/$E$19)),$E$19,O40+(O40*($B$5/$E$19)))</f>
        <v>777.23210101776806</v>
      </c>
      <c r="L40" s="18">
        <f t="shared" si="5"/>
        <v>511.93168741676681</v>
      </c>
      <c r="M40" s="18">
        <f t="shared" si="6"/>
        <v>265.30041360100125</v>
      </c>
      <c r="N40" s="8">
        <v>0</v>
      </c>
      <c r="O40" s="18">
        <f t="shared" si="7"/>
        <v>153579.50622503003</v>
      </c>
    </row>
    <row r="41" spans="1:15" x14ac:dyDescent="0.25">
      <c r="A41" s="8" t="s">
        <v>45</v>
      </c>
      <c r="B41" s="13">
        <v>12.42</v>
      </c>
      <c r="D41" s="8">
        <v>15</v>
      </c>
      <c r="E41" s="57">
        <f>SUM($E$19,$B$12,$B$13,$B$14,$B$15,$B$16,$B$17+($B$18/12)+($B$19/12)+('PMI MIP Calc'!P17/12)+('PMI MIP Calc'!G31/12))</f>
        <v>1431.9492195131634</v>
      </c>
      <c r="J41" s="8">
        <v>38</v>
      </c>
      <c r="K41" s="21">
        <f>IF($E$19&lt;O41+(O41*($B$5/$E$19)),$E$19,O41+(O41*($B$5/$E$19)))</f>
        <v>777.23210101776806</v>
      </c>
      <c r="L41" s="18">
        <f t="shared" si="5"/>
        <v>511.0473527047634</v>
      </c>
      <c r="M41" s="18">
        <f t="shared" si="6"/>
        <v>266.18474831300466</v>
      </c>
      <c r="N41" s="8">
        <v>0</v>
      </c>
      <c r="O41" s="18">
        <f t="shared" si="7"/>
        <v>153314.20581142901</v>
      </c>
    </row>
    <row r="42" spans="1:15" x14ac:dyDescent="0.25">
      <c r="J42" s="8">
        <v>39</v>
      </c>
      <c r="K42" s="21">
        <f>IF($E$19&lt;O42+(O42*($B$5/$E$19)),$E$19,O42+(O42*($B$5/$E$19)))</f>
        <v>777.23210101776806</v>
      </c>
      <c r="L42" s="18">
        <f t="shared" si="5"/>
        <v>510.16007021038666</v>
      </c>
      <c r="M42" s="18">
        <f t="shared" si="6"/>
        <v>267.0720308073814</v>
      </c>
      <c r="N42" s="8">
        <v>0</v>
      </c>
      <c r="O42" s="18">
        <f t="shared" si="7"/>
        <v>153048.021063116</v>
      </c>
    </row>
    <row r="43" spans="1:15" x14ac:dyDescent="0.25">
      <c r="A43" s="38" t="s">
        <v>75</v>
      </c>
      <c r="B43" s="39"/>
      <c r="D43" s="71" t="s">
        <v>74</v>
      </c>
      <c r="E43" s="72"/>
      <c r="J43" s="8">
        <v>40</v>
      </c>
      <c r="K43" s="21">
        <f>IF($E$19&lt;O43+(O43*($B$5/$E$19)),$E$19,O43+(O43*($B$5/$E$19)))</f>
        <v>777.23210101776806</v>
      </c>
      <c r="L43" s="18">
        <f t="shared" si="5"/>
        <v>509.26983010769544</v>
      </c>
      <c r="M43" s="18">
        <f t="shared" ref="M43:M68" si="8">K43-L43</f>
        <v>267.96227091007262</v>
      </c>
      <c r="N43" s="8">
        <v>0</v>
      </c>
      <c r="O43" s="18">
        <f t="shared" ref="O43:O68" si="9">O42-M42-N42</f>
        <v>152780.94903230862</v>
      </c>
    </row>
    <row r="44" spans="1:15" x14ac:dyDescent="0.25">
      <c r="A44" s="9" t="s">
        <v>31</v>
      </c>
      <c r="B44" s="10">
        <v>3000</v>
      </c>
      <c r="D44" s="11" t="s">
        <v>35</v>
      </c>
      <c r="E44" s="35">
        <f>B45/B44</f>
        <v>3.3333333333333333E-2</v>
      </c>
      <c r="J44" s="8">
        <v>41</v>
      </c>
      <c r="K44" s="21">
        <f>IF($E$19&lt;O44+(O44*($B$5/$E$19)),$E$19,O44+(O44*($B$5/$E$19)))</f>
        <v>777.23210101776806</v>
      </c>
      <c r="L44" s="18">
        <f t="shared" si="5"/>
        <v>508.37662253799522</v>
      </c>
      <c r="M44" s="18">
        <f t="shared" si="8"/>
        <v>268.85547847977284</v>
      </c>
      <c r="N44" s="8">
        <v>0</v>
      </c>
      <c r="O44" s="18">
        <f t="shared" si="9"/>
        <v>152512.98676139856</v>
      </c>
    </row>
    <row r="45" spans="1:15" x14ac:dyDescent="0.25">
      <c r="A45" s="11" t="s">
        <v>32</v>
      </c>
      <c r="B45" s="10">
        <v>100</v>
      </c>
      <c r="D45" s="9" t="s">
        <v>36</v>
      </c>
      <c r="E45" s="36">
        <f>B47/B46</f>
        <v>7.4999999999999997E-2</v>
      </c>
      <c r="J45" s="8">
        <v>42</v>
      </c>
      <c r="K45" s="21">
        <f>IF($E$19&lt;O45+(O45*($B$5/$E$19)),$E$19,O45+(O45*($B$5/$E$19)))</f>
        <v>777.23210101776806</v>
      </c>
      <c r="L45" s="18">
        <f t="shared" si="5"/>
        <v>507.48043760972934</v>
      </c>
      <c r="M45" s="18">
        <f t="shared" si="8"/>
        <v>269.75166340803872</v>
      </c>
      <c r="N45" s="8">
        <v>0</v>
      </c>
      <c r="O45" s="18">
        <f t="shared" si="9"/>
        <v>152244.1312829188</v>
      </c>
    </row>
    <row r="46" spans="1:15" x14ac:dyDescent="0.25">
      <c r="A46" s="9" t="s">
        <v>33</v>
      </c>
      <c r="B46" s="10">
        <v>2000</v>
      </c>
      <c r="J46" s="8">
        <v>43</v>
      </c>
      <c r="K46" s="21">
        <f>IF($E$19&lt;O46+(O46*($B$5/$E$19)),$E$19,O46+(O46*($B$5/$E$19)))</f>
        <v>777.23210101776806</v>
      </c>
      <c r="L46" s="18">
        <f t="shared" si="5"/>
        <v>506.58126539836917</v>
      </c>
      <c r="M46" s="18">
        <f t="shared" si="8"/>
        <v>270.65083561939889</v>
      </c>
      <c r="N46" s="8">
        <v>0</v>
      </c>
      <c r="O46" s="18">
        <f t="shared" si="9"/>
        <v>151974.37961951076</v>
      </c>
    </row>
    <row r="47" spans="1:15" x14ac:dyDescent="0.25">
      <c r="A47" s="9" t="s">
        <v>34</v>
      </c>
      <c r="B47" s="10">
        <v>150</v>
      </c>
      <c r="J47" s="8">
        <v>44</v>
      </c>
      <c r="K47" s="21">
        <f>IF($E$19&lt;O47+(O47*($B$5/$E$19)),$E$19,O47+(O47*($B$5/$E$19)))</f>
        <v>777.23210101776806</v>
      </c>
      <c r="L47" s="18">
        <f t="shared" si="5"/>
        <v>505.67909594630459</v>
      </c>
      <c r="M47" s="18">
        <f t="shared" si="8"/>
        <v>271.55300507146347</v>
      </c>
      <c r="N47" s="8">
        <v>0</v>
      </c>
      <c r="O47" s="18">
        <f t="shared" si="9"/>
        <v>151703.72878389136</v>
      </c>
    </row>
    <row r="48" spans="1:15" x14ac:dyDescent="0.25">
      <c r="J48" s="8">
        <v>45</v>
      </c>
      <c r="K48" s="21">
        <f>IF($E$19&lt;O48+(O48*($B$5/$E$19)),$E$19,O48+(O48*($B$5/$E$19)))</f>
        <v>777.23210101776806</v>
      </c>
      <c r="L48" s="18">
        <f t="shared" si="5"/>
        <v>504.77391926273299</v>
      </c>
      <c r="M48" s="18">
        <f t="shared" si="8"/>
        <v>272.45818175503507</v>
      </c>
      <c r="N48" s="8">
        <v>0</v>
      </c>
      <c r="O48" s="18">
        <f t="shared" si="9"/>
        <v>151432.17577881989</v>
      </c>
    </row>
    <row r="49" spans="10:15" x14ac:dyDescent="0.25">
      <c r="J49" s="8">
        <v>46</v>
      </c>
      <c r="K49" s="21">
        <f>IF($E$19&lt;O49+(O49*($B$5/$E$19)),$E$19,O49+(O49*($B$5/$E$19)))</f>
        <v>777.23210101776806</v>
      </c>
      <c r="L49" s="18">
        <f t="shared" si="5"/>
        <v>503.8657253235495</v>
      </c>
      <c r="M49" s="18">
        <f t="shared" si="8"/>
        <v>273.36637569421856</v>
      </c>
      <c r="N49" s="8">
        <v>0</v>
      </c>
      <c r="O49" s="18">
        <f t="shared" si="9"/>
        <v>151159.71759706485</v>
      </c>
    </row>
    <row r="50" spans="10:15" x14ac:dyDescent="0.25">
      <c r="J50" s="8">
        <v>47</v>
      </c>
      <c r="K50" s="21">
        <f>IF($E$19&lt;O50+(O50*($B$5/$E$19)),$E$19,O50+(O50*($B$5/$E$19)))</f>
        <v>777.23210101776806</v>
      </c>
      <c r="L50" s="18">
        <f t="shared" si="5"/>
        <v>502.95450407123548</v>
      </c>
      <c r="M50" s="18">
        <f t="shared" si="8"/>
        <v>274.27759694653258</v>
      </c>
      <c r="N50" s="8">
        <v>0</v>
      </c>
      <c r="O50" s="18">
        <f t="shared" si="9"/>
        <v>150886.35122137063</v>
      </c>
    </row>
    <row r="51" spans="10:15" x14ac:dyDescent="0.25">
      <c r="J51" s="8">
        <v>48</v>
      </c>
      <c r="K51" s="21">
        <f>IF($E$19&lt;O51+(O51*($B$5/$E$19)),$E$19,O51+(O51*($B$5/$E$19)))</f>
        <v>777.23210101776806</v>
      </c>
      <c r="L51" s="18">
        <f t="shared" si="5"/>
        <v>502.04024541474695</v>
      </c>
      <c r="M51" s="18">
        <f t="shared" si="8"/>
        <v>275.19185560302111</v>
      </c>
      <c r="N51" s="8">
        <v>0</v>
      </c>
      <c r="O51" s="18">
        <f t="shared" si="9"/>
        <v>150612.07362442408</v>
      </c>
    </row>
    <row r="52" spans="10:15" x14ac:dyDescent="0.25">
      <c r="J52" s="8">
        <v>49</v>
      </c>
      <c r="K52" s="21">
        <f>IF($E$19&lt;O52+(O52*($B$5/$E$19)),$E$19,O52+(O52*($B$5/$E$19)))</f>
        <v>777.23210101776806</v>
      </c>
      <c r="L52" s="18">
        <f t="shared" si="5"/>
        <v>501.12293922940358</v>
      </c>
      <c r="M52" s="18">
        <f t="shared" si="8"/>
        <v>276.10916178836447</v>
      </c>
      <c r="N52" s="8">
        <v>0</v>
      </c>
      <c r="O52" s="18">
        <f t="shared" si="9"/>
        <v>150336.88176882107</v>
      </c>
    </row>
    <row r="53" spans="10:15" x14ac:dyDescent="0.25">
      <c r="J53" s="8">
        <v>50</v>
      </c>
      <c r="K53" s="21">
        <f>IF($E$19&lt;O53+(O53*($B$5/$E$19)),$E$19,O53+(O53*($B$5/$E$19)))</f>
        <v>777.23210101776806</v>
      </c>
      <c r="L53" s="18">
        <f t="shared" si="5"/>
        <v>500.2025753567757</v>
      </c>
      <c r="M53" s="18">
        <f t="shared" si="8"/>
        <v>277.02952566099236</v>
      </c>
      <c r="N53" s="8">
        <v>0</v>
      </c>
      <c r="O53" s="18">
        <f t="shared" si="9"/>
        <v>150060.7726070327</v>
      </c>
    </row>
    <row r="54" spans="10:15" x14ac:dyDescent="0.25">
      <c r="J54" s="8">
        <v>51</v>
      </c>
      <c r="K54" s="21">
        <f>IF($E$19&lt;O54+(O54*($B$5/$E$19)),$E$19,O54+(O54*($B$5/$E$19)))</f>
        <v>777.23210101776806</v>
      </c>
      <c r="L54" s="18">
        <f t="shared" si="5"/>
        <v>499.27914360457231</v>
      </c>
      <c r="M54" s="18">
        <f t="shared" si="8"/>
        <v>277.95295741319575</v>
      </c>
      <c r="N54" s="8">
        <v>0</v>
      </c>
      <c r="O54" s="18">
        <f t="shared" si="9"/>
        <v>149783.74308137171</v>
      </c>
    </row>
    <row r="55" spans="10:15" x14ac:dyDescent="0.25">
      <c r="J55" s="8">
        <v>52</v>
      </c>
      <c r="K55" s="21">
        <f>IF($E$19&lt;O55+(O55*($B$5/$E$19)),$E$19,O55+(O55*($B$5/$E$19)))</f>
        <v>777.23210101776806</v>
      </c>
      <c r="L55" s="18">
        <f t="shared" si="5"/>
        <v>498.3526337465284</v>
      </c>
      <c r="M55" s="18">
        <f t="shared" si="8"/>
        <v>278.87946727123966</v>
      </c>
      <c r="N55" s="8">
        <v>0</v>
      </c>
      <c r="O55" s="18">
        <f t="shared" si="9"/>
        <v>149505.79012395852</v>
      </c>
    </row>
    <row r="56" spans="10:15" x14ac:dyDescent="0.25">
      <c r="J56" s="8">
        <v>53</v>
      </c>
      <c r="K56" s="21">
        <f>IF($E$19&lt;O56+(O56*($B$5/$E$19)),$E$19,O56+(O56*($B$5/$E$19)))</f>
        <v>777.23210101776806</v>
      </c>
      <c r="L56" s="18">
        <f t="shared" si="5"/>
        <v>497.42303552229095</v>
      </c>
      <c r="M56" s="18">
        <f t="shared" si="8"/>
        <v>279.80906549547711</v>
      </c>
      <c r="N56" s="8">
        <v>0</v>
      </c>
      <c r="O56" s="18">
        <f t="shared" si="9"/>
        <v>149226.91065668728</v>
      </c>
    </row>
    <row r="57" spans="10:15" x14ac:dyDescent="0.25">
      <c r="J57" s="8">
        <v>54</v>
      </c>
      <c r="K57" s="21">
        <f>IF($E$19&lt;O57+(O57*($B$5/$E$19)),$E$19,O57+(O57*($B$5/$E$19)))</f>
        <v>777.23210101776806</v>
      </c>
      <c r="L57" s="18">
        <f t="shared" si="5"/>
        <v>496.49033863730602</v>
      </c>
      <c r="M57" s="18">
        <f t="shared" si="8"/>
        <v>280.74176238046203</v>
      </c>
      <c r="N57" s="8">
        <v>0</v>
      </c>
      <c r="O57" s="18">
        <f t="shared" si="9"/>
        <v>148947.10159119181</v>
      </c>
    </row>
    <row r="58" spans="10:15" x14ac:dyDescent="0.25">
      <c r="J58" s="8">
        <v>55</v>
      </c>
      <c r="K58" s="21">
        <f>IF($E$19&lt;O58+(O58*($B$5/$E$19)),$E$19,O58+(O58*($B$5/$E$19)))</f>
        <v>777.23210101776806</v>
      </c>
      <c r="L58" s="18">
        <f t="shared" si="5"/>
        <v>495.55453276270447</v>
      </c>
      <c r="M58" s="18">
        <f t="shared" si="8"/>
        <v>281.67756825506359</v>
      </c>
      <c r="N58" s="8">
        <v>0</v>
      </c>
      <c r="O58" s="18">
        <f t="shared" si="9"/>
        <v>148666.35982881134</v>
      </c>
    </row>
    <row r="59" spans="10:15" x14ac:dyDescent="0.25">
      <c r="J59" s="8">
        <v>56</v>
      </c>
      <c r="K59" s="21">
        <f>IF($E$19&lt;O59+(O59*($B$5/$E$19)),$E$19,O59+(O59*($B$5/$E$19)))</f>
        <v>777.23210101776806</v>
      </c>
      <c r="L59" s="18">
        <f t="shared" si="5"/>
        <v>494.61560753518762</v>
      </c>
      <c r="M59" s="18">
        <f t="shared" si="8"/>
        <v>282.61649348258044</v>
      </c>
      <c r="N59" s="8">
        <v>0</v>
      </c>
      <c r="O59" s="18">
        <f t="shared" si="9"/>
        <v>148384.68226055629</v>
      </c>
    </row>
    <row r="60" spans="10:15" x14ac:dyDescent="0.25">
      <c r="J60" s="8">
        <v>57</v>
      </c>
      <c r="K60" s="21">
        <f>IF($E$19&lt;O60+(O60*($B$5/$E$19)),$E$19,O60+(O60*($B$5/$E$19)))</f>
        <v>777.23210101776806</v>
      </c>
      <c r="L60" s="18">
        <f t="shared" si="5"/>
        <v>493.6735525569124</v>
      </c>
      <c r="M60" s="18">
        <f t="shared" si="8"/>
        <v>283.55854846085566</v>
      </c>
      <c r="N60" s="8">
        <v>0</v>
      </c>
      <c r="O60" s="18">
        <f t="shared" si="9"/>
        <v>148102.06576707371</v>
      </c>
    </row>
    <row r="61" spans="10:15" x14ac:dyDescent="0.25">
      <c r="J61" s="8">
        <v>58</v>
      </c>
      <c r="K61" s="21">
        <f>IF($E$19&lt;O61+(O61*($B$5/$E$19)),$E$19,O61+(O61*($B$5/$E$19)))</f>
        <v>777.23210101776806</v>
      </c>
      <c r="L61" s="18">
        <f t="shared" si="5"/>
        <v>492.72835739537618</v>
      </c>
      <c r="M61" s="18">
        <f t="shared" si="8"/>
        <v>284.50374362239188</v>
      </c>
      <c r="N61" s="8">
        <v>0</v>
      </c>
      <c r="O61" s="18">
        <f t="shared" si="9"/>
        <v>147818.50721861285</v>
      </c>
    </row>
    <row r="62" spans="10:15" x14ac:dyDescent="0.25">
      <c r="J62" s="8">
        <v>59</v>
      </c>
      <c r="K62" s="21">
        <f>IF($E$19&lt;O62+(O62*($B$5/$E$19)),$E$19,O62+(O62*($B$5/$E$19)))</f>
        <v>777.23210101776806</v>
      </c>
      <c r="L62" s="18">
        <f t="shared" si="5"/>
        <v>491.78001158330153</v>
      </c>
      <c r="M62" s="18">
        <f t="shared" si="8"/>
        <v>285.45208943446653</v>
      </c>
      <c r="N62" s="8">
        <v>0</v>
      </c>
      <c r="O62" s="18">
        <f t="shared" si="9"/>
        <v>147534.00347499046</v>
      </c>
    </row>
    <row r="63" spans="10:15" x14ac:dyDescent="0.25">
      <c r="J63" s="8">
        <v>60</v>
      </c>
      <c r="K63" s="21">
        <f>IF($E$19&lt;O63+(O63*($B$5/$E$19)),$E$19,O63+(O63*($B$5/$E$19)))</f>
        <v>777.23210101776806</v>
      </c>
      <c r="L63" s="18">
        <f t="shared" si="5"/>
        <v>490.82850461851996</v>
      </c>
      <c r="M63" s="18">
        <f t="shared" si="8"/>
        <v>286.4035963992481</v>
      </c>
      <c r="N63" s="8">
        <v>0</v>
      </c>
      <c r="O63" s="18">
        <f t="shared" si="9"/>
        <v>147248.551385556</v>
      </c>
    </row>
    <row r="64" spans="10:15" x14ac:dyDescent="0.25">
      <c r="J64" s="8">
        <v>61</v>
      </c>
      <c r="K64" s="21">
        <f>IF($E$19&lt;O64+(O64*($B$5/$E$19)),$E$19,O64+(O64*($B$5/$E$19)))</f>
        <v>777.23210101776806</v>
      </c>
      <c r="L64" s="18">
        <f t="shared" si="5"/>
        <v>489.87382596385584</v>
      </c>
      <c r="M64" s="18">
        <f t="shared" si="8"/>
        <v>287.35827505391222</v>
      </c>
      <c r="N64" s="8">
        <v>0</v>
      </c>
      <c r="O64" s="18">
        <f t="shared" si="9"/>
        <v>146962.14778915676</v>
      </c>
    </row>
    <row r="65" spans="10:15" x14ac:dyDescent="0.25">
      <c r="J65" s="8">
        <v>62</v>
      </c>
      <c r="K65" s="21">
        <f>IF($E$19&lt;O65+(O65*($B$5/$E$19)),$E$19,O65+(O65*($B$5/$E$19)))</f>
        <v>777.23210101776806</v>
      </c>
      <c r="L65" s="18">
        <f t="shared" si="5"/>
        <v>488.91596504700948</v>
      </c>
      <c r="M65" s="18">
        <f t="shared" si="8"/>
        <v>288.31613597075858</v>
      </c>
      <c r="N65" s="8">
        <v>0</v>
      </c>
      <c r="O65" s="18">
        <f t="shared" si="9"/>
        <v>146674.78951410286</v>
      </c>
    </row>
    <row r="66" spans="10:15" x14ac:dyDescent="0.25">
      <c r="J66" s="8">
        <v>63</v>
      </c>
      <c r="K66" s="21">
        <f>IF($E$19&lt;O66+(O66*($B$5/$E$19)),$E$19,O66+(O66*($B$5/$E$19)))</f>
        <v>777.23210101776806</v>
      </c>
      <c r="L66" s="18">
        <f t="shared" si="5"/>
        <v>487.95491126044038</v>
      </c>
      <c r="M66" s="18">
        <f t="shared" si="8"/>
        <v>289.27718975732768</v>
      </c>
      <c r="N66" s="8">
        <v>0</v>
      </c>
      <c r="O66" s="18">
        <f t="shared" si="9"/>
        <v>146386.4733781321</v>
      </c>
    </row>
    <row r="67" spans="10:15" x14ac:dyDescent="0.25">
      <c r="J67" s="8">
        <v>64</v>
      </c>
      <c r="K67" s="21">
        <f>IF($E$19&lt;O67+(O67*($B$5/$E$19)),$E$19,O67+(O67*($B$5/$E$19)))</f>
        <v>777.23210101776806</v>
      </c>
      <c r="L67" s="18">
        <f t="shared" ref="L67:L130" si="10">O67*$B$5/$B$4</f>
        <v>486.99065396124928</v>
      </c>
      <c r="M67" s="18">
        <f t="shared" si="8"/>
        <v>290.24144705651878</v>
      </c>
      <c r="N67" s="8">
        <v>0</v>
      </c>
      <c r="O67" s="18">
        <f t="shared" si="9"/>
        <v>146097.19618837477</v>
      </c>
    </row>
    <row r="68" spans="10:15" x14ac:dyDescent="0.25">
      <c r="J68" s="8">
        <v>65</v>
      </c>
      <c r="K68" s="21">
        <f>IF($E$19&lt;O68+(O68*($B$5/$E$19)),$E$19,O68+(O68*($B$5/$E$19)))</f>
        <v>777.23210101776806</v>
      </c>
      <c r="L68" s="18">
        <f t="shared" si="10"/>
        <v>486.02318247106081</v>
      </c>
      <c r="M68" s="18">
        <f t="shared" si="8"/>
        <v>291.20891854670725</v>
      </c>
      <c r="N68" s="8">
        <v>0</v>
      </c>
      <c r="O68" s="18">
        <f t="shared" si="9"/>
        <v>145806.95474131824</v>
      </c>
    </row>
    <row r="69" spans="10:15" x14ac:dyDescent="0.25">
      <c r="J69" s="8">
        <v>66</v>
      </c>
      <c r="K69" s="21">
        <f>IF($E$19&lt;O69+(O69*($B$5/$E$19)),$E$19,O69+(O69*($B$5/$E$19)))</f>
        <v>777.23210101776806</v>
      </c>
      <c r="L69" s="18">
        <f t="shared" si="10"/>
        <v>485.05248607590511</v>
      </c>
      <c r="M69" s="18">
        <f t="shared" ref="M69:M132" si="11">K69-L69</f>
        <v>292.17961494186295</v>
      </c>
      <c r="N69" s="8">
        <v>0</v>
      </c>
      <c r="O69" s="18">
        <f t="shared" ref="O69:O132" si="12">O68-M68-N68</f>
        <v>145515.74582277154</v>
      </c>
    </row>
    <row r="70" spans="10:15" x14ac:dyDescent="0.25">
      <c r="J70" s="8">
        <v>67</v>
      </c>
      <c r="K70" s="21">
        <f>IF($E$19&lt;O70+(O70*($B$5/$E$19)),$E$19,O70+(O70*($B$5/$E$19)))</f>
        <v>777.23210101776806</v>
      </c>
      <c r="L70" s="18">
        <f t="shared" si="10"/>
        <v>484.07855402609897</v>
      </c>
      <c r="M70" s="18">
        <f t="shared" si="11"/>
        <v>293.15354699166909</v>
      </c>
      <c r="N70" s="8">
        <v>0</v>
      </c>
      <c r="O70" s="18">
        <f t="shared" si="12"/>
        <v>145223.56620782969</v>
      </c>
    </row>
    <row r="71" spans="10:15" x14ac:dyDescent="0.25">
      <c r="J71" s="8">
        <v>68</v>
      </c>
      <c r="K71" s="21">
        <f>IF($E$19&lt;O71+(O71*($B$5/$E$19)),$E$19,O71+(O71*($B$5/$E$19)))</f>
        <v>777.23210101776806</v>
      </c>
      <c r="L71" s="18">
        <f t="shared" si="10"/>
        <v>483.10137553612668</v>
      </c>
      <c r="M71" s="18">
        <f t="shared" si="11"/>
        <v>294.13072548164138</v>
      </c>
      <c r="N71" s="8">
        <v>0</v>
      </c>
      <c r="O71" s="18">
        <f t="shared" si="12"/>
        <v>144930.41266083802</v>
      </c>
    </row>
    <row r="72" spans="10:15" x14ac:dyDescent="0.25">
      <c r="J72" s="8">
        <v>69</v>
      </c>
      <c r="K72" s="21">
        <f>IF($E$19&lt;O72+(O72*($B$5/$E$19)),$E$19,O72+(O72*($B$5/$E$19)))</f>
        <v>777.23210101776806</v>
      </c>
      <c r="L72" s="18">
        <f t="shared" si="10"/>
        <v>482.12093978452134</v>
      </c>
      <c r="M72" s="18">
        <f t="shared" si="11"/>
        <v>295.11116123324672</v>
      </c>
      <c r="N72" s="8">
        <v>0</v>
      </c>
      <c r="O72" s="18">
        <f t="shared" si="12"/>
        <v>144636.28193535638</v>
      </c>
    </row>
    <row r="73" spans="10:15" x14ac:dyDescent="0.25">
      <c r="J73" s="8">
        <v>70</v>
      </c>
      <c r="K73" s="21">
        <f>IF($E$19&lt;O73+(O73*($B$5/$E$19)),$E$19,O73+(O73*($B$5/$E$19)))</f>
        <v>777.23210101776806</v>
      </c>
      <c r="L73" s="18">
        <f t="shared" si="10"/>
        <v>481.13723591374378</v>
      </c>
      <c r="M73" s="18">
        <f t="shared" si="11"/>
        <v>296.09486510402428</v>
      </c>
      <c r="N73" s="8">
        <v>0</v>
      </c>
      <c r="O73" s="18">
        <f t="shared" si="12"/>
        <v>144341.17077412314</v>
      </c>
    </row>
    <row r="74" spans="10:15" x14ac:dyDescent="0.25">
      <c r="J74" s="8">
        <v>71</v>
      </c>
      <c r="K74" s="21">
        <f>IF($E$19&lt;O74+(O74*($B$5/$E$19)),$E$19,O74+(O74*($B$5/$E$19)))</f>
        <v>777.23210101776806</v>
      </c>
      <c r="L74" s="18">
        <f t="shared" si="10"/>
        <v>480.15025303006365</v>
      </c>
      <c r="M74" s="18">
        <f t="shared" si="11"/>
        <v>297.08184798770441</v>
      </c>
      <c r="N74" s="8">
        <v>0</v>
      </c>
      <c r="O74" s="18">
        <f t="shared" si="12"/>
        <v>144045.0759090191</v>
      </c>
    </row>
    <row r="75" spans="10:15" x14ac:dyDescent="0.25">
      <c r="J75" s="8">
        <v>72</v>
      </c>
      <c r="K75" s="21">
        <f>IF($E$19&lt;O75+(O75*($B$5/$E$19)),$E$19,O75+(O75*($B$5/$E$19)))</f>
        <v>777.23210101776806</v>
      </c>
      <c r="L75" s="18">
        <f t="shared" si="10"/>
        <v>479.15998020343801</v>
      </c>
      <c r="M75" s="18">
        <f t="shared" si="11"/>
        <v>298.07212081433005</v>
      </c>
      <c r="N75" s="8">
        <v>0</v>
      </c>
      <c r="O75" s="18">
        <f t="shared" si="12"/>
        <v>143747.99406103141</v>
      </c>
    </row>
    <row r="76" spans="10:15" x14ac:dyDescent="0.25">
      <c r="J76" s="8">
        <v>73</v>
      </c>
      <c r="K76" s="21">
        <f>IF($E$19&lt;O76+(O76*($B$5/$E$19)),$E$19,O76+(O76*($B$5/$E$19)))</f>
        <v>777.23210101776806</v>
      </c>
      <c r="L76" s="18">
        <f t="shared" si="10"/>
        <v>478.16640646739029</v>
      </c>
      <c r="M76" s="18">
        <f t="shared" si="11"/>
        <v>299.06569455037777</v>
      </c>
      <c r="N76" s="8">
        <v>0</v>
      </c>
      <c r="O76" s="18">
        <f t="shared" si="12"/>
        <v>143449.92194021709</v>
      </c>
    </row>
    <row r="77" spans="10:15" x14ac:dyDescent="0.25">
      <c r="J77" s="8">
        <v>74</v>
      </c>
      <c r="K77" s="21">
        <f>IF($E$19&lt;O77+(O77*($B$5/$E$19)),$E$19,O77+(O77*($B$5/$E$19)))</f>
        <v>777.23210101776806</v>
      </c>
      <c r="L77" s="18">
        <f t="shared" si="10"/>
        <v>477.169520818889</v>
      </c>
      <c r="M77" s="18">
        <f t="shared" si="11"/>
        <v>300.06258019887906</v>
      </c>
      <c r="N77" s="8">
        <v>0</v>
      </c>
      <c r="O77" s="18">
        <f t="shared" si="12"/>
        <v>143150.85624566671</v>
      </c>
    </row>
    <row r="78" spans="10:15" x14ac:dyDescent="0.25">
      <c r="J78" s="8">
        <v>75</v>
      </c>
      <c r="K78" s="21">
        <f>IF($E$19&lt;O78+(O78*($B$5/$E$19)),$E$19,O78+(O78*($B$5/$E$19)))</f>
        <v>777.23210101776806</v>
      </c>
      <c r="L78" s="18">
        <f t="shared" si="10"/>
        <v>476.16931221822603</v>
      </c>
      <c r="M78" s="18">
        <f t="shared" si="11"/>
        <v>301.06278879954203</v>
      </c>
      <c r="N78" s="8">
        <v>0</v>
      </c>
      <c r="O78" s="18">
        <f t="shared" si="12"/>
        <v>142850.79366546782</v>
      </c>
    </row>
    <row r="79" spans="10:15" x14ac:dyDescent="0.25">
      <c r="J79" s="8">
        <v>76</v>
      </c>
      <c r="K79" s="21">
        <f>IF($E$19&lt;O79+(O79*($B$5/$E$19)),$E$19,O79+(O79*($B$5/$E$19)))</f>
        <v>777.23210101776806</v>
      </c>
      <c r="L79" s="18">
        <f t="shared" si="10"/>
        <v>475.16576958889419</v>
      </c>
      <c r="M79" s="18">
        <f t="shared" si="11"/>
        <v>302.06633142887387</v>
      </c>
      <c r="N79" s="8">
        <v>0</v>
      </c>
      <c r="O79" s="18">
        <f t="shared" si="12"/>
        <v>142549.73087666827</v>
      </c>
    </row>
    <row r="80" spans="10:15" x14ac:dyDescent="0.25">
      <c r="J80" s="8">
        <v>77</v>
      </c>
      <c r="K80" s="21">
        <f>IF($E$19&lt;O80+(O80*($B$5/$E$19)),$E$19,O80+(O80*($B$5/$E$19)))</f>
        <v>777.23210101776806</v>
      </c>
      <c r="L80" s="18">
        <f t="shared" si="10"/>
        <v>474.15888181746465</v>
      </c>
      <c r="M80" s="18">
        <f t="shared" si="11"/>
        <v>303.07321920030341</v>
      </c>
      <c r="N80" s="8">
        <v>0</v>
      </c>
      <c r="O80" s="18">
        <f t="shared" si="12"/>
        <v>142247.66454523939</v>
      </c>
    </row>
    <row r="81" spans="10:15" x14ac:dyDescent="0.25">
      <c r="J81" s="8">
        <v>78</v>
      </c>
      <c r="K81" s="21">
        <f>IF($E$19&lt;O81+(O81*($B$5/$E$19)),$E$19,O81+(O81*($B$5/$E$19)))</f>
        <v>777.23210101776806</v>
      </c>
      <c r="L81" s="18">
        <f t="shared" si="10"/>
        <v>473.14863775346362</v>
      </c>
      <c r="M81" s="18">
        <f t="shared" si="11"/>
        <v>304.08346326430444</v>
      </c>
      <c r="N81" s="8">
        <v>0</v>
      </c>
      <c r="O81" s="18">
        <f t="shared" si="12"/>
        <v>141944.59132603908</v>
      </c>
    </row>
    <row r="82" spans="10:15" x14ac:dyDescent="0.25">
      <c r="J82" s="8">
        <v>79</v>
      </c>
      <c r="K82" s="21">
        <f>IF($E$19&lt;O82+(O82*($B$5/$E$19)),$E$19,O82+(O82*($B$5/$E$19)))</f>
        <v>777.23210101776806</v>
      </c>
      <c r="L82" s="18">
        <f t="shared" si="10"/>
        <v>472.13502620924925</v>
      </c>
      <c r="M82" s="18">
        <f t="shared" si="11"/>
        <v>305.09707480851881</v>
      </c>
      <c r="N82" s="8">
        <v>0</v>
      </c>
      <c r="O82" s="18">
        <f t="shared" si="12"/>
        <v>141640.50786277477</v>
      </c>
    </row>
    <row r="83" spans="10:15" x14ac:dyDescent="0.25">
      <c r="J83" s="8">
        <v>80</v>
      </c>
      <c r="K83" s="21">
        <f>IF($E$19&lt;O83+(O83*($B$5/$E$19)),$E$19,O83+(O83*($B$5/$E$19)))</f>
        <v>777.23210101776806</v>
      </c>
      <c r="L83" s="18">
        <f t="shared" si="10"/>
        <v>471.11803595988749</v>
      </c>
      <c r="M83" s="18">
        <f t="shared" si="11"/>
        <v>306.11406505788057</v>
      </c>
      <c r="N83" s="8">
        <v>0</v>
      </c>
      <c r="O83" s="18">
        <f t="shared" si="12"/>
        <v>141335.41078796625</v>
      </c>
    </row>
    <row r="84" spans="10:15" x14ac:dyDescent="0.25">
      <c r="J84" s="8">
        <v>81</v>
      </c>
      <c r="K84" s="21">
        <f>IF($E$19&lt;O84+(O84*($B$5/$E$19)),$E$19,O84+(O84*($B$5/$E$19)))</f>
        <v>777.23210101776806</v>
      </c>
      <c r="L84" s="18">
        <f t="shared" si="10"/>
        <v>470.09765574302787</v>
      </c>
      <c r="M84" s="18">
        <f t="shared" si="11"/>
        <v>307.13444527474019</v>
      </c>
      <c r="N84" s="8">
        <v>0</v>
      </c>
      <c r="O84" s="18">
        <f t="shared" si="12"/>
        <v>141029.29672290836</v>
      </c>
    </row>
    <row r="85" spans="10:15" x14ac:dyDescent="0.25">
      <c r="J85" s="8">
        <v>82</v>
      </c>
      <c r="K85" s="21">
        <f>IF($E$19&lt;O85+(O85*($B$5/$E$19)),$E$19,O85+(O85*($B$5/$E$19)))</f>
        <v>777.23210101776806</v>
      </c>
      <c r="L85" s="18">
        <f t="shared" si="10"/>
        <v>469.07387425877874</v>
      </c>
      <c r="M85" s="18">
        <f t="shared" si="11"/>
        <v>308.15822675898931</v>
      </c>
      <c r="N85" s="8">
        <v>0</v>
      </c>
      <c r="O85" s="18">
        <f t="shared" si="12"/>
        <v>140722.16227763362</v>
      </c>
    </row>
    <row r="86" spans="10:15" x14ac:dyDescent="0.25">
      <c r="J86" s="8">
        <v>83</v>
      </c>
      <c r="K86" s="21">
        <f>IF($E$19&lt;O86+(O86*($B$5/$E$19)),$E$19,O86+(O86*($B$5/$E$19)))</f>
        <v>777.23210101776806</v>
      </c>
      <c r="L86" s="18">
        <f t="shared" si="10"/>
        <v>468.04668016958203</v>
      </c>
      <c r="M86" s="18">
        <f t="shared" si="11"/>
        <v>309.18542084818603</v>
      </c>
      <c r="N86" s="8">
        <v>0</v>
      </c>
      <c r="O86" s="18">
        <f t="shared" si="12"/>
        <v>140414.00405087462</v>
      </c>
    </row>
    <row r="87" spans="10:15" x14ac:dyDescent="0.25">
      <c r="J87" s="8">
        <v>84</v>
      </c>
      <c r="K87" s="21">
        <f>IF($E$19&lt;O87+(O87*($B$5/$E$19)),$E$19,O87+(O87*($B$5/$E$19)))</f>
        <v>777.23210101776806</v>
      </c>
      <c r="L87" s="18">
        <f t="shared" si="10"/>
        <v>467.01606210008805</v>
      </c>
      <c r="M87" s="18">
        <f t="shared" si="11"/>
        <v>310.21603891768001</v>
      </c>
      <c r="N87" s="8">
        <v>0</v>
      </c>
      <c r="O87" s="18">
        <f t="shared" si="12"/>
        <v>140104.81863002642</v>
      </c>
    </row>
    <row r="88" spans="10:15" x14ac:dyDescent="0.25">
      <c r="J88" s="8">
        <v>85</v>
      </c>
      <c r="K88" s="21">
        <f>IF($E$19&lt;O88+(O88*($B$5/$E$19)),$E$19,O88+(O88*($B$5/$E$19)))</f>
        <v>777.23210101776806</v>
      </c>
      <c r="L88" s="18">
        <f t="shared" si="10"/>
        <v>465.98200863702914</v>
      </c>
      <c r="M88" s="18">
        <f t="shared" si="11"/>
        <v>311.25009238073892</v>
      </c>
      <c r="N88" s="8">
        <v>0</v>
      </c>
      <c r="O88" s="18">
        <f t="shared" si="12"/>
        <v>139794.60259110873</v>
      </c>
    </row>
    <row r="89" spans="10:15" x14ac:dyDescent="0.25">
      <c r="J89" s="8">
        <v>86</v>
      </c>
      <c r="K89" s="21">
        <f>IF($E$19&lt;O89+(O89*($B$5/$E$19)),$E$19,O89+(O89*($B$5/$E$19)))</f>
        <v>777.23210101776806</v>
      </c>
      <c r="L89" s="18">
        <f t="shared" si="10"/>
        <v>464.94450832909337</v>
      </c>
      <c r="M89" s="18">
        <f t="shared" si="11"/>
        <v>312.28759268867469</v>
      </c>
      <c r="N89" s="8">
        <v>0</v>
      </c>
      <c r="O89" s="18">
        <f t="shared" si="12"/>
        <v>139483.352498728</v>
      </c>
    </row>
    <row r="90" spans="10:15" x14ac:dyDescent="0.25">
      <c r="J90" s="8">
        <v>87</v>
      </c>
      <c r="K90" s="21">
        <f>IF($E$19&lt;O90+(O90*($B$5/$E$19)),$E$19,O90+(O90*($B$5/$E$19)))</f>
        <v>777.23210101776806</v>
      </c>
      <c r="L90" s="18">
        <f t="shared" si="10"/>
        <v>463.90354968679776</v>
      </c>
      <c r="M90" s="18">
        <f t="shared" si="11"/>
        <v>313.3285513309703</v>
      </c>
      <c r="N90" s="8">
        <v>0</v>
      </c>
      <c r="O90" s="18">
        <f t="shared" si="12"/>
        <v>139171.06490603933</v>
      </c>
    </row>
    <row r="91" spans="10:15" x14ac:dyDescent="0.25">
      <c r="J91" s="8">
        <v>88</v>
      </c>
      <c r="K91" s="21">
        <f>IF($E$19&lt;O91+(O91*($B$5/$E$19)),$E$19,O91+(O91*($B$5/$E$19)))</f>
        <v>777.23210101776806</v>
      </c>
      <c r="L91" s="18">
        <f t="shared" si="10"/>
        <v>462.85912118236115</v>
      </c>
      <c r="M91" s="18">
        <f t="shared" si="11"/>
        <v>314.37297983540691</v>
      </c>
      <c r="N91" s="8">
        <v>0</v>
      </c>
      <c r="O91" s="18">
        <f t="shared" si="12"/>
        <v>138857.73635470835</v>
      </c>
    </row>
    <row r="92" spans="10:15" x14ac:dyDescent="0.25">
      <c r="J92" s="8">
        <v>89</v>
      </c>
      <c r="K92" s="21">
        <f>IF($E$19&lt;O92+(O92*($B$5/$E$19)),$E$19,O92+(O92*($B$5/$E$19)))</f>
        <v>777.23210101776806</v>
      </c>
      <c r="L92" s="18">
        <f t="shared" si="10"/>
        <v>461.8112112495765</v>
      </c>
      <c r="M92" s="18">
        <f t="shared" si="11"/>
        <v>315.42088976819156</v>
      </c>
      <c r="N92" s="8">
        <v>0</v>
      </c>
      <c r="O92" s="18">
        <f t="shared" si="12"/>
        <v>138543.36337487295</v>
      </c>
    </row>
    <row r="93" spans="10:15" x14ac:dyDescent="0.25">
      <c r="J93" s="8">
        <v>90</v>
      </c>
      <c r="K93" s="21">
        <f>IF($E$19&lt;O93+(O93*($B$5/$E$19)),$E$19,O93+(O93*($B$5/$E$19)))</f>
        <v>777.23210101776806</v>
      </c>
      <c r="L93" s="18">
        <f t="shared" si="10"/>
        <v>460.7598082836825</v>
      </c>
      <c r="M93" s="18">
        <f t="shared" si="11"/>
        <v>316.47229273408556</v>
      </c>
      <c r="N93" s="8">
        <v>0</v>
      </c>
      <c r="O93" s="18">
        <f t="shared" si="12"/>
        <v>138227.94248510475</v>
      </c>
    </row>
    <row r="94" spans="10:15" x14ac:dyDescent="0.25">
      <c r="J94" s="8">
        <v>91</v>
      </c>
      <c r="K94" s="21">
        <f>IF($E$19&lt;O94+(O94*($B$5/$E$19)),$E$19,O94+(O94*($B$5/$E$19)))</f>
        <v>777.23210101776806</v>
      </c>
      <c r="L94" s="18">
        <f t="shared" si="10"/>
        <v>459.70490064123555</v>
      </c>
      <c r="M94" s="18">
        <f t="shared" si="11"/>
        <v>317.52720037653251</v>
      </c>
      <c r="N94" s="8">
        <v>0</v>
      </c>
      <c r="O94" s="18">
        <f t="shared" si="12"/>
        <v>137911.47019237067</v>
      </c>
    </row>
    <row r="95" spans="10:15" x14ac:dyDescent="0.25">
      <c r="J95" s="8">
        <v>92</v>
      </c>
      <c r="K95" s="21">
        <f>IF($E$19&lt;O95+(O95*($B$5/$E$19)),$E$19,O95+(O95*($B$5/$E$19)))</f>
        <v>777.23210101776806</v>
      </c>
      <c r="L95" s="18">
        <f t="shared" si="10"/>
        <v>458.64647663998045</v>
      </c>
      <c r="M95" s="18">
        <f t="shared" si="11"/>
        <v>318.58562437778761</v>
      </c>
      <c r="N95" s="8">
        <v>0</v>
      </c>
      <c r="O95" s="18">
        <f t="shared" si="12"/>
        <v>137593.94299199415</v>
      </c>
    </row>
    <row r="96" spans="10:15" x14ac:dyDescent="0.25">
      <c r="J96" s="8">
        <v>93</v>
      </c>
      <c r="K96" s="21">
        <f>IF($E$19&lt;O96+(O96*($B$5/$E$19)),$E$19,O96+(O96*($B$5/$E$19)))</f>
        <v>777.23210101776806</v>
      </c>
      <c r="L96" s="18">
        <f t="shared" si="10"/>
        <v>457.58452455872117</v>
      </c>
      <c r="M96" s="18">
        <f t="shared" si="11"/>
        <v>319.64757645904689</v>
      </c>
      <c r="N96" s="8">
        <v>0</v>
      </c>
      <c r="O96" s="18">
        <f t="shared" si="12"/>
        <v>137275.35736761635</v>
      </c>
    </row>
    <row r="97" spans="10:15" x14ac:dyDescent="0.25">
      <c r="J97" s="8">
        <v>94</v>
      </c>
      <c r="K97" s="21">
        <f>IF($E$19&lt;O97+(O97*($B$5/$E$19)),$E$19,O97+(O97*($B$5/$E$19)))</f>
        <v>777.23210101776806</v>
      </c>
      <c r="L97" s="18">
        <f t="shared" si="10"/>
        <v>456.519032637191</v>
      </c>
      <c r="M97" s="18">
        <f t="shared" si="11"/>
        <v>320.71306838057706</v>
      </c>
      <c r="N97" s="8">
        <v>0</v>
      </c>
      <c r="O97" s="18">
        <f t="shared" si="12"/>
        <v>136955.70979115731</v>
      </c>
    </row>
    <row r="98" spans="10:15" x14ac:dyDescent="0.25">
      <c r="J98" s="8">
        <v>95</v>
      </c>
      <c r="K98" s="21">
        <f>IF($E$19&lt;O98+(O98*($B$5/$E$19)),$E$19,O98+(O98*($B$5/$E$19)))</f>
        <v>777.23210101776806</v>
      </c>
      <c r="L98" s="18">
        <f t="shared" si="10"/>
        <v>455.44998907592247</v>
      </c>
      <c r="M98" s="18">
        <f t="shared" si="11"/>
        <v>321.78211194184559</v>
      </c>
      <c r="N98" s="8">
        <v>0</v>
      </c>
      <c r="O98" s="18">
        <f t="shared" si="12"/>
        <v>136634.99672277673</v>
      </c>
    </row>
    <row r="99" spans="10:15" x14ac:dyDescent="0.25">
      <c r="J99" s="8">
        <v>96</v>
      </c>
      <c r="K99" s="21">
        <f>IF($E$19&lt;O99+(O99*($B$5/$E$19)),$E$19,O99+(O99*($B$5/$E$19)))</f>
        <v>777.23210101776806</v>
      </c>
      <c r="L99" s="18">
        <f t="shared" si="10"/>
        <v>454.37738203611633</v>
      </c>
      <c r="M99" s="18">
        <f t="shared" si="11"/>
        <v>322.85471898165173</v>
      </c>
      <c r="N99" s="8">
        <v>0</v>
      </c>
      <c r="O99" s="18">
        <f t="shared" si="12"/>
        <v>136313.2146108349</v>
      </c>
    </row>
    <row r="100" spans="10:15" x14ac:dyDescent="0.25">
      <c r="J100" s="8">
        <v>97</v>
      </c>
      <c r="K100" s="21">
        <f>IF($E$19&lt;O100+(O100*($B$5/$E$19)),$E$19,O100+(O100*($B$5/$E$19)))</f>
        <v>777.23210101776806</v>
      </c>
      <c r="L100" s="18">
        <f t="shared" si="10"/>
        <v>453.3011996395108</v>
      </c>
      <c r="M100" s="18">
        <f t="shared" si="11"/>
        <v>323.93090137825726</v>
      </c>
      <c r="N100" s="8">
        <v>0</v>
      </c>
      <c r="O100" s="18">
        <f t="shared" si="12"/>
        <v>135990.35989185324</v>
      </c>
    </row>
    <row r="101" spans="10:15" x14ac:dyDescent="0.25">
      <c r="J101" s="8">
        <v>98</v>
      </c>
      <c r="K101" s="21">
        <f>IF($E$19&lt;O101+(O101*($B$5/$E$19)),$E$19,O101+(O101*($B$5/$E$19)))</f>
        <v>777.23210101776806</v>
      </c>
      <c r="L101" s="18">
        <f t="shared" si="10"/>
        <v>452.22142996824999</v>
      </c>
      <c r="M101" s="18">
        <f t="shared" si="11"/>
        <v>325.01067104951807</v>
      </c>
      <c r="N101" s="8">
        <v>0</v>
      </c>
      <c r="O101" s="18">
        <f t="shared" si="12"/>
        <v>135666.42899047499</v>
      </c>
    </row>
    <row r="102" spans="10:15" x14ac:dyDescent="0.25">
      <c r="J102" s="8">
        <v>99</v>
      </c>
      <c r="K102" s="21">
        <f>IF($E$19&lt;O102+(O102*($B$5/$E$19)),$E$19,O102+(O102*($B$5/$E$19)))</f>
        <v>777.23210101776806</v>
      </c>
      <c r="L102" s="18">
        <f t="shared" si="10"/>
        <v>451.13806106475153</v>
      </c>
      <c r="M102" s="18">
        <f t="shared" si="11"/>
        <v>326.09403995301653</v>
      </c>
      <c r="N102" s="8">
        <v>0</v>
      </c>
      <c r="O102" s="18">
        <f t="shared" si="12"/>
        <v>135341.41831942546</v>
      </c>
    </row>
    <row r="103" spans="10:15" x14ac:dyDescent="0.25">
      <c r="J103" s="8">
        <v>100</v>
      </c>
      <c r="K103" s="21">
        <f>IF($E$19&lt;O103+(O103*($B$5/$E$19)),$E$19,O103+(O103*($B$5/$E$19)))</f>
        <v>777.23210101776806</v>
      </c>
      <c r="L103" s="18">
        <f t="shared" si="10"/>
        <v>450.05108093157475</v>
      </c>
      <c r="M103" s="18">
        <f t="shared" si="11"/>
        <v>327.18102008619331</v>
      </c>
      <c r="N103" s="8">
        <v>0</v>
      </c>
      <c r="O103" s="18">
        <f t="shared" si="12"/>
        <v>135015.32427947244</v>
      </c>
    </row>
    <row r="104" spans="10:15" x14ac:dyDescent="0.25">
      <c r="J104" s="8">
        <v>101</v>
      </c>
      <c r="K104" s="21">
        <f>IF($E$19&lt;O104+(O104*($B$5/$E$19)),$E$19,O104+(O104*($B$5/$E$19)))</f>
        <v>777.23210101776806</v>
      </c>
      <c r="L104" s="18">
        <f t="shared" si="10"/>
        <v>448.96047753128749</v>
      </c>
      <c r="M104" s="18">
        <f t="shared" si="11"/>
        <v>328.27162348648056</v>
      </c>
      <c r="N104" s="8">
        <v>0</v>
      </c>
      <c r="O104" s="18">
        <f t="shared" si="12"/>
        <v>134688.14325938624</v>
      </c>
    </row>
    <row r="105" spans="10:15" x14ac:dyDescent="0.25">
      <c r="J105" s="8">
        <v>102</v>
      </c>
      <c r="K105" s="21">
        <f>IF($E$19&lt;O105+(O105*($B$5/$E$19)),$E$19,O105+(O105*($B$5/$E$19)))</f>
        <v>777.23210101776806</v>
      </c>
      <c r="L105" s="18">
        <f t="shared" si="10"/>
        <v>447.86623878633259</v>
      </c>
      <c r="M105" s="18">
        <f t="shared" si="11"/>
        <v>329.36586223143547</v>
      </c>
      <c r="N105" s="8">
        <v>0</v>
      </c>
      <c r="O105" s="18">
        <f t="shared" si="12"/>
        <v>134359.87163589976</v>
      </c>
    </row>
    <row r="106" spans="10:15" x14ac:dyDescent="0.25">
      <c r="J106" s="8">
        <v>103</v>
      </c>
      <c r="K106" s="21">
        <f>IF($E$19&lt;O106+(O106*($B$5/$E$19)),$E$19,O106+(O106*($B$5/$E$19)))</f>
        <v>777.23210101776806</v>
      </c>
      <c r="L106" s="18">
        <f t="shared" si="10"/>
        <v>446.76835257889439</v>
      </c>
      <c r="M106" s="18">
        <f t="shared" si="11"/>
        <v>330.46374843887367</v>
      </c>
      <c r="N106" s="8">
        <v>0</v>
      </c>
      <c r="O106" s="18">
        <f t="shared" si="12"/>
        <v>134030.50577366832</v>
      </c>
    </row>
    <row r="107" spans="10:15" x14ac:dyDescent="0.25">
      <c r="J107" s="8">
        <v>104</v>
      </c>
      <c r="K107" s="21">
        <f>IF($E$19&lt;O107+(O107*($B$5/$E$19)),$E$19,O107+(O107*($B$5/$E$19)))</f>
        <v>777.23210101776806</v>
      </c>
      <c r="L107" s="18">
        <f t="shared" si="10"/>
        <v>445.66680675076486</v>
      </c>
      <c r="M107" s="18">
        <f t="shared" si="11"/>
        <v>331.5652942670032</v>
      </c>
      <c r="N107" s="8">
        <v>0</v>
      </c>
      <c r="O107" s="18">
        <f t="shared" si="12"/>
        <v>133700.04202522946</v>
      </c>
    </row>
    <row r="108" spans="10:15" x14ac:dyDescent="0.25">
      <c r="J108" s="8">
        <v>105</v>
      </c>
      <c r="K108" s="21">
        <f>IF($E$19&lt;O108+(O108*($B$5/$E$19)),$E$19,O108+(O108*($B$5/$E$19)))</f>
        <v>777.23210101776806</v>
      </c>
      <c r="L108" s="18">
        <f t="shared" si="10"/>
        <v>444.56158910320823</v>
      </c>
      <c r="M108" s="18">
        <f t="shared" si="11"/>
        <v>332.67051191455982</v>
      </c>
      <c r="N108" s="8">
        <v>0</v>
      </c>
      <c r="O108" s="18">
        <f t="shared" si="12"/>
        <v>133368.47673096246</v>
      </c>
    </row>
    <row r="109" spans="10:15" x14ac:dyDescent="0.25">
      <c r="J109" s="8">
        <v>106</v>
      </c>
      <c r="K109" s="21">
        <f>IF($E$19&lt;O109+(O109*($B$5/$E$19)),$E$19,O109+(O109*($B$5/$E$19)))</f>
        <v>777.23210101776806</v>
      </c>
      <c r="L109" s="18">
        <f t="shared" si="10"/>
        <v>443.45268739682632</v>
      </c>
      <c r="M109" s="18">
        <f t="shared" si="11"/>
        <v>333.77941362094174</v>
      </c>
      <c r="N109" s="8">
        <v>0</v>
      </c>
      <c r="O109" s="18">
        <f t="shared" si="12"/>
        <v>133035.8062190479</v>
      </c>
    </row>
    <row r="110" spans="10:15" x14ac:dyDescent="0.25">
      <c r="J110" s="8">
        <v>107</v>
      </c>
      <c r="K110" s="21">
        <f>IF($E$19&lt;O110+(O110*($B$5/$E$19)),$E$19,O110+(O110*($B$5/$E$19)))</f>
        <v>777.23210101776806</v>
      </c>
      <c r="L110" s="18">
        <f t="shared" si="10"/>
        <v>442.34008935142316</v>
      </c>
      <c r="M110" s="18">
        <f t="shared" si="11"/>
        <v>334.8920116663449</v>
      </c>
      <c r="N110" s="8">
        <v>0</v>
      </c>
      <c r="O110" s="18">
        <f t="shared" si="12"/>
        <v>132702.02680542695</v>
      </c>
    </row>
    <row r="111" spans="10:15" x14ac:dyDescent="0.25">
      <c r="J111" s="8">
        <v>108</v>
      </c>
      <c r="K111" s="21">
        <f>IF($E$19&lt;O111+(O111*($B$5/$E$19)),$E$19,O111+(O111*($B$5/$E$19)))</f>
        <v>777.23210101776806</v>
      </c>
      <c r="L111" s="18">
        <f t="shared" si="10"/>
        <v>441.22378264586865</v>
      </c>
      <c r="M111" s="18">
        <f t="shared" si="11"/>
        <v>336.00831837189941</v>
      </c>
      <c r="N111" s="8">
        <v>0</v>
      </c>
      <c r="O111" s="18">
        <f t="shared" si="12"/>
        <v>132367.1347937606</v>
      </c>
    </row>
    <row r="112" spans="10:15" x14ac:dyDescent="0.25">
      <c r="J112" s="8">
        <v>109</v>
      </c>
      <c r="K112" s="21">
        <f>IF($E$19&lt;O112+(O112*($B$5/$E$19)),$E$19,O112+(O112*($B$5/$E$19)))</f>
        <v>777.23210101776806</v>
      </c>
      <c r="L112" s="18">
        <f t="shared" si="10"/>
        <v>440.10375491796236</v>
      </c>
      <c r="M112" s="18">
        <f t="shared" si="11"/>
        <v>337.1283460998057</v>
      </c>
      <c r="N112" s="8">
        <v>0</v>
      </c>
      <c r="O112" s="18">
        <f t="shared" si="12"/>
        <v>132031.12647538871</v>
      </c>
    </row>
    <row r="113" spans="10:15" x14ac:dyDescent="0.25">
      <c r="J113" s="8">
        <v>110</v>
      </c>
      <c r="K113" s="21">
        <f>IF($E$19&lt;O113+(O113*($B$5/$E$19)),$E$19,O113+(O113*($B$5/$E$19)))</f>
        <v>777.23210101776806</v>
      </c>
      <c r="L113" s="18">
        <f t="shared" si="10"/>
        <v>438.97999376429635</v>
      </c>
      <c r="M113" s="18">
        <f t="shared" si="11"/>
        <v>338.25210725347171</v>
      </c>
      <c r="N113" s="8">
        <v>0</v>
      </c>
      <c r="O113" s="18">
        <f t="shared" si="12"/>
        <v>131693.9981292889</v>
      </c>
    </row>
    <row r="114" spans="10:15" x14ac:dyDescent="0.25">
      <c r="J114" s="8">
        <v>111</v>
      </c>
      <c r="K114" s="21">
        <f>IF($E$19&lt;O114+(O114*($B$5/$E$19)),$E$19,O114+(O114*($B$5/$E$19)))</f>
        <v>777.23210101776806</v>
      </c>
      <c r="L114" s="18">
        <f t="shared" si="10"/>
        <v>437.85248674011808</v>
      </c>
      <c r="M114" s="18">
        <f t="shared" si="11"/>
        <v>339.37961427764998</v>
      </c>
      <c r="N114" s="8">
        <v>0</v>
      </c>
      <c r="O114" s="18">
        <f t="shared" si="12"/>
        <v>131355.74602203543</v>
      </c>
    </row>
    <row r="115" spans="10:15" x14ac:dyDescent="0.25">
      <c r="J115" s="8">
        <v>112</v>
      </c>
      <c r="K115" s="21">
        <f>IF($E$19&lt;O115+(O115*($B$5/$E$19)),$E$19,O115+(O115*($B$5/$E$19)))</f>
        <v>777.23210101776806</v>
      </c>
      <c r="L115" s="18">
        <f t="shared" si="10"/>
        <v>436.72122135919261</v>
      </c>
      <c r="M115" s="18">
        <f t="shared" si="11"/>
        <v>340.51087965857545</v>
      </c>
      <c r="N115" s="8">
        <v>0</v>
      </c>
      <c r="O115" s="18">
        <f t="shared" si="12"/>
        <v>131016.36640775777</v>
      </c>
    </row>
    <row r="116" spans="10:15" x14ac:dyDescent="0.25">
      <c r="J116" s="8">
        <v>113</v>
      </c>
      <c r="K116" s="21">
        <f>IF($E$19&lt;O116+(O116*($B$5/$E$19)),$E$19,O116+(O116*($B$5/$E$19)))</f>
        <v>777.23210101776806</v>
      </c>
      <c r="L116" s="18">
        <f t="shared" si="10"/>
        <v>435.58618509366403</v>
      </c>
      <c r="M116" s="18">
        <f t="shared" si="11"/>
        <v>341.64591592410403</v>
      </c>
      <c r="N116" s="8">
        <v>0</v>
      </c>
      <c r="O116" s="18">
        <f t="shared" si="12"/>
        <v>130675.8555280992</v>
      </c>
    </row>
    <row r="117" spans="10:15" x14ac:dyDescent="0.25">
      <c r="J117" s="8">
        <v>114</v>
      </c>
      <c r="K117" s="21">
        <f>IF($E$19&lt;O117+(O117*($B$5/$E$19)),$E$19,O117+(O117*($B$5/$E$19)))</f>
        <v>777.23210101776806</v>
      </c>
      <c r="L117" s="18">
        <f t="shared" si="10"/>
        <v>434.44736537391697</v>
      </c>
      <c r="M117" s="18">
        <f t="shared" si="11"/>
        <v>342.78473564385109</v>
      </c>
      <c r="N117" s="8">
        <v>0</v>
      </c>
      <c r="O117" s="18">
        <f t="shared" si="12"/>
        <v>130334.20961217509</v>
      </c>
    </row>
    <row r="118" spans="10:15" x14ac:dyDescent="0.25">
      <c r="J118" s="8">
        <v>115</v>
      </c>
      <c r="K118" s="21">
        <f>IF($E$19&lt;O118+(O118*($B$5/$E$19)),$E$19,O118+(O118*($B$5/$E$19)))</f>
        <v>777.23210101776806</v>
      </c>
      <c r="L118" s="18">
        <f t="shared" si="10"/>
        <v>433.30474958843746</v>
      </c>
      <c r="M118" s="18">
        <f t="shared" si="11"/>
        <v>343.9273514293306</v>
      </c>
      <c r="N118" s="8">
        <v>0</v>
      </c>
      <c r="O118" s="18">
        <f t="shared" si="12"/>
        <v>129991.42487653124</v>
      </c>
    </row>
    <row r="119" spans="10:15" x14ac:dyDescent="0.25">
      <c r="J119" s="8">
        <v>116</v>
      </c>
      <c r="K119" s="21">
        <f>IF($E$19&lt;O119+(O119*($B$5/$E$19)),$E$19,O119+(O119*($B$5/$E$19)))</f>
        <v>777.23210101776806</v>
      </c>
      <c r="L119" s="18">
        <f t="shared" si="10"/>
        <v>432.15832508367299</v>
      </c>
      <c r="M119" s="18">
        <f t="shared" si="11"/>
        <v>345.07377593409507</v>
      </c>
      <c r="N119" s="8">
        <v>0</v>
      </c>
      <c r="O119" s="18">
        <f t="shared" si="12"/>
        <v>129647.49752510191</v>
      </c>
    </row>
    <row r="120" spans="10:15" x14ac:dyDescent="0.25">
      <c r="J120" s="8">
        <v>117</v>
      </c>
      <c r="K120" s="21">
        <f>IF($E$19&lt;O120+(O120*($B$5/$E$19)),$E$19,O120+(O120*($B$5/$E$19)))</f>
        <v>777.23210101776806</v>
      </c>
      <c r="L120" s="18">
        <f t="shared" si="10"/>
        <v>431.00807916389272</v>
      </c>
      <c r="M120" s="18">
        <f t="shared" si="11"/>
        <v>346.22402185387534</v>
      </c>
      <c r="N120" s="8">
        <v>0</v>
      </c>
      <c r="O120" s="18">
        <f t="shared" si="12"/>
        <v>129302.42374916781</v>
      </c>
    </row>
    <row r="121" spans="10:15" x14ac:dyDescent="0.25">
      <c r="J121" s="8">
        <v>118</v>
      </c>
      <c r="K121" s="21">
        <f>IF($E$19&lt;O121+(O121*($B$5/$E$19)),$E$19,O121+(O121*($B$5/$E$19)))</f>
        <v>777.23210101776806</v>
      </c>
      <c r="L121" s="18">
        <f t="shared" si="10"/>
        <v>429.85399909104643</v>
      </c>
      <c r="M121" s="18">
        <f t="shared" si="11"/>
        <v>347.37810192672163</v>
      </c>
      <c r="N121" s="8">
        <v>0</v>
      </c>
      <c r="O121" s="18">
        <f t="shared" si="12"/>
        <v>128956.19972731393</v>
      </c>
    </row>
    <row r="122" spans="10:15" x14ac:dyDescent="0.25">
      <c r="J122" s="8">
        <v>119</v>
      </c>
      <c r="K122" s="21">
        <f>IF($E$19&lt;O122+(O122*($B$5/$E$19)),$E$19,O122+(O122*($B$5/$E$19)))</f>
        <v>777.23210101776806</v>
      </c>
      <c r="L122" s="18">
        <f t="shared" si="10"/>
        <v>428.69607208462406</v>
      </c>
      <c r="M122" s="18">
        <f t="shared" si="11"/>
        <v>348.536028933144</v>
      </c>
      <c r="N122" s="8">
        <v>0</v>
      </c>
      <c r="O122" s="18">
        <f t="shared" si="12"/>
        <v>128608.82162538721</v>
      </c>
    </row>
    <row r="123" spans="10:15" x14ac:dyDescent="0.25">
      <c r="J123" s="8">
        <v>120</v>
      </c>
      <c r="K123" s="21">
        <f>IF($E$19&lt;O123+(O123*($B$5/$E$19)),$E$19,O123+(O123*($B$5/$E$19)))</f>
        <v>777.23210101776806</v>
      </c>
      <c r="L123" s="18">
        <f t="shared" si="10"/>
        <v>427.53428532151355</v>
      </c>
      <c r="M123" s="18">
        <f t="shared" si="11"/>
        <v>349.69781569625451</v>
      </c>
      <c r="N123" s="8">
        <v>0</v>
      </c>
      <c r="O123" s="18">
        <f t="shared" si="12"/>
        <v>128260.28559645406</v>
      </c>
    </row>
    <row r="124" spans="10:15" x14ac:dyDescent="0.25">
      <c r="J124" s="8">
        <v>121</v>
      </c>
      <c r="K124" s="21">
        <f>IF($E$19&lt;O124+(O124*($B$5/$E$19)),$E$19,O124+(O124*($B$5/$E$19)))</f>
        <v>777.23210101776806</v>
      </c>
      <c r="L124" s="18">
        <f t="shared" si="10"/>
        <v>426.36862593585937</v>
      </c>
      <c r="M124" s="18">
        <f t="shared" si="11"/>
        <v>350.86347508190869</v>
      </c>
      <c r="N124" s="8">
        <v>0</v>
      </c>
      <c r="O124" s="18">
        <f t="shared" si="12"/>
        <v>127910.58778075781</v>
      </c>
    </row>
    <row r="125" spans="10:15" x14ac:dyDescent="0.25">
      <c r="J125" s="8">
        <v>122</v>
      </c>
      <c r="K125" s="21">
        <f>IF($E$19&lt;O125+(O125*($B$5/$E$19)),$E$19,O125+(O125*($B$5/$E$19)))</f>
        <v>777.23210101776806</v>
      </c>
      <c r="L125" s="18">
        <f t="shared" si="10"/>
        <v>425.19908101891968</v>
      </c>
      <c r="M125" s="18">
        <f t="shared" si="11"/>
        <v>352.03301999884837</v>
      </c>
      <c r="N125" s="8">
        <v>0</v>
      </c>
      <c r="O125" s="18">
        <f t="shared" si="12"/>
        <v>127559.7243056759</v>
      </c>
    </row>
    <row r="126" spans="10:15" x14ac:dyDescent="0.25">
      <c r="J126" s="8">
        <v>123</v>
      </c>
      <c r="K126" s="21">
        <f>IF($E$19&lt;O126+(O126*($B$5/$E$19)),$E$19,O126+(O126*($B$5/$E$19)))</f>
        <v>777.23210101776806</v>
      </c>
      <c r="L126" s="18">
        <f t="shared" si="10"/>
        <v>424.02563761892355</v>
      </c>
      <c r="M126" s="18">
        <f t="shared" si="11"/>
        <v>353.20646339884451</v>
      </c>
      <c r="N126" s="8">
        <v>0</v>
      </c>
      <c r="O126" s="18">
        <f t="shared" si="12"/>
        <v>127207.69128567705</v>
      </c>
    </row>
    <row r="127" spans="10:15" x14ac:dyDescent="0.25">
      <c r="J127" s="8">
        <v>124</v>
      </c>
      <c r="K127" s="21">
        <f>IF($E$19&lt;O127+(O127*($B$5/$E$19)),$E$19,O127+(O127*($B$5/$E$19)))</f>
        <v>777.23210101776806</v>
      </c>
      <c r="L127" s="18">
        <f t="shared" si="10"/>
        <v>422.84828274092735</v>
      </c>
      <c r="M127" s="18">
        <f t="shared" si="11"/>
        <v>354.38381827684071</v>
      </c>
      <c r="N127" s="8">
        <v>0</v>
      </c>
      <c r="O127" s="18">
        <f t="shared" si="12"/>
        <v>126854.4848222782</v>
      </c>
    </row>
    <row r="128" spans="10:15" x14ac:dyDescent="0.25">
      <c r="J128" s="8">
        <v>125</v>
      </c>
      <c r="K128" s="21">
        <f>IF($E$19&lt;O128+(O128*($B$5/$E$19)),$E$19,O128+(O128*($B$5/$E$19)))</f>
        <v>777.23210101776806</v>
      </c>
      <c r="L128" s="18">
        <f t="shared" si="10"/>
        <v>421.66700334667121</v>
      </c>
      <c r="M128" s="18">
        <f t="shared" si="11"/>
        <v>355.56509767109685</v>
      </c>
      <c r="N128" s="8">
        <v>0</v>
      </c>
      <c r="O128" s="18">
        <f t="shared" si="12"/>
        <v>126500.10100400136</v>
      </c>
    </row>
    <row r="129" spans="10:15" x14ac:dyDescent="0.25">
      <c r="J129" s="8">
        <v>126</v>
      </c>
      <c r="K129" s="21">
        <f>IF($E$19&lt;O129+(O129*($B$5/$E$19)),$E$19,O129+(O129*($B$5/$E$19)))</f>
        <v>777.23210101776806</v>
      </c>
      <c r="L129" s="18">
        <f t="shared" si="10"/>
        <v>420.48178635443423</v>
      </c>
      <c r="M129" s="18">
        <f t="shared" si="11"/>
        <v>356.75031466333382</v>
      </c>
      <c r="N129" s="8">
        <v>0</v>
      </c>
      <c r="O129" s="18">
        <f t="shared" si="12"/>
        <v>126144.53590633026</v>
      </c>
    </row>
    <row r="130" spans="10:15" x14ac:dyDescent="0.25">
      <c r="J130" s="8">
        <v>127</v>
      </c>
      <c r="K130" s="21">
        <f>IF($E$19&lt;O130+(O130*($B$5/$E$19)),$E$19,O130+(O130*($B$5/$E$19)))</f>
        <v>777.23210101776806</v>
      </c>
      <c r="L130" s="18">
        <f t="shared" si="10"/>
        <v>419.29261863888973</v>
      </c>
      <c r="M130" s="18">
        <f t="shared" si="11"/>
        <v>357.93948237887832</v>
      </c>
      <c r="N130" s="8">
        <v>0</v>
      </c>
      <c r="O130" s="18">
        <f t="shared" si="12"/>
        <v>125787.78559166692</v>
      </c>
    </row>
    <row r="131" spans="10:15" x14ac:dyDescent="0.25">
      <c r="J131" s="8">
        <v>128</v>
      </c>
      <c r="K131" s="21">
        <f>IF($E$19&lt;O131+(O131*($B$5/$E$19)),$E$19,O131+(O131*($B$5/$E$19)))</f>
        <v>777.23210101776806</v>
      </c>
      <c r="L131" s="18">
        <f t="shared" ref="L131:L194" si="13">O131*$B$5/$B$4</f>
        <v>418.09948703096012</v>
      </c>
      <c r="M131" s="18">
        <f t="shared" si="11"/>
        <v>359.13261398680794</v>
      </c>
      <c r="N131" s="8">
        <v>0</v>
      </c>
      <c r="O131" s="18">
        <f t="shared" si="12"/>
        <v>125429.84610928805</v>
      </c>
    </row>
    <row r="132" spans="10:15" x14ac:dyDescent="0.25">
      <c r="J132" s="8">
        <v>129</v>
      </c>
      <c r="K132" s="21">
        <f>IF($E$19&lt;O132+(O132*($B$5/$E$19)),$E$19,O132+(O132*($B$5/$E$19)))</f>
        <v>777.23210101776806</v>
      </c>
      <c r="L132" s="18">
        <f t="shared" si="13"/>
        <v>416.90237831767081</v>
      </c>
      <c r="M132" s="18">
        <f t="shared" si="11"/>
        <v>360.32972270009725</v>
      </c>
      <c r="N132" s="8">
        <v>0</v>
      </c>
      <c r="O132" s="18">
        <f t="shared" si="12"/>
        <v>125070.71349530124</v>
      </c>
    </row>
    <row r="133" spans="10:15" x14ac:dyDescent="0.25">
      <c r="J133" s="8">
        <v>130</v>
      </c>
      <c r="K133" s="21">
        <f>IF($E$19&lt;O133+(O133*($B$5/$E$19)),$E$19,O133+(O133*($B$5/$E$19)))</f>
        <v>777.23210101776806</v>
      </c>
      <c r="L133" s="18">
        <f t="shared" si="13"/>
        <v>415.70127924200386</v>
      </c>
      <c r="M133" s="18">
        <f t="shared" ref="M133:M196" si="14">K133-L133</f>
        <v>361.5308217757642</v>
      </c>
      <c r="N133" s="8">
        <v>0</v>
      </c>
      <c r="O133" s="18">
        <f t="shared" ref="O133:O196" si="15">O132-M132-N132</f>
        <v>124710.38377260114</v>
      </c>
    </row>
    <row r="134" spans="10:15" x14ac:dyDescent="0.25">
      <c r="J134" s="8">
        <v>131</v>
      </c>
      <c r="K134" s="21">
        <f>IF($E$19&lt;O134+(O134*($B$5/$E$19)),$E$19,O134+(O134*($B$5/$E$19)))</f>
        <v>777.23210101776806</v>
      </c>
      <c r="L134" s="18">
        <f t="shared" si="13"/>
        <v>414.49617650275127</v>
      </c>
      <c r="M134" s="18">
        <f t="shared" si="14"/>
        <v>362.73592451501679</v>
      </c>
      <c r="N134" s="8">
        <v>0</v>
      </c>
      <c r="O134" s="18">
        <f t="shared" si="15"/>
        <v>124348.85295082537</v>
      </c>
    </row>
    <row r="135" spans="10:15" x14ac:dyDescent="0.25">
      <c r="J135" s="8">
        <v>132</v>
      </c>
      <c r="K135" s="21">
        <f>IF($E$19&lt;O135+(O135*($B$5/$E$19)),$E$19,O135+(O135*($B$5/$E$19)))</f>
        <v>777.23210101776806</v>
      </c>
      <c r="L135" s="18">
        <f t="shared" si="13"/>
        <v>413.28705675436782</v>
      </c>
      <c r="M135" s="18">
        <f t="shared" si="14"/>
        <v>363.94504426340023</v>
      </c>
      <c r="N135" s="8">
        <v>0</v>
      </c>
      <c r="O135" s="18">
        <f t="shared" si="15"/>
        <v>123986.11702631036</v>
      </c>
    </row>
    <row r="136" spans="10:15" x14ac:dyDescent="0.25">
      <c r="J136" s="8">
        <v>133</v>
      </c>
      <c r="K136" s="21">
        <f>IF($E$19&lt;O136+(O136*($B$5/$E$19)),$E$19,O136+(O136*($B$5/$E$19)))</f>
        <v>777.23210101776806</v>
      </c>
      <c r="L136" s="18">
        <f t="shared" si="13"/>
        <v>412.07390660682319</v>
      </c>
      <c r="M136" s="18">
        <f t="shared" si="14"/>
        <v>365.15819441094487</v>
      </c>
      <c r="N136" s="8">
        <v>0</v>
      </c>
      <c r="O136" s="18">
        <f t="shared" si="15"/>
        <v>123622.17198204696</v>
      </c>
    </row>
    <row r="137" spans="10:15" x14ac:dyDescent="0.25">
      <c r="J137" s="8">
        <v>134</v>
      </c>
      <c r="K137" s="21">
        <f>IF($E$19&lt;O137+(O137*($B$5/$E$19)),$E$19,O137+(O137*($B$5/$E$19)))</f>
        <v>777.23210101776806</v>
      </c>
      <c r="L137" s="18">
        <f t="shared" si="13"/>
        <v>410.85671262545338</v>
      </c>
      <c r="M137" s="18">
        <f t="shared" si="14"/>
        <v>366.37538839231468</v>
      </c>
      <c r="N137" s="8">
        <v>0</v>
      </c>
      <c r="O137" s="18">
        <f t="shared" si="15"/>
        <v>123257.01378763601</v>
      </c>
    </row>
    <row r="138" spans="10:15" x14ac:dyDescent="0.25">
      <c r="J138" s="8">
        <v>135</v>
      </c>
      <c r="K138" s="21">
        <f>IF($E$19&lt;O138+(O138*($B$5/$E$19)),$E$19,O138+(O138*($B$5/$E$19)))</f>
        <v>777.23210101776806</v>
      </c>
      <c r="L138" s="18">
        <f t="shared" si="13"/>
        <v>409.63546133081235</v>
      </c>
      <c r="M138" s="18">
        <f t="shared" si="14"/>
        <v>367.59663968695571</v>
      </c>
      <c r="N138" s="8">
        <v>0</v>
      </c>
      <c r="O138" s="18">
        <f t="shared" si="15"/>
        <v>122890.63839924369</v>
      </c>
    </row>
    <row r="139" spans="10:15" x14ac:dyDescent="0.25">
      <c r="J139" s="8">
        <v>136</v>
      </c>
      <c r="K139" s="21">
        <f>IF($E$19&lt;O139+(O139*($B$5/$E$19)),$E$19,O139+(O139*($B$5/$E$19)))</f>
        <v>777.23210101776806</v>
      </c>
      <c r="L139" s="18">
        <f t="shared" si="13"/>
        <v>408.41013919852247</v>
      </c>
      <c r="M139" s="18">
        <f t="shared" si="14"/>
        <v>368.82196181924559</v>
      </c>
      <c r="N139" s="8">
        <v>0</v>
      </c>
      <c r="O139" s="18">
        <f t="shared" si="15"/>
        <v>122523.04175955673</v>
      </c>
    </row>
    <row r="140" spans="10:15" x14ac:dyDescent="0.25">
      <c r="J140" s="8">
        <v>137</v>
      </c>
      <c r="K140" s="21">
        <f>IF($E$19&lt;O140+(O140*($B$5/$E$19)),$E$19,O140+(O140*($B$5/$E$19)))</f>
        <v>777.23210101776806</v>
      </c>
      <c r="L140" s="18">
        <f t="shared" si="13"/>
        <v>407.18073265912494</v>
      </c>
      <c r="M140" s="18">
        <f t="shared" si="14"/>
        <v>370.05136835864312</v>
      </c>
      <c r="N140" s="8">
        <v>0</v>
      </c>
      <c r="O140" s="18">
        <f t="shared" si="15"/>
        <v>122154.21979773747</v>
      </c>
    </row>
    <row r="141" spans="10:15" x14ac:dyDescent="0.25">
      <c r="J141" s="8">
        <v>138</v>
      </c>
      <c r="K141" s="21">
        <f>IF($E$19&lt;O141+(O141*($B$5/$E$19)),$E$19,O141+(O141*($B$5/$E$19)))</f>
        <v>777.23210101776806</v>
      </c>
      <c r="L141" s="18">
        <f t="shared" si="13"/>
        <v>405.94722809792944</v>
      </c>
      <c r="M141" s="18">
        <f t="shared" si="14"/>
        <v>371.28487291983862</v>
      </c>
      <c r="N141" s="8">
        <v>0</v>
      </c>
      <c r="O141" s="18">
        <f t="shared" si="15"/>
        <v>121784.16842937883</v>
      </c>
    </row>
    <row r="142" spans="10:15" x14ac:dyDescent="0.25">
      <c r="J142" s="8">
        <v>139</v>
      </c>
      <c r="K142" s="21">
        <f>IF($E$19&lt;O142+(O142*($B$5/$E$19)),$E$19,O142+(O142*($B$5/$E$19)))</f>
        <v>777.23210101776806</v>
      </c>
      <c r="L142" s="18">
        <f t="shared" si="13"/>
        <v>404.70961185486334</v>
      </c>
      <c r="M142" s="18">
        <f t="shared" si="14"/>
        <v>372.52248916290472</v>
      </c>
      <c r="N142" s="8">
        <v>0</v>
      </c>
      <c r="O142" s="18">
        <f t="shared" si="15"/>
        <v>121412.88355645898</v>
      </c>
    </row>
    <row r="143" spans="10:15" x14ac:dyDescent="0.25">
      <c r="J143" s="8">
        <v>140</v>
      </c>
      <c r="K143" s="21">
        <f>IF($E$19&lt;O143+(O143*($B$5/$E$19)),$E$19,O143+(O143*($B$5/$E$19)))</f>
        <v>777.23210101776806</v>
      </c>
      <c r="L143" s="18">
        <f t="shared" si="13"/>
        <v>403.46787022432028</v>
      </c>
      <c r="M143" s="18">
        <f t="shared" si="14"/>
        <v>373.76423079344778</v>
      </c>
      <c r="N143" s="8">
        <v>0</v>
      </c>
      <c r="O143" s="18">
        <f t="shared" si="15"/>
        <v>121040.36106729608</v>
      </c>
    </row>
    <row r="144" spans="10:15" x14ac:dyDescent="0.25">
      <c r="J144" s="8">
        <v>141</v>
      </c>
      <c r="K144" s="21">
        <f>IF($E$19&lt;O144+(O144*($B$5/$E$19)),$E$19,O144+(O144*($B$5/$E$19)))</f>
        <v>777.23210101776806</v>
      </c>
      <c r="L144" s="18">
        <f t="shared" si="13"/>
        <v>402.22198945500878</v>
      </c>
      <c r="M144" s="18">
        <f t="shared" si="14"/>
        <v>375.01011156275928</v>
      </c>
      <c r="N144" s="8">
        <v>0</v>
      </c>
      <c r="O144" s="18">
        <f t="shared" si="15"/>
        <v>120666.59683650263</v>
      </c>
    </row>
    <row r="145" spans="10:15" x14ac:dyDescent="0.25">
      <c r="J145" s="8">
        <v>142</v>
      </c>
      <c r="K145" s="21">
        <f>IF($E$19&lt;O145+(O145*($B$5/$E$19)),$E$19,O145+(O145*($B$5/$E$19)))</f>
        <v>777.23210101776806</v>
      </c>
      <c r="L145" s="18">
        <f t="shared" si="13"/>
        <v>400.97195574979963</v>
      </c>
      <c r="M145" s="18">
        <f t="shared" si="14"/>
        <v>376.26014526796843</v>
      </c>
      <c r="N145" s="8">
        <v>0</v>
      </c>
      <c r="O145" s="18">
        <f t="shared" si="15"/>
        <v>120291.58672493987</v>
      </c>
    </row>
    <row r="146" spans="10:15" x14ac:dyDescent="0.25">
      <c r="J146" s="8">
        <v>143</v>
      </c>
      <c r="K146" s="21">
        <f>IF($E$19&lt;O146+(O146*($B$5/$E$19)),$E$19,O146+(O146*($B$5/$E$19)))</f>
        <v>777.23210101776806</v>
      </c>
      <c r="L146" s="18">
        <f t="shared" si="13"/>
        <v>399.71775526557303</v>
      </c>
      <c r="M146" s="18">
        <f t="shared" si="14"/>
        <v>377.51434575219503</v>
      </c>
      <c r="N146" s="8">
        <v>0</v>
      </c>
      <c r="O146" s="18">
        <f t="shared" si="15"/>
        <v>119915.32657967191</v>
      </c>
    </row>
    <row r="147" spans="10:15" x14ac:dyDescent="0.25">
      <c r="J147" s="8">
        <v>144</v>
      </c>
      <c r="K147" s="21">
        <f>IF($E$19&lt;O147+(O147*($B$5/$E$19)),$E$19,O147+(O147*($B$5/$E$19)))</f>
        <v>777.23210101776806</v>
      </c>
      <c r="L147" s="18">
        <f t="shared" si="13"/>
        <v>398.45937411306573</v>
      </c>
      <c r="M147" s="18">
        <f t="shared" si="14"/>
        <v>378.77272690470232</v>
      </c>
      <c r="N147" s="8">
        <v>0</v>
      </c>
      <c r="O147" s="18">
        <f t="shared" si="15"/>
        <v>119537.81223391971</v>
      </c>
    </row>
    <row r="148" spans="10:15" x14ac:dyDescent="0.25">
      <c r="J148" s="8">
        <v>145</v>
      </c>
      <c r="K148" s="21">
        <f>IF($E$19&lt;O148+(O148*($B$5/$E$19)),$E$19,O148+(O148*($B$5/$E$19)))</f>
        <v>777.23210101776806</v>
      </c>
      <c r="L148" s="18">
        <f t="shared" si="13"/>
        <v>397.19679835671673</v>
      </c>
      <c r="M148" s="18">
        <f t="shared" si="14"/>
        <v>380.03530266105133</v>
      </c>
      <c r="N148" s="8">
        <v>0</v>
      </c>
      <c r="O148" s="18">
        <f t="shared" si="15"/>
        <v>119159.03950701501</v>
      </c>
    </row>
    <row r="149" spans="10:15" x14ac:dyDescent="0.25">
      <c r="J149" s="8">
        <v>146</v>
      </c>
      <c r="K149" s="21">
        <f>IF($E$19&lt;O149+(O149*($B$5/$E$19)),$E$19,O149+(O149*($B$5/$E$19)))</f>
        <v>777.23210101776806</v>
      </c>
      <c r="L149" s="18">
        <f t="shared" si="13"/>
        <v>395.93001401451323</v>
      </c>
      <c r="M149" s="18">
        <f t="shared" si="14"/>
        <v>381.30208700325483</v>
      </c>
      <c r="N149" s="8">
        <v>0</v>
      </c>
      <c r="O149" s="18">
        <f t="shared" si="15"/>
        <v>118779.00420435396</v>
      </c>
    </row>
    <row r="150" spans="10:15" x14ac:dyDescent="0.25">
      <c r="J150" s="8">
        <v>147</v>
      </c>
      <c r="K150" s="21">
        <f>IF($E$19&lt;O150+(O150*($B$5/$E$19)),$E$19,O150+(O150*($B$5/$E$19)))</f>
        <v>777.23210101776806</v>
      </c>
      <c r="L150" s="18">
        <f t="shared" si="13"/>
        <v>394.65900705783571</v>
      </c>
      <c r="M150" s="18">
        <f t="shared" si="14"/>
        <v>382.57309395993235</v>
      </c>
      <c r="N150" s="8">
        <v>0</v>
      </c>
      <c r="O150" s="18">
        <f t="shared" si="15"/>
        <v>118397.70211735071</v>
      </c>
    </row>
    <row r="151" spans="10:15" x14ac:dyDescent="0.25">
      <c r="J151" s="8">
        <v>148</v>
      </c>
      <c r="K151" s="21">
        <f>IF($E$19&lt;O151+(O151*($B$5/$E$19)),$E$19,O151+(O151*($B$5/$E$19)))</f>
        <v>777.23210101776806</v>
      </c>
      <c r="L151" s="18">
        <f t="shared" si="13"/>
        <v>393.3837634113026</v>
      </c>
      <c r="M151" s="18">
        <f t="shared" si="14"/>
        <v>383.84833760646546</v>
      </c>
      <c r="N151" s="8">
        <v>0</v>
      </c>
      <c r="O151" s="18">
        <f t="shared" si="15"/>
        <v>118015.12902339078</v>
      </c>
    </row>
    <row r="152" spans="10:15" x14ac:dyDescent="0.25">
      <c r="J152" s="8">
        <v>149</v>
      </c>
      <c r="K152" s="21">
        <f>IF($E$19&lt;O152+(O152*($B$5/$E$19)),$E$19,O152+(O152*($B$5/$E$19)))</f>
        <v>777.23210101776806</v>
      </c>
      <c r="L152" s="18">
        <f t="shared" si="13"/>
        <v>392.10426895261435</v>
      </c>
      <c r="M152" s="18">
        <f t="shared" si="14"/>
        <v>385.12783206515371</v>
      </c>
      <c r="N152" s="8">
        <v>0</v>
      </c>
      <c r="O152" s="18">
        <f t="shared" si="15"/>
        <v>117631.28068578431</v>
      </c>
    </row>
    <row r="153" spans="10:15" x14ac:dyDescent="0.25">
      <c r="J153" s="8">
        <v>150</v>
      </c>
      <c r="K153" s="21">
        <f>IF($E$19&lt;O153+(O153*($B$5/$E$19)),$E$19,O153+(O153*($B$5/$E$19)))</f>
        <v>777.23210101776806</v>
      </c>
      <c r="L153" s="18">
        <f t="shared" si="13"/>
        <v>390.82050951239722</v>
      </c>
      <c r="M153" s="18">
        <f t="shared" si="14"/>
        <v>386.41159150537084</v>
      </c>
      <c r="N153" s="8">
        <v>0</v>
      </c>
      <c r="O153" s="18">
        <f t="shared" si="15"/>
        <v>117246.15285371916</v>
      </c>
    </row>
    <row r="154" spans="10:15" x14ac:dyDescent="0.25">
      <c r="J154" s="8">
        <v>151</v>
      </c>
      <c r="K154" s="21">
        <f>IF($E$19&lt;O154+(O154*($B$5/$E$19)),$E$19,O154+(O154*($B$5/$E$19)))</f>
        <v>777.23210101776806</v>
      </c>
      <c r="L154" s="18">
        <f t="shared" si="13"/>
        <v>389.53247087404594</v>
      </c>
      <c r="M154" s="18">
        <f t="shared" si="14"/>
        <v>387.69963014372212</v>
      </c>
      <c r="N154" s="8">
        <v>0</v>
      </c>
      <c r="O154" s="18">
        <f t="shared" si="15"/>
        <v>116859.74126221379</v>
      </c>
    </row>
    <row r="155" spans="10:15" x14ac:dyDescent="0.25">
      <c r="J155" s="8">
        <v>152</v>
      </c>
      <c r="K155" s="21">
        <f>IF($E$19&lt;O155+(O155*($B$5/$E$19)),$E$19,O155+(O155*($B$5/$E$19)))</f>
        <v>777.23210101776806</v>
      </c>
      <c r="L155" s="18">
        <f t="shared" si="13"/>
        <v>388.24013877356691</v>
      </c>
      <c r="M155" s="18">
        <f t="shared" si="14"/>
        <v>388.99196224420115</v>
      </c>
      <c r="N155" s="8">
        <v>0</v>
      </c>
      <c r="O155" s="18">
        <f t="shared" si="15"/>
        <v>116472.04163207008</v>
      </c>
    </row>
    <row r="156" spans="10:15" x14ac:dyDescent="0.25">
      <c r="J156" s="8">
        <v>153</v>
      </c>
      <c r="K156" s="21">
        <f>IF($E$19&lt;O156+(O156*($B$5/$E$19)),$E$19,O156+(O156*($B$5/$E$19)))</f>
        <v>777.23210101776806</v>
      </c>
      <c r="L156" s="18">
        <f t="shared" si="13"/>
        <v>386.94349889941964</v>
      </c>
      <c r="M156" s="18">
        <f t="shared" si="14"/>
        <v>390.28860211834842</v>
      </c>
      <c r="N156" s="8">
        <v>0</v>
      </c>
      <c r="O156" s="18">
        <f t="shared" si="15"/>
        <v>116083.04966982588</v>
      </c>
    </row>
    <row r="157" spans="10:15" x14ac:dyDescent="0.25">
      <c r="J157" s="8">
        <v>154</v>
      </c>
      <c r="K157" s="21">
        <f>IF($E$19&lt;O157+(O157*($B$5/$E$19)),$E$19,O157+(O157*($B$5/$E$19)))</f>
        <v>777.23210101776806</v>
      </c>
      <c r="L157" s="18">
        <f t="shared" si="13"/>
        <v>385.64253689235846</v>
      </c>
      <c r="M157" s="18">
        <f t="shared" si="14"/>
        <v>391.58956412540959</v>
      </c>
      <c r="N157" s="8">
        <v>0</v>
      </c>
      <c r="O157" s="18">
        <f t="shared" si="15"/>
        <v>115692.76106770753</v>
      </c>
    </row>
    <row r="158" spans="10:15" x14ac:dyDescent="0.25">
      <c r="J158" s="8">
        <v>155</v>
      </c>
      <c r="K158" s="21">
        <f>IF($E$19&lt;O158+(O158*($B$5/$E$19)),$E$19,O158+(O158*($B$5/$E$19)))</f>
        <v>777.23210101776806</v>
      </c>
      <c r="L158" s="18">
        <f t="shared" si="13"/>
        <v>384.33723834527376</v>
      </c>
      <c r="M158" s="18">
        <f t="shared" si="14"/>
        <v>392.8948626724943</v>
      </c>
      <c r="N158" s="8">
        <v>0</v>
      </c>
      <c r="O158" s="18">
        <f t="shared" si="15"/>
        <v>115301.17150358213</v>
      </c>
    </row>
    <row r="159" spans="10:15" x14ac:dyDescent="0.25">
      <c r="J159" s="8">
        <v>156</v>
      </c>
      <c r="K159" s="21">
        <f>IF($E$19&lt;O159+(O159*($B$5/$E$19)),$E$19,O159+(O159*($B$5/$E$19)))</f>
        <v>777.23210101776806</v>
      </c>
      <c r="L159" s="18">
        <f t="shared" si="13"/>
        <v>383.02758880303213</v>
      </c>
      <c r="M159" s="18">
        <f t="shared" si="14"/>
        <v>394.20451221473593</v>
      </c>
      <c r="N159" s="8">
        <v>0</v>
      </c>
      <c r="O159" s="18">
        <f t="shared" si="15"/>
        <v>114908.27664090964</v>
      </c>
    </row>
    <row r="160" spans="10:15" x14ac:dyDescent="0.25">
      <c r="J160" s="8">
        <v>157</v>
      </c>
      <c r="K160" s="21">
        <f>IF($E$19&lt;O160+(O160*($B$5/$E$19)),$E$19,O160+(O160*($B$5/$E$19)))</f>
        <v>777.23210101776806</v>
      </c>
      <c r="L160" s="18">
        <f t="shared" si="13"/>
        <v>381.71357376231634</v>
      </c>
      <c r="M160" s="18">
        <f t="shared" si="14"/>
        <v>395.51852725545172</v>
      </c>
      <c r="N160" s="8">
        <v>0</v>
      </c>
      <c r="O160" s="18">
        <f t="shared" si="15"/>
        <v>114514.0721286949</v>
      </c>
    </row>
    <row r="161" spans="10:15" x14ac:dyDescent="0.25">
      <c r="J161" s="8">
        <v>158</v>
      </c>
      <c r="K161" s="21">
        <f>IF($E$19&lt;O161+(O161*($B$5/$E$19)),$E$19,O161+(O161*($B$5/$E$19)))</f>
        <v>777.23210101776806</v>
      </c>
      <c r="L161" s="18">
        <f t="shared" si="13"/>
        <v>380.39517867146486</v>
      </c>
      <c r="M161" s="18">
        <f t="shared" si="14"/>
        <v>396.8369223463032</v>
      </c>
      <c r="N161" s="8">
        <v>0</v>
      </c>
      <c r="O161" s="18">
        <f t="shared" si="15"/>
        <v>114118.55360143945</v>
      </c>
    </row>
    <row r="162" spans="10:15" x14ac:dyDescent="0.25">
      <c r="J162" s="8">
        <v>159</v>
      </c>
      <c r="K162" s="21">
        <f>IF($E$19&lt;O162+(O162*($B$5/$E$19)),$E$19,O162+(O162*($B$5/$E$19)))</f>
        <v>777.23210101776806</v>
      </c>
      <c r="L162" s="18">
        <f t="shared" si="13"/>
        <v>379.07238893031041</v>
      </c>
      <c r="M162" s="18">
        <f t="shared" si="14"/>
        <v>398.15971208745765</v>
      </c>
      <c r="N162" s="8">
        <v>0</v>
      </c>
      <c r="O162" s="18">
        <f t="shared" si="15"/>
        <v>113721.71667909314</v>
      </c>
    </row>
    <row r="163" spans="10:15" x14ac:dyDescent="0.25">
      <c r="J163" s="8">
        <v>160</v>
      </c>
      <c r="K163" s="21">
        <f>IF($E$19&lt;O163+(O163*($B$5/$E$19)),$E$19,O163+(O163*($B$5/$E$19)))</f>
        <v>777.23210101776806</v>
      </c>
      <c r="L163" s="18">
        <f t="shared" si="13"/>
        <v>377.74518989001893</v>
      </c>
      <c r="M163" s="18">
        <f t="shared" si="14"/>
        <v>399.48691112774912</v>
      </c>
      <c r="N163" s="8">
        <v>0</v>
      </c>
      <c r="O163" s="18">
        <f t="shared" si="15"/>
        <v>113323.55696700567</v>
      </c>
    </row>
    <row r="164" spans="10:15" x14ac:dyDescent="0.25">
      <c r="J164" s="8">
        <v>161</v>
      </c>
      <c r="K164" s="21">
        <f>IF($E$19&lt;O164+(O164*($B$5/$E$19)),$E$19,O164+(O164*($B$5/$E$19)))</f>
        <v>777.23210101776806</v>
      </c>
      <c r="L164" s="18">
        <f t="shared" si="13"/>
        <v>376.41356685292641</v>
      </c>
      <c r="M164" s="18">
        <f t="shared" si="14"/>
        <v>400.81853416484165</v>
      </c>
      <c r="N164" s="8">
        <v>0</v>
      </c>
      <c r="O164" s="18">
        <f t="shared" si="15"/>
        <v>112924.07005587792</v>
      </c>
    </row>
    <row r="165" spans="10:15" x14ac:dyDescent="0.25">
      <c r="J165" s="8">
        <v>162</v>
      </c>
      <c r="K165" s="21">
        <f>IF($E$19&lt;O165+(O165*($B$5/$E$19)),$E$19,O165+(O165*($B$5/$E$19)))</f>
        <v>777.23210101776806</v>
      </c>
      <c r="L165" s="18">
        <f t="shared" si="13"/>
        <v>375.07750507237694</v>
      </c>
      <c r="M165" s="18">
        <f t="shared" si="14"/>
        <v>402.15459594539112</v>
      </c>
      <c r="N165" s="8">
        <v>0</v>
      </c>
      <c r="O165" s="18">
        <f t="shared" si="15"/>
        <v>112523.25152171309</v>
      </c>
    </row>
    <row r="166" spans="10:15" x14ac:dyDescent="0.25">
      <c r="J166" s="8">
        <v>163</v>
      </c>
      <c r="K166" s="21">
        <f>IF($E$19&lt;O166+(O166*($B$5/$E$19)),$E$19,O166+(O166*($B$5/$E$19)))</f>
        <v>777.23210101776806</v>
      </c>
      <c r="L166" s="18">
        <f t="shared" si="13"/>
        <v>373.73698975255894</v>
      </c>
      <c r="M166" s="18">
        <f t="shared" si="14"/>
        <v>403.49511126520912</v>
      </c>
      <c r="N166" s="8">
        <v>0</v>
      </c>
      <c r="O166" s="18">
        <f t="shared" si="15"/>
        <v>112121.09692576769</v>
      </c>
    </row>
    <row r="167" spans="10:15" x14ac:dyDescent="0.25">
      <c r="J167" s="8">
        <v>164</v>
      </c>
      <c r="K167" s="21">
        <f>IF($E$19&lt;O167+(O167*($B$5/$E$19)),$E$19,O167+(O167*($B$5/$E$19)))</f>
        <v>777.23210101776806</v>
      </c>
      <c r="L167" s="18">
        <f t="shared" si="13"/>
        <v>372.39200604834167</v>
      </c>
      <c r="M167" s="18">
        <f t="shared" si="14"/>
        <v>404.84009496942639</v>
      </c>
      <c r="N167" s="8">
        <v>0</v>
      </c>
      <c r="O167" s="18">
        <f t="shared" si="15"/>
        <v>111717.60181450249</v>
      </c>
    </row>
    <row r="168" spans="10:15" x14ac:dyDescent="0.25">
      <c r="J168" s="8">
        <v>165</v>
      </c>
      <c r="K168" s="21">
        <f>IF($E$19&lt;O168+(O168*($B$5/$E$19)),$E$19,O168+(O168*($B$5/$E$19)))</f>
        <v>777.23210101776806</v>
      </c>
      <c r="L168" s="18">
        <f t="shared" si="13"/>
        <v>371.04253906511013</v>
      </c>
      <c r="M168" s="18">
        <f t="shared" si="14"/>
        <v>406.18956195265793</v>
      </c>
      <c r="N168" s="8">
        <v>0</v>
      </c>
      <c r="O168" s="18">
        <f t="shared" si="15"/>
        <v>111312.76171953305</v>
      </c>
    </row>
    <row r="169" spans="10:15" x14ac:dyDescent="0.25">
      <c r="J169" s="8">
        <v>166</v>
      </c>
      <c r="K169" s="21">
        <f>IF($E$19&lt;O169+(O169*($B$5/$E$19)),$E$19,O169+(O169*($B$5/$E$19)))</f>
        <v>777.23210101776806</v>
      </c>
      <c r="L169" s="18">
        <f t="shared" si="13"/>
        <v>369.68857385860133</v>
      </c>
      <c r="M169" s="18">
        <f t="shared" si="14"/>
        <v>407.54352715916673</v>
      </c>
      <c r="N169" s="8">
        <v>0</v>
      </c>
      <c r="O169" s="18">
        <f t="shared" si="15"/>
        <v>110906.57215758039</v>
      </c>
    </row>
    <row r="170" spans="10:15" x14ac:dyDescent="0.25">
      <c r="J170" s="8">
        <v>167</v>
      </c>
      <c r="K170" s="21">
        <f>IF($E$19&lt;O170+(O170*($B$5/$E$19)),$E$19,O170+(O170*($B$5/$E$19)))</f>
        <v>777.23210101776806</v>
      </c>
      <c r="L170" s="18">
        <f t="shared" si="13"/>
        <v>368.33009543473742</v>
      </c>
      <c r="M170" s="18">
        <f t="shared" si="14"/>
        <v>408.90200558303064</v>
      </c>
      <c r="N170" s="8">
        <v>0</v>
      </c>
      <c r="O170" s="18">
        <f t="shared" si="15"/>
        <v>110499.02863042122</v>
      </c>
    </row>
    <row r="171" spans="10:15" x14ac:dyDescent="0.25">
      <c r="J171" s="8">
        <v>168</v>
      </c>
      <c r="K171" s="21">
        <f>IF($E$19&lt;O171+(O171*($B$5/$E$19)),$E$19,O171+(O171*($B$5/$E$19)))</f>
        <v>777.23210101776806</v>
      </c>
      <c r="L171" s="18">
        <f t="shared" si="13"/>
        <v>366.96708874946063</v>
      </c>
      <c r="M171" s="18">
        <f t="shared" si="14"/>
        <v>410.26501226830743</v>
      </c>
      <c r="N171" s="8">
        <v>0</v>
      </c>
      <c r="O171" s="18">
        <f t="shared" si="15"/>
        <v>110090.12662483819</v>
      </c>
    </row>
    <row r="172" spans="10:15" x14ac:dyDescent="0.25">
      <c r="J172" s="8">
        <v>169</v>
      </c>
      <c r="K172" s="21">
        <f>IF($E$19&lt;O172+(O172*($B$5/$E$19)),$E$19,O172+(O172*($B$5/$E$19)))</f>
        <v>777.23210101776806</v>
      </c>
      <c r="L172" s="18">
        <f t="shared" si="13"/>
        <v>365.59953870856629</v>
      </c>
      <c r="M172" s="18">
        <f t="shared" si="14"/>
        <v>411.63256230920177</v>
      </c>
      <c r="N172" s="8">
        <v>0</v>
      </c>
      <c r="O172" s="18">
        <f t="shared" si="15"/>
        <v>109679.86161256988</v>
      </c>
    </row>
    <row r="173" spans="10:15" x14ac:dyDescent="0.25">
      <c r="J173" s="8">
        <v>170</v>
      </c>
      <c r="K173" s="21">
        <f>IF($E$19&lt;O173+(O173*($B$5/$E$19)),$E$19,O173+(O173*($B$5/$E$19)))</f>
        <v>777.23210101776806</v>
      </c>
      <c r="L173" s="18">
        <f t="shared" si="13"/>
        <v>364.2274301675356</v>
      </c>
      <c r="M173" s="18">
        <f t="shared" si="14"/>
        <v>413.00467085023246</v>
      </c>
      <c r="N173" s="8">
        <v>0</v>
      </c>
      <c r="O173" s="18">
        <f t="shared" si="15"/>
        <v>109268.22905026068</v>
      </c>
    </row>
    <row r="174" spans="10:15" x14ac:dyDescent="0.25">
      <c r="J174" s="8">
        <v>171</v>
      </c>
      <c r="K174" s="21">
        <f>IF($E$19&lt;O174+(O174*($B$5/$E$19)),$E$19,O174+(O174*($B$5/$E$19)))</f>
        <v>777.23210101776806</v>
      </c>
      <c r="L174" s="18">
        <f t="shared" si="13"/>
        <v>362.85074793136818</v>
      </c>
      <c r="M174" s="18">
        <f t="shared" si="14"/>
        <v>414.38135308639988</v>
      </c>
      <c r="N174" s="8">
        <v>0</v>
      </c>
      <c r="O174" s="18">
        <f t="shared" si="15"/>
        <v>108855.22437941044</v>
      </c>
    </row>
    <row r="175" spans="10:15" x14ac:dyDescent="0.25">
      <c r="J175" s="8">
        <v>172</v>
      </c>
      <c r="K175" s="21">
        <f>IF($E$19&lt;O175+(O175*($B$5/$E$19)),$E$19,O175+(O175*($B$5/$E$19)))</f>
        <v>777.23210101776806</v>
      </c>
      <c r="L175" s="18">
        <f t="shared" si="13"/>
        <v>361.46947675441351</v>
      </c>
      <c r="M175" s="18">
        <f t="shared" si="14"/>
        <v>415.76262426335455</v>
      </c>
      <c r="N175" s="8">
        <v>0</v>
      </c>
      <c r="O175" s="18">
        <f t="shared" si="15"/>
        <v>108440.84302632404</v>
      </c>
    </row>
    <row r="176" spans="10:15" x14ac:dyDescent="0.25">
      <c r="J176" s="8">
        <v>173</v>
      </c>
      <c r="K176" s="21">
        <f>IF($E$19&lt;O176+(O176*($B$5/$E$19)),$E$19,O176+(O176*($B$5/$E$19)))</f>
        <v>777.23210101776806</v>
      </c>
      <c r="L176" s="18">
        <f t="shared" si="13"/>
        <v>360.08360134020228</v>
      </c>
      <c r="M176" s="18">
        <f t="shared" si="14"/>
        <v>417.14849967756578</v>
      </c>
      <c r="N176" s="8">
        <v>0</v>
      </c>
      <c r="O176" s="18">
        <f t="shared" si="15"/>
        <v>108025.08040206069</v>
      </c>
    </row>
    <row r="177" spans="10:15" x14ac:dyDescent="0.25">
      <c r="J177" s="8">
        <v>174</v>
      </c>
      <c r="K177" s="21">
        <f>IF($E$19&lt;O177+(O177*($B$5/$E$19)),$E$19,O177+(O177*($B$5/$E$19)))</f>
        <v>777.23210101776806</v>
      </c>
      <c r="L177" s="18">
        <f t="shared" si="13"/>
        <v>358.69310634127709</v>
      </c>
      <c r="M177" s="18">
        <f t="shared" si="14"/>
        <v>418.53899467649097</v>
      </c>
      <c r="N177" s="8">
        <v>0</v>
      </c>
      <c r="O177" s="18">
        <f t="shared" si="15"/>
        <v>107607.93190238312</v>
      </c>
    </row>
    <row r="178" spans="10:15" x14ac:dyDescent="0.25">
      <c r="J178" s="8">
        <v>175</v>
      </c>
      <c r="K178" s="21">
        <f>IF($E$19&lt;O178+(O178*($B$5/$E$19)),$E$19,O178+(O178*($B$5/$E$19)))</f>
        <v>777.23210101776806</v>
      </c>
      <c r="L178" s="18">
        <f t="shared" si="13"/>
        <v>357.29797635902213</v>
      </c>
      <c r="M178" s="18">
        <f t="shared" si="14"/>
        <v>419.93412465874593</v>
      </c>
      <c r="N178" s="8">
        <v>0</v>
      </c>
      <c r="O178" s="18">
        <f t="shared" si="15"/>
        <v>107189.39290770663</v>
      </c>
    </row>
    <row r="179" spans="10:15" x14ac:dyDescent="0.25">
      <c r="J179" s="8">
        <v>176</v>
      </c>
      <c r="K179" s="21">
        <f>IF($E$19&lt;O179+(O179*($B$5/$E$19)),$E$19,O179+(O179*($B$5/$E$19)))</f>
        <v>777.23210101776806</v>
      </c>
      <c r="L179" s="18">
        <f t="shared" si="13"/>
        <v>355.89819594349296</v>
      </c>
      <c r="M179" s="18">
        <f t="shared" si="14"/>
        <v>421.33390507427509</v>
      </c>
      <c r="N179" s="8">
        <v>0</v>
      </c>
      <c r="O179" s="18">
        <f t="shared" si="15"/>
        <v>106769.45878304788</v>
      </c>
    </row>
    <row r="180" spans="10:15" x14ac:dyDescent="0.25">
      <c r="J180" s="8">
        <v>177</v>
      </c>
      <c r="K180" s="21">
        <f>IF($E$19&lt;O180+(O180*($B$5/$E$19)),$E$19,O180+(O180*($B$5/$E$19)))</f>
        <v>777.23210101776806</v>
      </c>
      <c r="L180" s="18">
        <f t="shared" si="13"/>
        <v>354.49374959324535</v>
      </c>
      <c r="M180" s="18">
        <f t="shared" si="14"/>
        <v>422.7383514245227</v>
      </c>
      <c r="N180" s="8">
        <v>0</v>
      </c>
      <c r="O180" s="18">
        <f t="shared" si="15"/>
        <v>106348.12487797361</v>
      </c>
    </row>
    <row r="181" spans="10:15" x14ac:dyDescent="0.25">
      <c r="J181" s="8">
        <v>178</v>
      </c>
      <c r="K181" s="21">
        <f>IF($E$19&lt;O181+(O181*($B$5/$E$19)),$E$19,O181+(O181*($B$5/$E$19)))</f>
        <v>777.23210101776806</v>
      </c>
      <c r="L181" s="18">
        <f t="shared" si="13"/>
        <v>353.08462175516365</v>
      </c>
      <c r="M181" s="18">
        <f t="shared" si="14"/>
        <v>424.14747926260441</v>
      </c>
      <c r="N181" s="8">
        <v>0</v>
      </c>
      <c r="O181" s="18">
        <f t="shared" si="15"/>
        <v>105925.38652654909</v>
      </c>
    </row>
    <row r="182" spans="10:15" x14ac:dyDescent="0.25">
      <c r="J182" s="8">
        <v>179</v>
      </c>
      <c r="K182" s="21">
        <f>IF($E$19&lt;O182+(O182*($B$5/$E$19)),$E$19,O182+(O182*($B$5/$E$19)))</f>
        <v>777.23210101776806</v>
      </c>
      <c r="L182" s="18">
        <f t="shared" si="13"/>
        <v>351.67079682428829</v>
      </c>
      <c r="M182" s="18">
        <f t="shared" si="14"/>
        <v>425.56130419347977</v>
      </c>
      <c r="N182" s="8">
        <v>0</v>
      </c>
      <c r="O182" s="18">
        <f t="shared" si="15"/>
        <v>105501.23904728648</v>
      </c>
    </row>
    <row r="183" spans="10:15" x14ac:dyDescent="0.25">
      <c r="J183" s="8">
        <v>180</v>
      </c>
      <c r="K183" s="21">
        <f>IF($E$19&lt;O183+(O183*($B$5/$E$19)),$E$19,O183+(O183*($B$5/$E$19)))</f>
        <v>777.23210101776806</v>
      </c>
      <c r="L183" s="18">
        <f t="shared" si="13"/>
        <v>350.25225914364336</v>
      </c>
      <c r="M183" s="18">
        <f t="shared" si="14"/>
        <v>426.9798418741247</v>
      </c>
      <c r="N183" s="8">
        <v>0</v>
      </c>
      <c r="O183" s="18">
        <f t="shared" si="15"/>
        <v>105075.67774309299</v>
      </c>
    </row>
    <row r="184" spans="10:15" x14ac:dyDescent="0.25">
      <c r="J184" s="8">
        <v>181</v>
      </c>
      <c r="K184" s="21">
        <f>IF($E$19&lt;O184+(O184*($B$5/$E$19)),$E$19,O184+(O184*($B$5/$E$19)))</f>
        <v>777.23210101776806</v>
      </c>
      <c r="L184" s="18">
        <f t="shared" si="13"/>
        <v>348.82899300406285</v>
      </c>
      <c r="M184" s="18">
        <f t="shared" si="14"/>
        <v>428.40310801370521</v>
      </c>
      <c r="N184" s="8">
        <v>0</v>
      </c>
      <c r="O184" s="18">
        <f t="shared" si="15"/>
        <v>104648.69790121887</v>
      </c>
    </row>
    <row r="185" spans="10:15" x14ac:dyDescent="0.25">
      <c r="J185" s="8">
        <v>182</v>
      </c>
      <c r="K185" s="21">
        <f>IF($E$19&lt;O185+(O185*($B$5/$E$19)),$E$19,O185+(O185*($B$5/$E$19)))</f>
        <v>777.23210101776806</v>
      </c>
      <c r="L185" s="18">
        <f t="shared" si="13"/>
        <v>347.40098264401718</v>
      </c>
      <c r="M185" s="18">
        <f t="shared" si="14"/>
        <v>429.83111837375088</v>
      </c>
      <c r="N185" s="8">
        <v>0</v>
      </c>
      <c r="O185" s="18">
        <f t="shared" si="15"/>
        <v>104220.29479320516</v>
      </c>
    </row>
    <row r="186" spans="10:15" x14ac:dyDescent="0.25">
      <c r="J186" s="8">
        <v>183</v>
      </c>
      <c r="K186" s="21">
        <f>IF($E$19&lt;O186+(O186*($B$5/$E$19)),$E$19,O186+(O186*($B$5/$E$19)))</f>
        <v>777.23210101776806</v>
      </c>
      <c r="L186" s="18">
        <f t="shared" si="13"/>
        <v>345.96821224943801</v>
      </c>
      <c r="M186" s="18">
        <f t="shared" si="14"/>
        <v>431.26388876833005</v>
      </c>
      <c r="N186" s="8">
        <v>0</v>
      </c>
      <c r="O186" s="18">
        <f t="shared" si="15"/>
        <v>103790.46367483141</v>
      </c>
    </row>
    <row r="187" spans="10:15" x14ac:dyDescent="0.25">
      <c r="J187" s="8">
        <v>184</v>
      </c>
      <c r="K187" s="21">
        <f>IF($E$19&lt;O187+(O187*($B$5/$E$19)),$E$19,O187+(O187*($B$5/$E$19)))</f>
        <v>777.23210101776806</v>
      </c>
      <c r="L187" s="18">
        <f t="shared" si="13"/>
        <v>344.53066595354358</v>
      </c>
      <c r="M187" s="18">
        <f t="shared" si="14"/>
        <v>432.70143506422448</v>
      </c>
      <c r="N187" s="8">
        <v>0</v>
      </c>
      <c r="O187" s="18">
        <f t="shared" si="15"/>
        <v>103359.19978606308</v>
      </c>
    </row>
    <row r="188" spans="10:15" x14ac:dyDescent="0.25">
      <c r="J188" s="8">
        <v>185</v>
      </c>
      <c r="K188" s="21">
        <f>IF($E$19&lt;O188+(O188*($B$5/$E$19)),$E$19,O188+(O188*($B$5/$E$19)))</f>
        <v>777.23210101776806</v>
      </c>
      <c r="L188" s="18">
        <f t="shared" si="13"/>
        <v>343.08832783666281</v>
      </c>
      <c r="M188" s="18">
        <f t="shared" si="14"/>
        <v>434.14377318110525</v>
      </c>
      <c r="N188" s="8">
        <v>0</v>
      </c>
      <c r="O188" s="18">
        <f t="shared" si="15"/>
        <v>102926.49835099885</v>
      </c>
    </row>
    <row r="189" spans="10:15" x14ac:dyDescent="0.25">
      <c r="J189" s="8">
        <v>186</v>
      </c>
      <c r="K189" s="21">
        <f>IF($E$19&lt;O189+(O189*($B$5/$E$19)),$E$19,O189+(O189*($B$5/$E$19)))</f>
        <v>777.23210101776806</v>
      </c>
      <c r="L189" s="18">
        <f t="shared" si="13"/>
        <v>341.64118192605912</v>
      </c>
      <c r="M189" s="18">
        <f t="shared" si="14"/>
        <v>435.59091909170894</v>
      </c>
      <c r="N189" s="8">
        <v>0</v>
      </c>
      <c r="O189" s="18">
        <f t="shared" si="15"/>
        <v>102492.35457781775</v>
      </c>
    </row>
    <row r="190" spans="10:15" x14ac:dyDescent="0.25">
      <c r="J190" s="8">
        <v>187</v>
      </c>
      <c r="K190" s="21">
        <f>IF($E$19&lt;O190+(O190*($B$5/$E$19)),$E$19,O190+(O190*($B$5/$E$19)))</f>
        <v>777.23210101776806</v>
      </c>
      <c r="L190" s="18">
        <f t="shared" si="13"/>
        <v>340.18921219575344</v>
      </c>
      <c r="M190" s="18">
        <f t="shared" si="14"/>
        <v>437.04288882201462</v>
      </c>
      <c r="N190" s="8">
        <v>0</v>
      </c>
      <c r="O190" s="18">
        <f t="shared" si="15"/>
        <v>102056.76365872603</v>
      </c>
    </row>
    <row r="191" spans="10:15" x14ac:dyDescent="0.25">
      <c r="J191" s="8">
        <v>188</v>
      </c>
      <c r="K191" s="21">
        <f>IF($E$19&lt;O191+(O191*($B$5/$E$19)),$E$19,O191+(O191*($B$5/$E$19)))</f>
        <v>777.23210101776806</v>
      </c>
      <c r="L191" s="18">
        <f t="shared" si="13"/>
        <v>338.73240256634671</v>
      </c>
      <c r="M191" s="18">
        <f t="shared" si="14"/>
        <v>438.49969845142135</v>
      </c>
      <c r="N191" s="8">
        <v>0</v>
      </c>
      <c r="O191" s="18">
        <f t="shared" si="15"/>
        <v>101619.72076990402</v>
      </c>
    </row>
    <row r="192" spans="10:15" x14ac:dyDescent="0.25">
      <c r="J192" s="8">
        <v>189</v>
      </c>
      <c r="K192" s="21">
        <f>IF($E$19&lt;O192+(O192*($B$5/$E$19)),$E$19,O192+(O192*($B$5/$E$19)))</f>
        <v>777.23210101776806</v>
      </c>
      <c r="L192" s="18">
        <f t="shared" si="13"/>
        <v>337.27073690484201</v>
      </c>
      <c r="M192" s="18">
        <f t="shared" si="14"/>
        <v>439.96136411292605</v>
      </c>
      <c r="N192" s="8">
        <v>0</v>
      </c>
      <c r="O192" s="18">
        <f t="shared" si="15"/>
        <v>101181.2210714526</v>
      </c>
    </row>
    <row r="193" spans="10:15" x14ac:dyDescent="0.25">
      <c r="J193" s="8">
        <v>190</v>
      </c>
      <c r="K193" s="21">
        <f>IF($E$19&lt;O193+(O193*($B$5/$E$19)),$E$19,O193+(O193*($B$5/$E$19)))</f>
        <v>777.23210101776806</v>
      </c>
      <c r="L193" s="18">
        <f t="shared" si="13"/>
        <v>335.80419902446562</v>
      </c>
      <c r="M193" s="18">
        <f t="shared" si="14"/>
        <v>441.42790199330244</v>
      </c>
      <c r="N193" s="8">
        <v>0</v>
      </c>
      <c r="O193" s="18">
        <f t="shared" si="15"/>
        <v>100741.25970733968</v>
      </c>
    </row>
    <row r="194" spans="10:15" x14ac:dyDescent="0.25">
      <c r="J194" s="8">
        <v>191</v>
      </c>
      <c r="K194" s="21">
        <f>IF($E$19&lt;O194+(O194*($B$5/$E$19)),$E$19,O194+(O194*($B$5/$E$19)))</f>
        <v>777.23210101776806</v>
      </c>
      <c r="L194" s="18">
        <f t="shared" si="13"/>
        <v>334.33277268448791</v>
      </c>
      <c r="M194" s="18">
        <f t="shared" si="14"/>
        <v>442.89932833328015</v>
      </c>
      <c r="N194" s="8">
        <v>0</v>
      </c>
      <c r="O194" s="18">
        <f t="shared" si="15"/>
        <v>100299.83180534637</v>
      </c>
    </row>
    <row r="195" spans="10:15" x14ac:dyDescent="0.25">
      <c r="J195" s="8">
        <v>192</v>
      </c>
      <c r="K195" s="21">
        <f>IF($E$19&lt;O195+(O195*($B$5/$E$19)),$E$19,O195+(O195*($B$5/$E$19)))</f>
        <v>777.23210101776806</v>
      </c>
      <c r="L195" s="18">
        <f t="shared" ref="L195:L258" si="16">O195*$B$5/$B$4</f>
        <v>332.85644159004363</v>
      </c>
      <c r="M195" s="18">
        <f t="shared" si="14"/>
        <v>444.37565942772443</v>
      </c>
      <c r="N195" s="8">
        <v>0</v>
      </c>
      <c r="O195" s="18">
        <f t="shared" si="15"/>
        <v>99856.932477013092</v>
      </c>
    </row>
    <row r="196" spans="10:15" x14ac:dyDescent="0.25">
      <c r="J196" s="8">
        <v>193</v>
      </c>
      <c r="K196" s="21">
        <f>IF($E$19&lt;O196+(O196*($B$5/$E$19)),$E$19,O196+(O196*($B$5/$E$19)))</f>
        <v>777.23210101776806</v>
      </c>
      <c r="L196" s="18">
        <f t="shared" si="16"/>
        <v>331.37518939195121</v>
      </c>
      <c r="M196" s="18">
        <f t="shared" si="14"/>
        <v>445.85691162581685</v>
      </c>
      <c r="N196" s="8">
        <v>0</v>
      </c>
      <c r="O196" s="18">
        <f t="shared" si="15"/>
        <v>99412.55681758537</v>
      </c>
    </row>
    <row r="197" spans="10:15" x14ac:dyDescent="0.25">
      <c r="J197" s="8">
        <v>194</v>
      </c>
      <c r="K197" s="21">
        <f>IF($E$19&lt;O197+(O197*($B$5/$E$19)),$E$19,O197+(O197*($B$5/$E$19)))</f>
        <v>777.23210101776806</v>
      </c>
      <c r="L197" s="18">
        <f t="shared" si="16"/>
        <v>329.88899968653186</v>
      </c>
      <c r="M197" s="18">
        <f t="shared" ref="M197:M260" si="17">K197-L197</f>
        <v>447.3431013312362</v>
      </c>
      <c r="N197" s="8">
        <v>0</v>
      </c>
      <c r="O197" s="18">
        <f t="shared" ref="O197:O260" si="18">O196-M196-N196</f>
        <v>98966.699905959555</v>
      </c>
    </row>
    <row r="198" spans="10:15" x14ac:dyDescent="0.25">
      <c r="J198" s="8">
        <v>195</v>
      </c>
      <c r="K198" s="21">
        <f>IF($E$19&lt;O198+(O198*($B$5/$E$19)),$E$19,O198+(O198*($B$5/$E$19)))</f>
        <v>777.23210101776806</v>
      </c>
      <c r="L198" s="18">
        <f t="shared" si="16"/>
        <v>328.39785601542775</v>
      </c>
      <c r="M198" s="18">
        <f t="shared" si="17"/>
        <v>448.83424500234031</v>
      </c>
      <c r="N198" s="8">
        <v>0</v>
      </c>
      <c r="O198" s="18">
        <f t="shared" si="18"/>
        <v>98519.356804628318</v>
      </c>
    </row>
    <row r="199" spans="10:15" x14ac:dyDescent="0.25">
      <c r="J199" s="8">
        <v>196</v>
      </c>
      <c r="K199" s="21">
        <f>IF($E$19&lt;O199+(O199*($B$5/$E$19)),$E$19,O199+(O199*($B$5/$E$19)))</f>
        <v>777.23210101776806</v>
      </c>
      <c r="L199" s="18">
        <f t="shared" si="16"/>
        <v>326.90174186541998</v>
      </c>
      <c r="M199" s="18">
        <f t="shared" si="17"/>
        <v>450.33035915234808</v>
      </c>
      <c r="N199" s="8">
        <v>0</v>
      </c>
      <c r="O199" s="18">
        <f t="shared" si="18"/>
        <v>98070.522559625984</v>
      </c>
    </row>
    <row r="200" spans="10:15" x14ac:dyDescent="0.25">
      <c r="J200" s="8">
        <v>197</v>
      </c>
      <c r="K200" s="21">
        <f>IF($E$19&lt;O200+(O200*($B$5/$E$19)),$E$19,O200+(O200*($B$5/$E$19)))</f>
        <v>777.23210101776806</v>
      </c>
      <c r="L200" s="18">
        <f t="shared" si="16"/>
        <v>325.40064066824544</v>
      </c>
      <c r="M200" s="18">
        <f t="shared" si="17"/>
        <v>451.83146034952262</v>
      </c>
      <c r="N200" s="8">
        <v>0</v>
      </c>
      <c r="O200" s="18">
        <f t="shared" si="18"/>
        <v>97620.192200473641</v>
      </c>
    </row>
    <row r="201" spans="10:15" x14ac:dyDescent="0.25">
      <c r="J201" s="8">
        <v>198</v>
      </c>
      <c r="K201" s="21">
        <f>IF($E$19&lt;O201+(O201*($B$5/$E$19)),$E$19,O201+(O201*($B$5/$E$19)))</f>
        <v>777.23210101776806</v>
      </c>
      <c r="L201" s="18">
        <f t="shared" si="16"/>
        <v>323.89453580041373</v>
      </c>
      <c r="M201" s="18">
        <f t="shared" si="17"/>
        <v>453.33756521735432</v>
      </c>
      <c r="N201" s="8">
        <v>0</v>
      </c>
      <c r="O201" s="18">
        <f t="shared" si="18"/>
        <v>97168.360740124117</v>
      </c>
    </row>
    <row r="202" spans="10:15" x14ac:dyDescent="0.25">
      <c r="J202" s="8">
        <v>199</v>
      </c>
      <c r="K202" s="21">
        <f>IF($E$19&lt;O202+(O202*($B$5/$E$19)),$E$19,O202+(O202*($B$5/$E$19)))</f>
        <v>777.23210101776806</v>
      </c>
      <c r="L202" s="18">
        <f t="shared" si="16"/>
        <v>322.38341058302257</v>
      </c>
      <c r="M202" s="18">
        <f t="shared" si="17"/>
        <v>454.84869043474549</v>
      </c>
      <c r="N202" s="8">
        <v>0</v>
      </c>
      <c r="O202" s="18">
        <f t="shared" si="18"/>
        <v>96715.023174906761</v>
      </c>
    </row>
    <row r="203" spans="10:15" x14ac:dyDescent="0.25">
      <c r="J203" s="8">
        <v>200</v>
      </c>
      <c r="K203" s="21">
        <f>IF($E$19&lt;O203+(O203*($B$5/$E$19)),$E$19,O203+(O203*($B$5/$E$19)))</f>
        <v>777.23210101776806</v>
      </c>
      <c r="L203" s="18">
        <f t="shared" si="16"/>
        <v>320.86724828157338</v>
      </c>
      <c r="M203" s="18">
        <f t="shared" si="17"/>
        <v>456.36485273619468</v>
      </c>
      <c r="N203" s="8">
        <v>0</v>
      </c>
      <c r="O203" s="18">
        <f t="shared" si="18"/>
        <v>96260.174484472009</v>
      </c>
    </row>
    <row r="204" spans="10:15" x14ac:dyDescent="0.25">
      <c r="J204" s="8">
        <v>201</v>
      </c>
      <c r="K204" s="21">
        <f>IF($E$19&lt;O204+(O204*($B$5/$E$19)),$E$19,O204+(O204*($B$5/$E$19)))</f>
        <v>777.23210101776806</v>
      </c>
      <c r="L204" s="18">
        <f t="shared" si="16"/>
        <v>319.34603210578604</v>
      </c>
      <c r="M204" s="18">
        <f t="shared" si="17"/>
        <v>457.88606891198202</v>
      </c>
      <c r="N204" s="8">
        <v>0</v>
      </c>
      <c r="O204" s="18">
        <f t="shared" si="18"/>
        <v>95803.809631735814</v>
      </c>
    </row>
    <row r="205" spans="10:15" x14ac:dyDescent="0.25">
      <c r="J205" s="8">
        <v>202</v>
      </c>
      <c r="K205" s="21">
        <f>IF($E$19&lt;O205+(O205*($B$5/$E$19)),$E$19,O205+(O205*($B$5/$E$19)))</f>
        <v>777.23210101776806</v>
      </c>
      <c r="L205" s="18">
        <f t="shared" si="16"/>
        <v>317.81974520941282</v>
      </c>
      <c r="M205" s="18">
        <f t="shared" si="17"/>
        <v>459.41235580835524</v>
      </c>
      <c r="N205" s="8">
        <v>0</v>
      </c>
      <c r="O205" s="18">
        <f t="shared" si="18"/>
        <v>95345.923562823838</v>
      </c>
    </row>
    <row r="206" spans="10:15" x14ac:dyDescent="0.25">
      <c r="J206" s="8">
        <v>203</v>
      </c>
      <c r="K206" s="21">
        <f>IF($E$19&lt;O206+(O206*($B$5/$E$19)),$E$19,O206+(O206*($B$5/$E$19)))</f>
        <v>777.23210101776806</v>
      </c>
      <c r="L206" s="18">
        <f t="shared" si="16"/>
        <v>316.28837069005164</v>
      </c>
      <c r="M206" s="18">
        <f t="shared" si="17"/>
        <v>460.94373032771642</v>
      </c>
      <c r="N206" s="8">
        <v>0</v>
      </c>
      <c r="O206" s="18">
        <f t="shared" si="18"/>
        <v>94886.511207015486</v>
      </c>
    </row>
    <row r="207" spans="10:15" x14ac:dyDescent="0.25">
      <c r="J207" s="8">
        <v>204</v>
      </c>
      <c r="K207" s="21">
        <f>IF($E$19&lt;O207+(O207*($B$5/$E$19)),$E$19,O207+(O207*($B$5/$E$19)))</f>
        <v>777.23210101776806</v>
      </c>
      <c r="L207" s="18">
        <f t="shared" si="16"/>
        <v>314.75189158895921</v>
      </c>
      <c r="M207" s="18">
        <f t="shared" si="17"/>
        <v>462.48020942880885</v>
      </c>
      <c r="N207" s="8">
        <v>0</v>
      </c>
      <c r="O207" s="18">
        <f t="shared" si="18"/>
        <v>94425.567476687764</v>
      </c>
    </row>
    <row r="208" spans="10:15" x14ac:dyDescent="0.25">
      <c r="J208" s="8">
        <v>205</v>
      </c>
      <c r="K208" s="21">
        <f>IF($E$19&lt;O208+(O208*($B$5/$E$19)),$E$19,O208+(O208*($B$5/$E$19)))</f>
        <v>777.23210101776806</v>
      </c>
      <c r="L208" s="18">
        <f t="shared" si="16"/>
        <v>313.21029089086318</v>
      </c>
      <c r="M208" s="18">
        <f t="shared" si="17"/>
        <v>464.02181012690488</v>
      </c>
      <c r="N208" s="8">
        <v>0</v>
      </c>
      <c r="O208" s="18">
        <f t="shared" si="18"/>
        <v>93963.087267258961</v>
      </c>
    </row>
    <row r="209" spans="10:15" x14ac:dyDescent="0.25">
      <c r="J209" s="8">
        <v>206</v>
      </c>
      <c r="K209" s="21">
        <f>IF($E$19&lt;O209+(O209*($B$5/$E$19)),$E$19,O209+(O209*($B$5/$E$19)))</f>
        <v>777.23210101776806</v>
      </c>
      <c r="L209" s="18">
        <f t="shared" si="16"/>
        <v>311.66355152377355</v>
      </c>
      <c r="M209" s="18">
        <f t="shared" si="17"/>
        <v>465.56854949399451</v>
      </c>
      <c r="N209" s="8">
        <v>0</v>
      </c>
      <c r="O209" s="18">
        <f t="shared" si="18"/>
        <v>93499.065457132063</v>
      </c>
    </row>
    <row r="210" spans="10:15" x14ac:dyDescent="0.25">
      <c r="J210" s="8">
        <v>207</v>
      </c>
      <c r="K210" s="21">
        <f>IF($E$19&lt;O210+(O210*($B$5/$E$19)),$E$19,O210+(O210*($B$5/$E$19)))</f>
        <v>777.23210101776806</v>
      </c>
      <c r="L210" s="18">
        <f t="shared" si="16"/>
        <v>310.1116563587936</v>
      </c>
      <c r="M210" s="18">
        <f t="shared" si="17"/>
        <v>467.12044465897446</v>
      </c>
      <c r="N210" s="8">
        <v>0</v>
      </c>
      <c r="O210" s="18">
        <f t="shared" si="18"/>
        <v>93033.496907638066</v>
      </c>
    </row>
    <row r="211" spans="10:15" x14ac:dyDescent="0.25">
      <c r="J211" s="8">
        <v>208</v>
      </c>
      <c r="K211" s="21">
        <f>IF($E$19&lt;O211+(O211*($B$5/$E$19)),$E$19,O211+(O211*($B$5/$E$19)))</f>
        <v>777.23210101776806</v>
      </c>
      <c r="L211" s="18">
        <f t="shared" si="16"/>
        <v>308.55458820993033</v>
      </c>
      <c r="M211" s="18">
        <f t="shared" si="17"/>
        <v>468.67751280783773</v>
      </c>
      <c r="N211" s="8">
        <v>0</v>
      </c>
      <c r="O211" s="18">
        <f t="shared" si="18"/>
        <v>92566.376462979097</v>
      </c>
    </row>
    <row r="212" spans="10:15" x14ac:dyDescent="0.25">
      <c r="J212" s="8">
        <v>209</v>
      </c>
      <c r="K212" s="21">
        <f>IF($E$19&lt;O212+(O212*($B$5/$E$19)),$E$19,O212+(O212*($B$5/$E$19)))</f>
        <v>777.23210101776806</v>
      </c>
      <c r="L212" s="18">
        <f t="shared" si="16"/>
        <v>306.99232983390419</v>
      </c>
      <c r="M212" s="18">
        <f t="shared" si="17"/>
        <v>470.23977118386387</v>
      </c>
      <c r="N212" s="8">
        <v>0</v>
      </c>
      <c r="O212" s="18">
        <f t="shared" si="18"/>
        <v>92097.698950171252</v>
      </c>
    </row>
    <row r="213" spans="10:15" x14ac:dyDescent="0.25">
      <c r="J213" s="8">
        <v>210</v>
      </c>
      <c r="K213" s="21">
        <f>IF($E$19&lt;O213+(O213*($B$5/$E$19)),$E$19,O213+(O213*($B$5/$E$19)))</f>
        <v>777.23210101776806</v>
      </c>
      <c r="L213" s="18">
        <f t="shared" si="16"/>
        <v>305.42486392995801</v>
      </c>
      <c r="M213" s="18">
        <f t="shared" si="17"/>
        <v>471.80723708781005</v>
      </c>
      <c r="N213" s="8">
        <v>0</v>
      </c>
      <c r="O213" s="18">
        <f t="shared" si="18"/>
        <v>91627.459178987396</v>
      </c>
    </row>
    <row r="214" spans="10:15" x14ac:dyDescent="0.25">
      <c r="J214" s="8">
        <v>211</v>
      </c>
      <c r="K214" s="21">
        <f>IF($E$19&lt;O214+(O214*($B$5/$E$19)),$E$19,O214+(O214*($B$5/$E$19)))</f>
        <v>777.23210101776806</v>
      </c>
      <c r="L214" s="18">
        <f t="shared" si="16"/>
        <v>303.8521731396653</v>
      </c>
      <c r="M214" s="18">
        <f t="shared" si="17"/>
        <v>473.37992787810276</v>
      </c>
      <c r="N214" s="8">
        <v>0</v>
      </c>
      <c r="O214" s="18">
        <f t="shared" si="18"/>
        <v>91155.651941899589</v>
      </c>
    </row>
    <row r="215" spans="10:15" x14ac:dyDescent="0.25">
      <c r="J215" s="8">
        <v>212</v>
      </c>
      <c r="K215" s="21">
        <f>IF($E$19&lt;O215+(O215*($B$5/$E$19)),$E$19,O215+(O215*($B$5/$E$19)))</f>
        <v>777.23210101776806</v>
      </c>
      <c r="L215" s="18">
        <f t="shared" si="16"/>
        <v>302.27424004673827</v>
      </c>
      <c r="M215" s="18">
        <f t="shared" si="17"/>
        <v>474.95786097102979</v>
      </c>
      <c r="N215" s="8">
        <v>0</v>
      </c>
      <c r="O215" s="18">
        <f t="shared" si="18"/>
        <v>90682.272014021481</v>
      </c>
    </row>
    <row r="216" spans="10:15" x14ac:dyDescent="0.25">
      <c r="J216" s="8">
        <v>213</v>
      </c>
      <c r="K216" s="21">
        <f>IF($E$19&lt;O216+(O216*($B$5/$E$19)),$E$19,O216+(O216*($B$5/$E$19)))</f>
        <v>777.23210101776806</v>
      </c>
      <c r="L216" s="18">
        <f t="shared" si="16"/>
        <v>300.69104717683484</v>
      </c>
      <c r="M216" s="18">
        <f t="shared" si="17"/>
        <v>476.54105384093322</v>
      </c>
      <c r="N216" s="8">
        <v>0</v>
      </c>
      <c r="O216" s="18">
        <f t="shared" si="18"/>
        <v>90207.314153050451</v>
      </c>
    </row>
    <row r="217" spans="10:15" x14ac:dyDescent="0.25">
      <c r="J217" s="8">
        <v>214</v>
      </c>
      <c r="K217" s="21">
        <f>IF($E$19&lt;O217+(O217*($B$5/$E$19)),$E$19,O217+(O217*($B$5/$E$19)))</f>
        <v>777.23210101776806</v>
      </c>
      <c r="L217" s="18">
        <f t="shared" si="16"/>
        <v>299.10257699736508</v>
      </c>
      <c r="M217" s="18">
        <f t="shared" si="17"/>
        <v>478.12952402040298</v>
      </c>
      <c r="N217" s="8">
        <v>0</v>
      </c>
      <c r="O217" s="18">
        <f t="shared" si="18"/>
        <v>89730.773099209517</v>
      </c>
    </row>
    <row r="218" spans="10:15" x14ac:dyDescent="0.25">
      <c r="J218" s="8">
        <v>215</v>
      </c>
      <c r="K218" s="21">
        <f>IF($E$19&lt;O218+(O218*($B$5/$E$19)),$E$19,O218+(O218*($B$5/$E$19)))</f>
        <v>777.23210101776806</v>
      </c>
      <c r="L218" s="18">
        <f t="shared" si="16"/>
        <v>297.50881191729701</v>
      </c>
      <c r="M218" s="18">
        <f t="shared" si="17"/>
        <v>479.72328910047105</v>
      </c>
      <c r="N218" s="8">
        <v>0</v>
      </c>
      <c r="O218" s="18">
        <f t="shared" si="18"/>
        <v>89252.643575189111</v>
      </c>
    </row>
    <row r="219" spans="10:15" x14ac:dyDescent="0.25">
      <c r="J219" s="8">
        <v>216</v>
      </c>
      <c r="K219" s="21">
        <f>IF($E$19&lt;O219+(O219*($B$5/$E$19)),$E$19,O219+(O219*($B$5/$E$19)))</f>
        <v>777.23210101776806</v>
      </c>
      <c r="L219" s="18">
        <f t="shared" si="16"/>
        <v>295.90973428696213</v>
      </c>
      <c r="M219" s="18">
        <f t="shared" si="17"/>
        <v>481.32236673080592</v>
      </c>
      <c r="N219" s="8">
        <v>0</v>
      </c>
      <c r="O219" s="18">
        <f t="shared" si="18"/>
        <v>88772.920286088643</v>
      </c>
    </row>
    <row r="220" spans="10:15" x14ac:dyDescent="0.25">
      <c r="J220" s="8">
        <v>217</v>
      </c>
      <c r="K220" s="21">
        <f>IF($E$19&lt;O220+(O220*($B$5/$E$19)),$E$19,O220+(O220*($B$5/$E$19)))</f>
        <v>777.23210101776806</v>
      </c>
      <c r="L220" s="18">
        <f t="shared" si="16"/>
        <v>294.30532639785946</v>
      </c>
      <c r="M220" s="18">
        <f t="shared" si="17"/>
        <v>482.9267746199086</v>
      </c>
      <c r="N220" s="8">
        <v>0</v>
      </c>
      <c r="O220" s="18">
        <f t="shared" si="18"/>
        <v>88291.597919357839</v>
      </c>
    </row>
    <row r="221" spans="10:15" x14ac:dyDescent="0.25">
      <c r="J221" s="8">
        <v>218</v>
      </c>
      <c r="K221" s="21">
        <f>IF($E$19&lt;O221+(O221*($B$5/$E$19)),$E$19,O221+(O221*($B$5/$E$19)))</f>
        <v>777.23210101776806</v>
      </c>
      <c r="L221" s="18">
        <f t="shared" si="16"/>
        <v>292.6955704824598</v>
      </c>
      <c r="M221" s="18">
        <f t="shared" si="17"/>
        <v>484.53653053530826</v>
      </c>
      <c r="N221" s="8">
        <v>0</v>
      </c>
      <c r="O221" s="18">
        <f t="shared" si="18"/>
        <v>87808.671144737935</v>
      </c>
    </row>
    <row r="222" spans="10:15" x14ac:dyDescent="0.25">
      <c r="J222" s="8">
        <v>219</v>
      </c>
      <c r="K222" s="21">
        <f>IF($E$19&lt;O222+(O222*($B$5/$E$19)),$E$19,O222+(O222*($B$5/$E$19)))</f>
        <v>777.23210101776806</v>
      </c>
      <c r="L222" s="18">
        <f t="shared" si="16"/>
        <v>291.08044871400881</v>
      </c>
      <c r="M222" s="18">
        <f t="shared" si="17"/>
        <v>486.15165230375925</v>
      </c>
      <c r="N222" s="8">
        <v>0</v>
      </c>
      <c r="O222" s="18">
        <f t="shared" si="18"/>
        <v>87324.13461420263</v>
      </c>
    </row>
    <row r="223" spans="10:15" x14ac:dyDescent="0.25">
      <c r="J223" s="8">
        <v>220</v>
      </c>
      <c r="K223" s="21">
        <f>IF($E$19&lt;O223+(O223*($B$5/$E$19)),$E$19,O223+(O223*($B$5/$E$19)))</f>
        <v>777.23210101776806</v>
      </c>
      <c r="L223" s="18">
        <f t="shared" si="16"/>
        <v>289.45994320632957</v>
      </c>
      <c r="M223" s="18">
        <f t="shared" si="17"/>
        <v>487.77215781143849</v>
      </c>
      <c r="N223" s="8">
        <v>0</v>
      </c>
      <c r="O223" s="18">
        <f t="shared" si="18"/>
        <v>86837.982961898873</v>
      </c>
    </row>
    <row r="224" spans="10:15" x14ac:dyDescent="0.25">
      <c r="J224" s="8">
        <v>221</v>
      </c>
      <c r="K224" s="21">
        <f>IF($E$19&lt;O224+(O224*($B$5/$E$19)),$E$19,O224+(O224*($B$5/$E$19)))</f>
        <v>777.23210101776806</v>
      </c>
      <c r="L224" s="18">
        <f t="shared" si="16"/>
        <v>287.83403601362477</v>
      </c>
      <c r="M224" s="18">
        <f t="shared" si="17"/>
        <v>489.39806500414329</v>
      </c>
      <c r="N224" s="8">
        <v>0</v>
      </c>
      <c r="O224" s="18">
        <f t="shared" si="18"/>
        <v>86350.21080408743</v>
      </c>
    </row>
    <row r="225" spans="10:15" x14ac:dyDescent="0.25">
      <c r="J225" s="8">
        <v>222</v>
      </c>
      <c r="K225" s="21">
        <f>IF($E$19&lt;O225+(O225*($B$5/$E$19)),$E$19,O225+(O225*($B$5/$E$19)))</f>
        <v>777.23210101776806</v>
      </c>
      <c r="L225" s="18">
        <f t="shared" si="16"/>
        <v>286.20270913027758</v>
      </c>
      <c r="M225" s="18">
        <f t="shared" si="17"/>
        <v>491.02939188749048</v>
      </c>
      <c r="N225" s="8">
        <v>0</v>
      </c>
      <c r="O225" s="18">
        <f t="shared" si="18"/>
        <v>85860.812739083281</v>
      </c>
    </row>
    <row r="226" spans="10:15" x14ac:dyDescent="0.25">
      <c r="J226" s="8">
        <v>223</v>
      </c>
      <c r="K226" s="21">
        <f>IF($E$19&lt;O226+(O226*($B$5/$E$19)),$E$19,O226+(O226*($B$5/$E$19)))</f>
        <v>777.23210101776806</v>
      </c>
      <c r="L226" s="18">
        <f t="shared" si="16"/>
        <v>284.56594449065261</v>
      </c>
      <c r="M226" s="18">
        <f t="shared" si="17"/>
        <v>492.66615652711545</v>
      </c>
      <c r="N226" s="8">
        <v>0</v>
      </c>
      <c r="O226" s="18">
        <f t="shared" si="18"/>
        <v>85369.783347195786</v>
      </c>
    </row>
    <row r="227" spans="10:15" x14ac:dyDescent="0.25">
      <c r="J227" s="8">
        <v>224</v>
      </c>
      <c r="K227" s="21">
        <f>IF($E$19&lt;O227+(O227*($B$5/$E$19)),$E$19,O227+(O227*($B$5/$E$19)))</f>
        <v>777.23210101776806</v>
      </c>
      <c r="L227" s="18">
        <f t="shared" si="16"/>
        <v>282.92372396889556</v>
      </c>
      <c r="M227" s="18">
        <f t="shared" si="17"/>
        <v>494.3083770488725</v>
      </c>
      <c r="N227" s="8">
        <v>0</v>
      </c>
      <c r="O227" s="18">
        <f t="shared" si="18"/>
        <v>84877.117190668665</v>
      </c>
    </row>
    <row r="228" spans="10:15" x14ac:dyDescent="0.25">
      <c r="J228" s="8">
        <v>225</v>
      </c>
      <c r="K228" s="21">
        <f>IF($E$19&lt;O228+(O228*($B$5/$E$19)),$E$19,O228+(O228*($B$5/$E$19)))</f>
        <v>777.23210101776806</v>
      </c>
      <c r="L228" s="18">
        <f t="shared" si="16"/>
        <v>281.27602937873263</v>
      </c>
      <c r="M228" s="18">
        <f t="shared" si="17"/>
        <v>495.95607163903543</v>
      </c>
      <c r="N228" s="8">
        <v>0</v>
      </c>
      <c r="O228" s="18">
        <f t="shared" si="18"/>
        <v>84382.808813619791</v>
      </c>
    </row>
    <row r="229" spans="10:15" x14ac:dyDescent="0.25">
      <c r="J229" s="8">
        <v>226</v>
      </c>
      <c r="K229" s="21">
        <f>IF($E$19&lt;O229+(O229*($B$5/$E$19)),$E$19,O229+(O229*($B$5/$E$19)))</f>
        <v>777.23210101776806</v>
      </c>
      <c r="L229" s="18">
        <f t="shared" si="16"/>
        <v>279.62284247326915</v>
      </c>
      <c r="M229" s="18">
        <f t="shared" si="17"/>
        <v>497.60925854449891</v>
      </c>
      <c r="N229" s="8">
        <v>0</v>
      </c>
      <c r="O229" s="18">
        <f t="shared" si="18"/>
        <v>83886.852741980751</v>
      </c>
    </row>
    <row r="230" spans="10:15" x14ac:dyDescent="0.25">
      <c r="J230" s="8">
        <v>227</v>
      </c>
      <c r="K230" s="21">
        <f>IF($E$19&lt;O230+(O230*($B$5/$E$19)),$E$19,O230+(O230*($B$5/$E$19)))</f>
        <v>777.23210101776806</v>
      </c>
      <c r="L230" s="18">
        <f t="shared" si="16"/>
        <v>277.96414494478751</v>
      </c>
      <c r="M230" s="18">
        <f t="shared" si="17"/>
        <v>499.26795607298055</v>
      </c>
      <c r="N230" s="8">
        <v>0</v>
      </c>
      <c r="O230" s="18">
        <f t="shared" si="18"/>
        <v>83389.24348343625</v>
      </c>
    </row>
    <row r="231" spans="10:15" x14ac:dyDescent="0.25">
      <c r="J231" s="8">
        <v>228</v>
      </c>
      <c r="K231" s="21">
        <f>IF($E$19&lt;O231+(O231*($B$5/$E$19)),$E$19,O231+(O231*($B$5/$E$19)))</f>
        <v>777.23210101776806</v>
      </c>
      <c r="L231" s="18">
        <f t="shared" si="16"/>
        <v>276.29991842454427</v>
      </c>
      <c r="M231" s="18">
        <f t="shared" si="17"/>
        <v>500.93218259322379</v>
      </c>
      <c r="N231" s="8">
        <v>0</v>
      </c>
      <c r="O231" s="18">
        <f t="shared" si="18"/>
        <v>82889.975527363276</v>
      </c>
    </row>
    <row r="232" spans="10:15" x14ac:dyDescent="0.25">
      <c r="J232" s="8">
        <v>229</v>
      </c>
      <c r="K232" s="21">
        <f>IF($E$19&lt;O232+(O232*($B$5/$E$19)),$E$19,O232+(O232*($B$5/$E$19)))</f>
        <v>777.23210101776806</v>
      </c>
      <c r="L232" s="18">
        <f t="shared" si="16"/>
        <v>274.63014448256683</v>
      </c>
      <c r="M232" s="18">
        <f t="shared" si="17"/>
        <v>502.60195653520123</v>
      </c>
      <c r="N232" s="8">
        <v>0</v>
      </c>
      <c r="O232" s="18">
        <f t="shared" si="18"/>
        <v>82389.043344770049</v>
      </c>
    </row>
    <row r="233" spans="10:15" x14ac:dyDescent="0.25">
      <c r="J233" s="8">
        <v>230</v>
      </c>
      <c r="K233" s="21">
        <f>IF($E$19&lt;O233+(O233*($B$5/$E$19)),$E$19,O233+(O233*($B$5/$E$19)))</f>
        <v>777.23210101776806</v>
      </c>
      <c r="L233" s="18">
        <f t="shared" si="16"/>
        <v>272.95480462744951</v>
      </c>
      <c r="M233" s="18">
        <f t="shared" si="17"/>
        <v>504.27729639031855</v>
      </c>
      <c r="N233" s="8">
        <v>0</v>
      </c>
      <c r="O233" s="18">
        <f t="shared" si="18"/>
        <v>81886.441388234845</v>
      </c>
    </row>
    <row r="234" spans="10:15" x14ac:dyDescent="0.25">
      <c r="J234" s="8">
        <v>231</v>
      </c>
      <c r="K234" s="21">
        <f>IF($E$19&lt;O234+(O234*($B$5/$E$19)),$E$19,O234+(O234*($B$5/$E$19)))</f>
        <v>777.23210101776806</v>
      </c>
      <c r="L234" s="18">
        <f t="shared" si="16"/>
        <v>271.27388030614844</v>
      </c>
      <c r="M234" s="18">
        <f t="shared" si="17"/>
        <v>505.95822071161962</v>
      </c>
      <c r="N234" s="8">
        <v>0</v>
      </c>
      <c r="O234" s="18">
        <f t="shared" si="18"/>
        <v>81382.164091844534</v>
      </c>
    </row>
    <row r="235" spans="10:15" x14ac:dyDescent="0.25">
      <c r="J235" s="8">
        <v>232</v>
      </c>
      <c r="K235" s="21">
        <f>IF($E$19&lt;O235+(O235*($B$5/$E$19)),$E$19,O235+(O235*($B$5/$E$19)))</f>
        <v>777.23210101776806</v>
      </c>
      <c r="L235" s="18">
        <f t="shared" si="16"/>
        <v>269.58735290377638</v>
      </c>
      <c r="M235" s="18">
        <f t="shared" si="17"/>
        <v>507.64474811399168</v>
      </c>
      <c r="N235" s="8">
        <v>0</v>
      </c>
      <c r="O235" s="18">
        <f t="shared" si="18"/>
        <v>80876.205871132915</v>
      </c>
    </row>
    <row r="236" spans="10:15" x14ac:dyDescent="0.25">
      <c r="J236" s="8">
        <v>233</v>
      </c>
      <c r="K236" s="21">
        <f>IF($E$19&lt;O236+(O236*($B$5/$E$19)),$E$19,O236+(O236*($B$5/$E$19)))</f>
        <v>777.23210101776806</v>
      </c>
      <c r="L236" s="18">
        <f t="shared" si="16"/>
        <v>267.89520374339639</v>
      </c>
      <c r="M236" s="18">
        <f t="shared" si="17"/>
        <v>509.33689727437167</v>
      </c>
      <c r="N236" s="8">
        <v>0</v>
      </c>
      <c r="O236" s="18">
        <f t="shared" si="18"/>
        <v>80368.561123018924</v>
      </c>
    </row>
    <row r="237" spans="10:15" x14ac:dyDescent="0.25">
      <c r="J237" s="8">
        <v>234</v>
      </c>
      <c r="K237" s="21">
        <f>IF($E$19&lt;O237+(O237*($B$5/$E$19)),$E$19,O237+(O237*($B$5/$E$19)))</f>
        <v>777.23210101776806</v>
      </c>
      <c r="L237" s="18">
        <f t="shared" si="16"/>
        <v>266.19741408581518</v>
      </c>
      <c r="M237" s="18">
        <f t="shared" si="17"/>
        <v>511.03468693195288</v>
      </c>
      <c r="N237" s="8">
        <v>0</v>
      </c>
      <c r="O237" s="18">
        <f t="shared" si="18"/>
        <v>79859.224225744547</v>
      </c>
    </row>
    <row r="238" spans="10:15" x14ac:dyDescent="0.25">
      <c r="J238" s="8">
        <v>235</v>
      </c>
      <c r="K238" s="21">
        <f>IF($E$19&lt;O238+(O238*($B$5/$E$19)),$E$19,O238+(O238*($B$5/$E$19)))</f>
        <v>777.23210101776806</v>
      </c>
      <c r="L238" s="18">
        <f t="shared" si="16"/>
        <v>264.49396512937534</v>
      </c>
      <c r="M238" s="18">
        <f t="shared" si="17"/>
        <v>512.73813588839266</v>
      </c>
      <c r="N238" s="8">
        <v>0</v>
      </c>
      <c r="O238" s="18">
        <f t="shared" si="18"/>
        <v>79348.189538812599</v>
      </c>
    </row>
    <row r="239" spans="10:15" x14ac:dyDescent="0.25">
      <c r="J239" s="8">
        <v>236</v>
      </c>
      <c r="K239" s="21">
        <f>IF($E$19&lt;O239+(O239*($B$5/$E$19)),$E$19,O239+(O239*($B$5/$E$19)))</f>
        <v>777.23210101776806</v>
      </c>
      <c r="L239" s="18">
        <f t="shared" si="16"/>
        <v>262.78483800974738</v>
      </c>
      <c r="M239" s="18">
        <f t="shared" si="17"/>
        <v>514.44726300802063</v>
      </c>
      <c r="N239" s="8">
        <v>0</v>
      </c>
      <c r="O239" s="18">
        <f t="shared" si="18"/>
        <v>78835.451402924213</v>
      </c>
    </row>
    <row r="240" spans="10:15" x14ac:dyDescent="0.25">
      <c r="J240" s="8">
        <v>237</v>
      </c>
      <c r="K240" s="21">
        <f>IF($E$19&lt;O240+(O240*($B$5/$E$19)),$E$19,O240+(O240*($B$5/$E$19)))</f>
        <v>777.23210101776806</v>
      </c>
      <c r="L240" s="18">
        <f t="shared" si="16"/>
        <v>261.07001379972064</v>
      </c>
      <c r="M240" s="18">
        <f t="shared" si="17"/>
        <v>516.16208721804742</v>
      </c>
      <c r="N240" s="8">
        <v>0</v>
      </c>
      <c r="O240" s="18">
        <f t="shared" si="18"/>
        <v>78321.004139916186</v>
      </c>
    </row>
    <row r="241" spans="10:15" x14ac:dyDescent="0.25">
      <c r="J241" s="8">
        <v>238</v>
      </c>
      <c r="K241" s="21">
        <f>IF($E$19&lt;O241+(O241*($B$5/$E$19)),$E$19,O241+(O241*($B$5/$E$19)))</f>
        <v>777.23210101776806</v>
      </c>
      <c r="L241" s="18">
        <f t="shared" si="16"/>
        <v>259.34947350899375</v>
      </c>
      <c r="M241" s="18">
        <f t="shared" si="17"/>
        <v>517.88262750877425</v>
      </c>
      <c r="N241" s="8">
        <v>0</v>
      </c>
      <c r="O241" s="18">
        <f t="shared" si="18"/>
        <v>77804.842052698135</v>
      </c>
    </row>
    <row r="242" spans="10:15" x14ac:dyDescent="0.25">
      <c r="J242" s="8">
        <v>239</v>
      </c>
      <c r="K242" s="21">
        <f>IF($E$19&lt;O242+(O242*($B$5/$E$19)),$E$19,O242+(O242*($B$5/$E$19)))</f>
        <v>777.23210101776806</v>
      </c>
      <c r="L242" s="18">
        <f t="shared" si="16"/>
        <v>257.6231980839645</v>
      </c>
      <c r="M242" s="18">
        <f t="shared" si="17"/>
        <v>519.60890293380362</v>
      </c>
      <c r="N242" s="8">
        <v>0</v>
      </c>
      <c r="O242" s="18">
        <f t="shared" si="18"/>
        <v>77286.959425189358</v>
      </c>
    </row>
    <row r="243" spans="10:15" x14ac:dyDescent="0.25">
      <c r="J243" s="8">
        <v>240</v>
      </c>
      <c r="K243" s="21">
        <f>IF($E$19&lt;O243+(O243*($B$5/$E$19)),$E$19,O243+(O243*($B$5/$E$19)))</f>
        <v>777.23210101776806</v>
      </c>
      <c r="L243" s="18">
        <f t="shared" si="16"/>
        <v>255.89116840751853</v>
      </c>
      <c r="M243" s="18">
        <f t="shared" si="17"/>
        <v>521.34093261024952</v>
      </c>
      <c r="N243" s="8">
        <v>0</v>
      </c>
      <c r="O243" s="18">
        <f t="shared" si="18"/>
        <v>76767.350522255554</v>
      </c>
    </row>
    <row r="244" spans="10:15" x14ac:dyDescent="0.25">
      <c r="J244" s="8">
        <v>241</v>
      </c>
      <c r="K244" s="21">
        <f>IF($E$19&lt;O244+(O244*($B$5/$E$19)),$E$19,O244+(O244*($B$5/$E$19)))</f>
        <v>777.23210101776806</v>
      </c>
      <c r="L244" s="18">
        <f t="shared" si="16"/>
        <v>254.15336529881768</v>
      </c>
      <c r="M244" s="18">
        <f t="shared" si="17"/>
        <v>523.07873571895038</v>
      </c>
      <c r="N244" s="8">
        <v>0</v>
      </c>
      <c r="O244" s="18">
        <f t="shared" si="18"/>
        <v>76246.009589645299</v>
      </c>
    </row>
    <row r="245" spans="10:15" x14ac:dyDescent="0.25">
      <c r="J245" s="8">
        <v>242</v>
      </c>
      <c r="K245" s="21">
        <f>IF($E$19&lt;O245+(O245*($B$5/$E$19)),$E$19,O245+(O245*($B$5/$E$19)))</f>
        <v>777.23210101776806</v>
      </c>
      <c r="L245" s="18">
        <f t="shared" si="16"/>
        <v>252.40976951308781</v>
      </c>
      <c r="M245" s="18">
        <f t="shared" si="17"/>
        <v>524.82233150468028</v>
      </c>
      <c r="N245" s="8">
        <v>0</v>
      </c>
      <c r="O245" s="18">
        <f t="shared" si="18"/>
        <v>75722.930853926344</v>
      </c>
    </row>
    <row r="246" spans="10:15" x14ac:dyDescent="0.25">
      <c r="J246" s="8">
        <v>243</v>
      </c>
      <c r="K246" s="21">
        <f>IF($E$19&lt;O246+(O246*($B$5/$E$19)),$E$19,O246+(O246*($B$5/$E$19)))</f>
        <v>777.23210101776806</v>
      </c>
      <c r="L246" s="18">
        <f t="shared" si="16"/>
        <v>250.66036174140558</v>
      </c>
      <c r="M246" s="18">
        <f t="shared" si="17"/>
        <v>526.57173927636245</v>
      </c>
      <c r="N246" s="8">
        <v>0</v>
      </c>
      <c r="O246" s="18">
        <f t="shared" si="18"/>
        <v>75198.108522421666</v>
      </c>
    </row>
    <row r="247" spans="10:15" x14ac:dyDescent="0.25">
      <c r="J247" s="8">
        <v>244</v>
      </c>
      <c r="K247" s="21">
        <f>IF($E$19&lt;O247+(O247*($B$5/$E$19)),$E$19,O247+(O247*($B$5/$E$19)))</f>
        <v>777.23210101776806</v>
      </c>
      <c r="L247" s="18">
        <f t="shared" si="16"/>
        <v>248.90512261048434</v>
      </c>
      <c r="M247" s="18">
        <f t="shared" si="17"/>
        <v>528.32697840728372</v>
      </c>
      <c r="N247" s="8">
        <v>0</v>
      </c>
      <c r="O247" s="18">
        <f t="shared" si="18"/>
        <v>74671.536783145304</v>
      </c>
    </row>
    <row r="248" spans="10:15" x14ac:dyDescent="0.25">
      <c r="J248" s="8">
        <v>245</v>
      </c>
      <c r="K248" s="21">
        <f>IF($E$19&lt;O248+(O248*($B$5/$E$19)),$E$19,O248+(O248*($B$5/$E$19)))</f>
        <v>777.23210101776806</v>
      </c>
      <c r="L248" s="18">
        <f t="shared" si="16"/>
        <v>247.14403268246005</v>
      </c>
      <c r="M248" s="18">
        <f t="shared" si="17"/>
        <v>530.08806833530798</v>
      </c>
      <c r="N248" s="8">
        <v>0</v>
      </c>
      <c r="O248" s="18">
        <f t="shared" si="18"/>
        <v>74143.209804738013</v>
      </c>
    </row>
    <row r="249" spans="10:15" x14ac:dyDescent="0.25">
      <c r="J249" s="8">
        <v>246</v>
      </c>
      <c r="K249" s="21">
        <f>IF($E$19&lt;O249+(O249*($B$5/$E$19)),$E$19,O249+(O249*($B$5/$E$19)))</f>
        <v>777.23210101776806</v>
      </c>
      <c r="L249" s="18">
        <f t="shared" si="16"/>
        <v>245.3770724546757</v>
      </c>
      <c r="M249" s="18">
        <f t="shared" si="17"/>
        <v>531.85502856309233</v>
      </c>
      <c r="N249" s="8">
        <v>0</v>
      </c>
      <c r="O249" s="18">
        <f t="shared" si="18"/>
        <v>73613.121736402711</v>
      </c>
    </row>
    <row r="250" spans="10:15" x14ac:dyDescent="0.25">
      <c r="J250" s="8">
        <v>247</v>
      </c>
      <c r="K250" s="21">
        <f>IF($E$19&lt;O250+(O250*($B$5/$E$19)),$E$19,O250+(O250*($B$5/$E$19)))</f>
        <v>777.23210101776806</v>
      </c>
      <c r="L250" s="18">
        <f t="shared" si="16"/>
        <v>243.60422235946541</v>
      </c>
      <c r="M250" s="18">
        <f t="shared" si="17"/>
        <v>533.62787865830262</v>
      </c>
      <c r="N250" s="8">
        <v>0</v>
      </c>
      <c r="O250" s="18">
        <f t="shared" si="18"/>
        <v>73081.266707839619</v>
      </c>
    </row>
    <row r="251" spans="10:15" x14ac:dyDescent="0.25">
      <c r="J251" s="8">
        <v>248</v>
      </c>
      <c r="K251" s="21">
        <f>IF($E$19&lt;O251+(O251*($B$5/$E$19)),$E$19,O251+(O251*($B$5/$E$19)))</f>
        <v>777.23210101776806</v>
      </c>
      <c r="L251" s="18">
        <f t="shared" si="16"/>
        <v>241.82546276393774</v>
      </c>
      <c r="M251" s="18">
        <f t="shared" si="17"/>
        <v>535.40663825383035</v>
      </c>
      <c r="N251" s="8">
        <v>0</v>
      </c>
      <c r="O251" s="18">
        <f t="shared" si="18"/>
        <v>72547.63882918132</v>
      </c>
    </row>
    <row r="252" spans="10:15" x14ac:dyDescent="0.25">
      <c r="J252" s="8">
        <v>249</v>
      </c>
      <c r="K252" s="21">
        <f>IF($E$19&lt;O252+(O252*($B$5/$E$19)),$E$19,O252+(O252*($B$5/$E$19)))</f>
        <v>777.23210101776806</v>
      </c>
      <c r="L252" s="18">
        <f t="shared" si="16"/>
        <v>240.04077396975831</v>
      </c>
      <c r="M252" s="18">
        <f t="shared" si="17"/>
        <v>537.19132704800973</v>
      </c>
      <c r="N252" s="8">
        <v>0</v>
      </c>
      <c r="O252" s="18">
        <f t="shared" si="18"/>
        <v>72012.232190927491</v>
      </c>
    </row>
    <row r="253" spans="10:15" x14ac:dyDescent="0.25">
      <c r="J253" s="8">
        <v>250</v>
      </c>
      <c r="K253" s="21">
        <f>IF($E$19&lt;O253+(O253*($B$5/$E$19)),$E$19,O253+(O253*($B$5/$E$19)))</f>
        <v>777.23210101776806</v>
      </c>
      <c r="L253" s="18">
        <f t="shared" si="16"/>
        <v>238.25013621293158</v>
      </c>
      <c r="M253" s="18">
        <f t="shared" si="17"/>
        <v>538.98196480483648</v>
      </c>
      <c r="N253" s="8">
        <v>0</v>
      </c>
      <c r="O253" s="18">
        <f t="shared" si="18"/>
        <v>71475.040863879476</v>
      </c>
    </row>
    <row r="254" spans="10:15" x14ac:dyDescent="0.25">
      <c r="J254" s="8">
        <v>251</v>
      </c>
      <c r="K254" s="21">
        <f>IF($E$19&lt;O254+(O254*($B$5/$E$19)),$E$19,O254+(O254*($B$5/$E$19)))</f>
        <v>777.23210101776806</v>
      </c>
      <c r="L254" s="18">
        <f t="shared" si="16"/>
        <v>236.45352966358212</v>
      </c>
      <c r="M254" s="18">
        <f t="shared" si="17"/>
        <v>540.77857135418594</v>
      </c>
      <c r="N254" s="8">
        <v>0</v>
      </c>
      <c r="O254" s="18">
        <f t="shared" si="18"/>
        <v>70936.058899074633</v>
      </c>
    </row>
    <row r="255" spans="10:15" x14ac:dyDescent="0.25">
      <c r="J255" s="8">
        <v>252</v>
      </c>
      <c r="K255" s="21">
        <f>IF($E$19&lt;O255+(O255*($B$5/$E$19)),$E$19,O255+(O255*($B$5/$E$19)))</f>
        <v>777.23210101776806</v>
      </c>
      <c r="L255" s="18">
        <f t="shared" si="16"/>
        <v>234.65093442573485</v>
      </c>
      <c r="M255" s="18">
        <f t="shared" si="17"/>
        <v>542.58116659203324</v>
      </c>
      <c r="N255" s="8">
        <v>0</v>
      </c>
      <c r="O255" s="18">
        <f t="shared" si="18"/>
        <v>70395.280327720451</v>
      </c>
    </row>
    <row r="256" spans="10:15" x14ac:dyDescent="0.25">
      <c r="J256" s="8">
        <v>253</v>
      </c>
      <c r="K256" s="21">
        <f>IF($E$19&lt;O256+(O256*($B$5/$E$19)),$E$19,O256+(O256*($B$5/$E$19)))</f>
        <v>777.23210101776806</v>
      </c>
      <c r="L256" s="18">
        <f t="shared" si="16"/>
        <v>232.84233053709474</v>
      </c>
      <c r="M256" s="18">
        <f t="shared" si="17"/>
        <v>544.38977048067329</v>
      </c>
      <c r="N256" s="8">
        <v>0</v>
      </c>
      <c r="O256" s="18">
        <f t="shared" si="18"/>
        <v>69852.699161128417</v>
      </c>
    </row>
    <row r="257" spans="10:15" x14ac:dyDescent="0.25">
      <c r="J257" s="8">
        <v>254</v>
      </c>
      <c r="K257" s="21">
        <f>IF($E$19&lt;O257+(O257*($B$5/$E$19)),$E$19,O257+(O257*($B$5/$E$19)))</f>
        <v>777.23210101776806</v>
      </c>
      <c r="L257" s="18">
        <f t="shared" si="16"/>
        <v>231.02769796882581</v>
      </c>
      <c r="M257" s="18">
        <f t="shared" si="17"/>
        <v>546.20440304894225</v>
      </c>
      <c r="N257" s="8">
        <v>0</v>
      </c>
      <c r="O257" s="18">
        <f t="shared" si="18"/>
        <v>69308.309390647744</v>
      </c>
    </row>
    <row r="258" spans="10:15" x14ac:dyDescent="0.25">
      <c r="J258" s="8">
        <v>255</v>
      </c>
      <c r="K258" s="21">
        <f>IF($E$19&lt;O258+(O258*($B$5/$E$19)),$E$19,O258+(O258*($B$5/$E$19)))</f>
        <v>777.23210101776806</v>
      </c>
      <c r="L258" s="18">
        <f t="shared" si="16"/>
        <v>229.20701662532932</v>
      </c>
      <c r="M258" s="18">
        <f t="shared" si="17"/>
        <v>548.02508439243877</v>
      </c>
      <c r="N258" s="8">
        <v>0</v>
      </c>
      <c r="O258" s="18">
        <f t="shared" si="18"/>
        <v>68762.104987598796</v>
      </c>
    </row>
    <row r="259" spans="10:15" x14ac:dyDescent="0.25">
      <c r="J259" s="8">
        <v>256</v>
      </c>
      <c r="K259" s="21">
        <f>IF($E$19&lt;O259+(O259*($B$5/$E$19)),$E$19,O259+(O259*($B$5/$E$19)))</f>
        <v>777.23210101776806</v>
      </c>
      <c r="L259" s="18">
        <f t="shared" ref="L259:L322" si="19">O259*$B$5/$B$4</f>
        <v>227.38026634402118</v>
      </c>
      <c r="M259" s="18">
        <f t="shared" si="17"/>
        <v>549.85183467374691</v>
      </c>
      <c r="N259" s="8">
        <v>0</v>
      </c>
      <c r="O259" s="18">
        <f t="shared" si="18"/>
        <v>68214.079903206351</v>
      </c>
    </row>
    <row r="260" spans="10:15" x14ac:dyDescent="0.25">
      <c r="J260" s="8">
        <v>257</v>
      </c>
      <c r="K260" s="21">
        <f>IF($E$19&lt;O260+(O260*($B$5/$E$19)),$E$19,O260+(O260*($B$5/$E$19)))</f>
        <v>777.23210101776806</v>
      </c>
      <c r="L260" s="18">
        <f t="shared" si="19"/>
        <v>225.54742689510871</v>
      </c>
      <c r="M260" s="18">
        <f t="shared" si="17"/>
        <v>551.68467412265932</v>
      </c>
      <c r="N260" s="8">
        <v>0</v>
      </c>
      <c r="O260" s="18">
        <f t="shared" si="18"/>
        <v>67664.228068532611</v>
      </c>
    </row>
    <row r="261" spans="10:15" x14ac:dyDescent="0.25">
      <c r="J261" s="8">
        <v>258</v>
      </c>
      <c r="K261" s="21">
        <f>IF($E$19&lt;O261+(O261*($B$5/$E$19)),$E$19,O261+(O261*($B$5/$E$19)))</f>
        <v>777.23210101776806</v>
      </c>
      <c r="L261" s="18">
        <f t="shared" si="19"/>
        <v>223.70847798136651</v>
      </c>
      <c r="M261" s="18">
        <f t="shared" ref="M261:M324" si="20">K261-L261</f>
        <v>553.52362303640155</v>
      </c>
      <c r="N261" s="8">
        <v>0</v>
      </c>
      <c r="O261" s="18">
        <f t="shared" ref="O261:O324" si="21">O260-M260-N260</f>
        <v>67112.54339440995</v>
      </c>
    </row>
    <row r="262" spans="10:15" x14ac:dyDescent="0.25">
      <c r="J262" s="8">
        <v>259</v>
      </c>
      <c r="K262" s="21">
        <f>IF($E$19&lt;O262+(O262*($B$5/$E$19)),$E$19,O262+(O262*($B$5/$E$19)))</f>
        <v>777.23210101776806</v>
      </c>
      <c r="L262" s="18">
        <f t="shared" si="19"/>
        <v>221.86339923791184</v>
      </c>
      <c r="M262" s="18">
        <f t="shared" si="20"/>
        <v>555.36870177985622</v>
      </c>
      <c r="N262" s="8">
        <v>0</v>
      </c>
      <c r="O262" s="18">
        <f t="shared" si="21"/>
        <v>66559.019771373554</v>
      </c>
    </row>
    <row r="263" spans="10:15" x14ac:dyDescent="0.25">
      <c r="J263" s="8">
        <v>260</v>
      </c>
      <c r="K263" s="21">
        <f>IF($E$19&lt;O263+(O263*($B$5/$E$19)),$E$19,O263+(O263*($B$5/$E$19)))</f>
        <v>777.23210101776806</v>
      </c>
      <c r="L263" s="18">
        <f t="shared" si="19"/>
        <v>220.01217023197901</v>
      </c>
      <c r="M263" s="18">
        <f t="shared" si="20"/>
        <v>557.21993078578907</v>
      </c>
      <c r="N263" s="8">
        <v>0</v>
      </c>
      <c r="O263" s="18">
        <f t="shared" si="21"/>
        <v>66003.651069593703</v>
      </c>
    </row>
    <row r="264" spans="10:15" x14ac:dyDescent="0.25">
      <c r="J264" s="8">
        <v>261</v>
      </c>
      <c r="K264" s="21">
        <f>IF($E$19&lt;O264+(O264*($B$5/$E$19)),$E$19,O264+(O264*($B$5/$E$19)))</f>
        <v>777.23210101776806</v>
      </c>
      <c r="L264" s="18">
        <f t="shared" si="19"/>
        <v>218.15477046269305</v>
      </c>
      <c r="M264" s="18">
        <f t="shared" si="20"/>
        <v>559.07733055507504</v>
      </c>
      <c r="N264" s="8">
        <v>0</v>
      </c>
      <c r="O264" s="18">
        <f t="shared" si="21"/>
        <v>65446.431138807915</v>
      </c>
    </row>
    <row r="265" spans="10:15" x14ac:dyDescent="0.25">
      <c r="J265" s="8">
        <v>262</v>
      </c>
      <c r="K265" s="21">
        <f>IF($E$19&lt;O265+(O265*($B$5/$E$19)),$E$19,O265+(O265*($B$5/$E$19)))</f>
        <v>777.23210101776806</v>
      </c>
      <c r="L265" s="18">
        <f t="shared" si="19"/>
        <v>216.29117936084279</v>
      </c>
      <c r="M265" s="18">
        <f t="shared" si="20"/>
        <v>560.9409216569253</v>
      </c>
      <c r="N265" s="8">
        <v>0</v>
      </c>
      <c r="O265" s="18">
        <f t="shared" si="21"/>
        <v>64887.353808252839</v>
      </c>
    </row>
    <row r="266" spans="10:15" x14ac:dyDescent="0.25">
      <c r="J266" s="8">
        <v>263</v>
      </c>
      <c r="K266" s="21">
        <f>IF($E$19&lt;O266+(O266*($B$5/$E$19)),$E$19,O266+(O266*($B$5/$E$19)))</f>
        <v>777.23210101776806</v>
      </c>
      <c r="L266" s="18">
        <f t="shared" si="19"/>
        <v>214.42137628865305</v>
      </c>
      <c r="M266" s="18">
        <f t="shared" si="20"/>
        <v>562.81072472911501</v>
      </c>
      <c r="N266" s="8">
        <v>0</v>
      </c>
      <c r="O266" s="18">
        <f t="shared" si="21"/>
        <v>64326.412886595914</v>
      </c>
    </row>
    <row r="267" spans="10:15" x14ac:dyDescent="0.25">
      <c r="J267" s="8">
        <v>264</v>
      </c>
      <c r="K267" s="21">
        <f>IF($E$19&lt;O267+(O267*($B$5/$E$19)),$E$19,O267+(O267*($B$5/$E$19)))</f>
        <v>777.23210101776806</v>
      </c>
      <c r="L267" s="18">
        <f t="shared" si="19"/>
        <v>212.54534053955601</v>
      </c>
      <c r="M267" s="18">
        <f t="shared" si="20"/>
        <v>564.68676047821202</v>
      </c>
      <c r="N267" s="8">
        <v>0</v>
      </c>
      <c r="O267" s="18">
        <f t="shared" si="21"/>
        <v>63763.602161866802</v>
      </c>
    </row>
    <row r="268" spans="10:15" x14ac:dyDescent="0.25">
      <c r="J268" s="8">
        <v>265</v>
      </c>
      <c r="K268" s="21">
        <f>IF($E$19&lt;O268+(O268*($B$5/$E$19)),$E$19,O268+(O268*($B$5/$E$19)))</f>
        <v>777.23210101776806</v>
      </c>
      <c r="L268" s="18">
        <f t="shared" si="19"/>
        <v>210.66305133796197</v>
      </c>
      <c r="M268" s="18">
        <f t="shared" si="20"/>
        <v>566.56904967980608</v>
      </c>
      <c r="N268" s="8">
        <v>0</v>
      </c>
      <c r="O268" s="18">
        <f t="shared" si="21"/>
        <v>63198.915401388593</v>
      </c>
    </row>
    <row r="269" spans="10:15" x14ac:dyDescent="0.25">
      <c r="J269" s="8">
        <v>266</v>
      </c>
      <c r="K269" s="21">
        <f>IF($E$19&lt;O269+(O269*($B$5/$E$19)),$E$19,O269+(O269*($B$5/$E$19)))</f>
        <v>777.23210101776806</v>
      </c>
      <c r="L269" s="18">
        <f t="shared" si="19"/>
        <v>208.77448783902932</v>
      </c>
      <c r="M269" s="18">
        <f t="shared" si="20"/>
        <v>568.45761317873871</v>
      </c>
      <c r="N269" s="8">
        <v>0</v>
      </c>
      <c r="O269" s="18">
        <f t="shared" si="21"/>
        <v>62632.346351708788</v>
      </c>
    </row>
    <row r="270" spans="10:15" x14ac:dyDescent="0.25">
      <c r="J270" s="8">
        <v>267</v>
      </c>
      <c r="K270" s="21">
        <f>IF($E$19&lt;O270+(O270*($B$5/$E$19)),$E$19,O270+(O270*($B$5/$E$19)))</f>
        <v>777.23210101776806</v>
      </c>
      <c r="L270" s="18">
        <f t="shared" si="19"/>
        <v>206.87962912843349</v>
      </c>
      <c r="M270" s="18">
        <f t="shared" si="20"/>
        <v>570.35247188933454</v>
      </c>
      <c r="N270" s="8">
        <v>0</v>
      </c>
      <c r="O270" s="18">
        <f t="shared" si="21"/>
        <v>62063.888738530048</v>
      </c>
    </row>
    <row r="271" spans="10:15" x14ac:dyDescent="0.25">
      <c r="J271" s="8">
        <v>268</v>
      </c>
      <c r="K271" s="21">
        <f>IF($E$19&lt;O271+(O271*($B$5/$E$19)),$E$19,O271+(O271*($B$5/$E$19)))</f>
        <v>777.23210101776806</v>
      </c>
      <c r="L271" s="18">
        <f t="shared" si="19"/>
        <v>204.97845422213572</v>
      </c>
      <c r="M271" s="18">
        <f t="shared" si="20"/>
        <v>572.25364679563233</v>
      </c>
      <c r="N271" s="8">
        <v>0</v>
      </c>
      <c r="O271" s="18">
        <f t="shared" si="21"/>
        <v>61493.536266640716</v>
      </c>
    </row>
    <row r="272" spans="10:15" x14ac:dyDescent="0.25">
      <c r="J272" s="8">
        <v>269</v>
      </c>
      <c r="K272" s="21">
        <f>IF($E$19&lt;O272+(O272*($B$5/$E$19)),$E$19,O272+(O272*($B$5/$E$19)))</f>
        <v>777.23210101776806</v>
      </c>
      <c r="L272" s="18">
        <f t="shared" si="19"/>
        <v>203.07094206615031</v>
      </c>
      <c r="M272" s="18">
        <f t="shared" si="20"/>
        <v>574.16115895161772</v>
      </c>
      <c r="N272" s="8">
        <v>0</v>
      </c>
      <c r="O272" s="18">
        <f t="shared" si="21"/>
        <v>60921.282619845086</v>
      </c>
    </row>
    <row r="273" spans="10:15" x14ac:dyDescent="0.25">
      <c r="J273" s="8">
        <v>270</v>
      </c>
      <c r="K273" s="21">
        <f>IF($E$19&lt;O273+(O273*($B$5/$E$19)),$E$19,O273+(O273*($B$5/$E$19)))</f>
        <v>777.23210101776806</v>
      </c>
      <c r="L273" s="18">
        <f t="shared" si="19"/>
        <v>201.15707153631158</v>
      </c>
      <c r="M273" s="18">
        <f t="shared" si="20"/>
        <v>576.07502948145645</v>
      </c>
      <c r="N273" s="8">
        <v>0</v>
      </c>
      <c r="O273" s="18">
        <f t="shared" si="21"/>
        <v>60347.121460893468</v>
      </c>
    </row>
    <row r="274" spans="10:15" x14ac:dyDescent="0.25">
      <c r="J274" s="8">
        <v>271</v>
      </c>
      <c r="K274" s="21">
        <f>IF($E$19&lt;O274+(O274*($B$5/$E$19)),$E$19,O274+(O274*($B$5/$E$19)))</f>
        <v>777.23210101776806</v>
      </c>
      <c r="L274" s="18">
        <f t="shared" si="19"/>
        <v>199.23682143804004</v>
      </c>
      <c r="M274" s="18">
        <f t="shared" si="20"/>
        <v>577.99527957972805</v>
      </c>
      <c r="N274" s="8">
        <v>0</v>
      </c>
      <c r="O274" s="18">
        <f t="shared" si="21"/>
        <v>59771.046431412011</v>
      </c>
    </row>
    <row r="275" spans="10:15" x14ac:dyDescent="0.25">
      <c r="J275" s="8">
        <v>272</v>
      </c>
      <c r="K275" s="21">
        <f>IF($E$19&lt;O275+(O275*($B$5/$E$19)),$E$19,O275+(O275*($B$5/$E$19)))</f>
        <v>777.23210101776806</v>
      </c>
      <c r="L275" s="18">
        <f t="shared" si="19"/>
        <v>197.31017050610762</v>
      </c>
      <c r="M275" s="18">
        <f t="shared" si="20"/>
        <v>579.92193051166043</v>
      </c>
      <c r="N275" s="8">
        <v>0</v>
      </c>
      <c r="O275" s="18">
        <f t="shared" si="21"/>
        <v>59193.051151832282</v>
      </c>
    </row>
    <row r="276" spans="10:15" x14ac:dyDescent="0.25">
      <c r="J276" s="8">
        <v>273</v>
      </c>
      <c r="K276" s="21">
        <f>IF($E$19&lt;O276+(O276*($B$5/$E$19)),$E$19,O276+(O276*($B$5/$E$19)))</f>
        <v>777.23210101776806</v>
      </c>
      <c r="L276" s="18">
        <f t="shared" si="19"/>
        <v>195.37709740440206</v>
      </c>
      <c r="M276" s="18">
        <f t="shared" si="20"/>
        <v>581.85500361336597</v>
      </c>
      <c r="N276" s="8">
        <v>0</v>
      </c>
      <c r="O276" s="18">
        <f t="shared" si="21"/>
        <v>58613.129221320618</v>
      </c>
    </row>
    <row r="277" spans="10:15" x14ac:dyDescent="0.25">
      <c r="J277" s="8">
        <v>274</v>
      </c>
      <c r="K277" s="21">
        <f>IF($E$19&lt;O277+(O277*($B$5/$E$19)),$E$19,O277+(O277*($B$5/$E$19)))</f>
        <v>777.23210101776806</v>
      </c>
      <c r="L277" s="18">
        <f t="shared" si="19"/>
        <v>193.43758072569085</v>
      </c>
      <c r="M277" s="18">
        <f t="shared" si="20"/>
        <v>583.79452029207721</v>
      </c>
      <c r="N277" s="8">
        <v>0</v>
      </c>
      <c r="O277" s="18">
        <f t="shared" si="21"/>
        <v>58031.274217707251</v>
      </c>
    </row>
    <row r="278" spans="10:15" x14ac:dyDescent="0.25">
      <c r="J278" s="8">
        <v>275</v>
      </c>
      <c r="K278" s="21">
        <f>IF($E$19&lt;O278+(O278*($B$5/$E$19)),$E$19,O278+(O278*($B$5/$E$19)))</f>
        <v>777.23210101776806</v>
      </c>
      <c r="L278" s="18">
        <f t="shared" si="19"/>
        <v>191.49159899138394</v>
      </c>
      <c r="M278" s="18">
        <f t="shared" si="20"/>
        <v>585.74050202638409</v>
      </c>
      <c r="N278" s="8">
        <v>0</v>
      </c>
      <c r="O278" s="18">
        <f t="shared" si="21"/>
        <v>57447.479697415176</v>
      </c>
    </row>
    <row r="279" spans="10:15" x14ac:dyDescent="0.25">
      <c r="J279" s="8">
        <v>276</v>
      </c>
      <c r="K279" s="21">
        <f>IF($E$19&lt;O279+(O279*($B$5/$E$19)),$E$19,O279+(O279*($B$5/$E$19)))</f>
        <v>777.23210101776806</v>
      </c>
      <c r="L279" s="18">
        <f t="shared" si="19"/>
        <v>189.53913065129598</v>
      </c>
      <c r="M279" s="18">
        <f t="shared" si="20"/>
        <v>587.69297036647208</v>
      </c>
      <c r="N279" s="8">
        <v>0</v>
      </c>
      <c r="O279" s="18">
        <f t="shared" si="21"/>
        <v>56861.739195388793</v>
      </c>
    </row>
    <row r="280" spans="10:15" x14ac:dyDescent="0.25">
      <c r="J280" s="8">
        <v>277</v>
      </c>
      <c r="K280" s="21">
        <f>IF($E$19&lt;O280+(O280*($B$5/$E$19)),$E$19,O280+(O280*($B$5/$E$19)))</f>
        <v>777.23210101776806</v>
      </c>
      <c r="L280" s="18">
        <f t="shared" si="19"/>
        <v>187.58015408340773</v>
      </c>
      <c r="M280" s="18">
        <f t="shared" si="20"/>
        <v>589.65194693436035</v>
      </c>
      <c r="N280" s="8">
        <v>0</v>
      </c>
      <c r="O280" s="18">
        <f t="shared" si="21"/>
        <v>56274.046225022321</v>
      </c>
    </row>
    <row r="281" spans="10:15" x14ac:dyDescent="0.25">
      <c r="J281" s="8">
        <v>278</v>
      </c>
      <c r="K281" s="21">
        <f>IF($E$19&lt;O281+(O281*($B$5/$E$19)),$E$19,O281+(O281*($B$5/$E$19)))</f>
        <v>777.23210101776806</v>
      </c>
      <c r="L281" s="18">
        <f t="shared" si="19"/>
        <v>185.61464759362653</v>
      </c>
      <c r="M281" s="18">
        <f t="shared" si="20"/>
        <v>591.61745342414156</v>
      </c>
      <c r="N281" s="8">
        <v>0</v>
      </c>
      <c r="O281" s="18">
        <f t="shared" si="21"/>
        <v>55684.394278087959</v>
      </c>
    </row>
    <row r="282" spans="10:15" x14ac:dyDescent="0.25">
      <c r="J282" s="8">
        <v>279</v>
      </c>
      <c r="K282" s="21">
        <f>IF($E$19&lt;O282+(O282*($B$5/$E$19)),$E$19,O282+(O282*($B$5/$E$19)))</f>
        <v>777.23210101776806</v>
      </c>
      <c r="L282" s="18">
        <f t="shared" si="19"/>
        <v>183.64258941554604</v>
      </c>
      <c r="M282" s="18">
        <f t="shared" si="20"/>
        <v>593.58951160222205</v>
      </c>
      <c r="N282" s="8">
        <v>0</v>
      </c>
      <c r="O282" s="18">
        <f t="shared" si="21"/>
        <v>55092.776824663815</v>
      </c>
    </row>
    <row r="283" spans="10:15" x14ac:dyDescent="0.25">
      <c r="J283" s="8">
        <v>280</v>
      </c>
      <c r="K283" s="21">
        <f>IF($E$19&lt;O283+(O283*($B$5/$E$19)),$E$19,O283+(O283*($B$5/$E$19)))</f>
        <v>777.23210101776806</v>
      </c>
      <c r="L283" s="18">
        <f t="shared" si="19"/>
        <v>181.6639577102053</v>
      </c>
      <c r="M283" s="18">
        <f t="shared" si="20"/>
        <v>595.56814330756276</v>
      </c>
      <c r="N283" s="8">
        <v>0</v>
      </c>
      <c r="O283" s="18">
        <f t="shared" si="21"/>
        <v>54499.187313061593</v>
      </c>
    </row>
    <row r="284" spans="10:15" x14ac:dyDescent="0.25">
      <c r="J284" s="8">
        <v>281</v>
      </c>
      <c r="K284" s="21">
        <f>IF($E$19&lt;O284+(O284*($B$5/$E$19)),$E$19,O284+(O284*($B$5/$E$19)))</f>
        <v>777.23210101776806</v>
      </c>
      <c r="L284" s="18">
        <f t="shared" si="19"/>
        <v>179.67873056584676</v>
      </c>
      <c r="M284" s="18">
        <f t="shared" si="20"/>
        <v>597.5533704519213</v>
      </c>
      <c r="N284" s="8">
        <v>0</v>
      </c>
      <c r="O284" s="18">
        <f t="shared" si="21"/>
        <v>53903.619169754027</v>
      </c>
    </row>
    <row r="285" spans="10:15" x14ac:dyDescent="0.25">
      <c r="J285" s="8">
        <v>282</v>
      </c>
      <c r="K285" s="21">
        <f>IF($E$19&lt;O285+(O285*($B$5/$E$19)),$E$19,O285+(O285*($B$5/$E$19)))</f>
        <v>777.23210101776806</v>
      </c>
      <c r="L285" s="18">
        <f t="shared" si="19"/>
        <v>177.6868859976737</v>
      </c>
      <c r="M285" s="18">
        <f t="shared" si="20"/>
        <v>599.54521502009436</v>
      </c>
      <c r="N285" s="8">
        <v>0</v>
      </c>
      <c r="O285" s="18">
        <f t="shared" si="21"/>
        <v>53306.065799302109</v>
      </c>
    </row>
    <row r="286" spans="10:15" x14ac:dyDescent="0.25">
      <c r="J286" s="8">
        <v>283</v>
      </c>
      <c r="K286" s="21">
        <f>IF($E$19&lt;O286+(O286*($B$5/$E$19)),$E$19,O286+(O286*($B$5/$E$19)))</f>
        <v>777.23210101776806</v>
      </c>
      <c r="L286" s="18">
        <f t="shared" si="19"/>
        <v>175.68840194760674</v>
      </c>
      <c r="M286" s="18">
        <f t="shared" si="20"/>
        <v>601.54369907016132</v>
      </c>
      <c r="N286" s="8">
        <v>0</v>
      </c>
      <c r="O286" s="18">
        <f t="shared" si="21"/>
        <v>52706.520584282014</v>
      </c>
    </row>
    <row r="287" spans="10:15" x14ac:dyDescent="0.25">
      <c r="J287" s="8">
        <v>284</v>
      </c>
      <c r="K287" s="21">
        <f>IF($E$19&lt;O287+(O287*($B$5/$E$19)),$E$19,O287+(O287*($B$5/$E$19)))</f>
        <v>777.23210101776806</v>
      </c>
      <c r="L287" s="18">
        <f t="shared" si="19"/>
        <v>173.68325628403952</v>
      </c>
      <c r="M287" s="18">
        <f t="shared" si="20"/>
        <v>603.54884473372852</v>
      </c>
      <c r="N287" s="8">
        <v>0</v>
      </c>
      <c r="O287" s="18">
        <f t="shared" si="21"/>
        <v>52104.97688521185</v>
      </c>
    </row>
    <row r="288" spans="10:15" x14ac:dyDescent="0.25">
      <c r="J288" s="8">
        <v>285</v>
      </c>
      <c r="K288" s="21">
        <f>IF($E$19&lt;O288+(O288*($B$5/$E$19)),$E$19,O288+(O288*($B$5/$E$19)))</f>
        <v>777.23210101776806</v>
      </c>
      <c r="L288" s="18">
        <f t="shared" si="19"/>
        <v>171.67142680159375</v>
      </c>
      <c r="M288" s="18">
        <f t="shared" si="20"/>
        <v>605.56067421617433</v>
      </c>
      <c r="N288" s="8">
        <v>0</v>
      </c>
      <c r="O288" s="18">
        <f t="shared" si="21"/>
        <v>51501.428040478124</v>
      </c>
    </row>
    <row r="289" spans="10:15" x14ac:dyDescent="0.25">
      <c r="J289" s="8">
        <v>286</v>
      </c>
      <c r="K289" s="21">
        <f>IF($E$19&lt;O289+(O289*($B$5/$E$19)),$E$19,O289+(O289*($B$5/$E$19)))</f>
        <v>777.23210101776806</v>
      </c>
      <c r="L289" s="18">
        <f t="shared" si="19"/>
        <v>169.65289122087316</v>
      </c>
      <c r="M289" s="18">
        <f t="shared" si="20"/>
        <v>607.57920979689493</v>
      </c>
      <c r="N289" s="8">
        <v>0</v>
      </c>
      <c r="O289" s="18">
        <f t="shared" si="21"/>
        <v>50895.867366261948</v>
      </c>
    </row>
    <row r="290" spans="10:15" x14ac:dyDescent="0.25">
      <c r="J290" s="8">
        <v>287</v>
      </c>
      <c r="K290" s="21">
        <f>IF($E$19&lt;O290+(O290*($B$5/$E$19)),$E$19,O290+(O290*($B$5/$E$19)))</f>
        <v>777.23210101776806</v>
      </c>
      <c r="L290" s="18">
        <f t="shared" si="19"/>
        <v>167.62762718821685</v>
      </c>
      <c r="M290" s="18">
        <f t="shared" si="20"/>
        <v>609.60447382955124</v>
      </c>
      <c r="N290" s="8">
        <v>0</v>
      </c>
      <c r="O290" s="18">
        <f t="shared" si="21"/>
        <v>50288.288156465052</v>
      </c>
    </row>
    <row r="291" spans="10:15" x14ac:dyDescent="0.25">
      <c r="J291" s="8">
        <v>288</v>
      </c>
      <c r="K291" s="21">
        <f>IF($E$19&lt;O291+(O291*($B$5/$E$19)),$E$19,O291+(O291*($B$5/$E$19)))</f>
        <v>777.23210101776806</v>
      </c>
      <c r="L291" s="18">
        <f t="shared" si="19"/>
        <v>165.59561227545166</v>
      </c>
      <c r="M291" s="18">
        <f t="shared" si="20"/>
        <v>611.63648874231637</v>
      </c>
      <c r="N291" s="8">
        <v>0</v>
      </c>
      <c r="O291" s="18">
        <f t="shared" si="21"/>
        <v>49678.683682635499</v>
      </c>
    </row>
    <row r="292" spans="10:15" x14ac:dyDescent="0.25">
      <c r="J292" s="8">
        <v>289</v>
      </c>
      <c r="K292" s="21">
        <f>IF($E$19&lt;O292+(O292*($B$5/$E$19)),$E$19,O292+(O292*($B$5/$E$19)))</f>
        <v>777.23210101776806</v>
      </c>
      <c r="L292" s="18">
        <f t="shared" si="19"/>
        <v>163.55682397964395</v>
      </c>
      <c r="M292" s="18">
        <f t="shared" si="20"/>
        <v>613.67527703812414</v>
      </c>
      <c r="N292" s="8">
        <v>0</v>
      </c>
      <c r="O292" s="18">
        <f t="shared" si="21"/>
        <v>49067.047193893181</v>
      </c>
    </row>
    <row r="293" spans="10:15" x14ac:dyDescent="0.25">
      <c r="J293" s="8">
        <v>290</v>
      </c>
      <c r="K293" s="21">
        <f>IF($E$19&lt;O293+(O293*($B$5/$E$19)),$E$19,O293+(O293*($B$5/$E$19)))</f>
        <v>777.23210101776806</v>
      </c>
      <c r="L293" s="18">
        <f t="shared" si="19"/>
        <v>161.51123972285021</v>
      </c>
      <c r="M293" s="18">
        <f t="shared" si="20"/>
        <v>615.72086129491788</v>
      </c>
      <c r="N293" s="8">
        <v>0</v>
      </c>
      <c r="O293" s="18">
        <f t="shared" si="21"/>
        <v>48453.37191685506</v>
      </c>
    </row>
    <row r="294" spans="10:15" x14ac:dyDescent="0.25">
      <c r="J294" s="8">
        <v>291</v>
      </c>
      <c r="K294" s="21">
        <f>IF($E$19&lt;O294+(O294*($B$5/$E$19)),$E$19,O294+(O294*($B$5/$E$19)))</f>
        <v>777.23210101776806</v>
      </c>
      <c r="L294" s="18">
        <f t="shared" si="19"/>
        <v>159.45883685186715</v>
      </c>
      <c r="M294" s="18">
        <f t="shared" si="20"/>
        <v>617.77326416590086</v>
      </c>
      <c r="N294" s="8">
        <v>0</v>
      </c>
      <c r="O294" s="18">
        <f t="shared" si="21"/>
        <v>47837.651055560142</v>
      </c>
    </row>
    <row r="295" spans="10:15" x14ac:dyDescent="0.25">
      <c r="J295" s="8">
        <v>292</v>
      </c>
      <c r="K295" s="21">
        <f>IF($E$19&lt;O295+(O295*($B$5/$E$19)),$E$19,O295+(O295*($B$5/$E$19)))</f>
        <v>777.23210101776806</v>
      </c>
      <c r="L295" s="18">
        <f t="shared" si="19"/>
        <v>157.39959263798082</v>
      </c>
      <c r="M295" s="18">
        <f t="shared" si="20"/>
        <v>619.83250837978721</v>
      </c>
      <c r="N295" s="8">
        <v>0</v>
      </c>
      <c r="O295" s="18">
        <f t="shared" si="21"/>
        <v>47219.877791394239</v>
      </c>
    </row>
    <row r="296" spans="10:15" x14ac:dyDescent="0.25">
      <c r="J296" s="8">
        <v>293</v>
      </c>
      <c r="K296" s="21">
        <f>IF($E$19&lt;O296+(O296*($B$5/$E$19)),$E$19,O296+(O296*($B$5/$E$19)))</f>
        <v>777.23210101776806</v>
      </c>
      <c r="L296" s="18">
        <f t="shared" si="19"/>
        <v>155.33348427671484</v>
      </c>
      <c r="M296" s="18">
        <f t="shared" si="20"/>
        <v>621.89861674105327</v>
      </c>
      <c r="N296" s="8">
        <v>0</v>
      </c>
      <c r="O296" s="18">
        <f t="shared" si="21"/>
        <v>46600.04528301445</v>
      </c>
    </row>
    <row r="297" spans="10:15" x14ac:dyDescent="0.25">
      <c r="J297" s="8">
        <v>294</v>
      </c>
      <c r="K297" s="21">
        <f>IF($E$19&lt;O297+(O297*($B$5/$E$19)),$E$19,O297+(O297*($B$5/$E$19)))</f>
        <v>777.23210101776806</v>
      </c>
      <c r="L297" s="18">
        <f t="shared" si="19"/>
        <v>153.26048888757799</v>
      </c>
      <c r="M297" s="18">
        <f t="shared" si="20"/>
        <v>623.97161213019012</v>
      </c>
      <c r="N297" s="8">
        <v>0</v>
      </c>
      <c r="O297" s="18">
        <f t="shared" si="21"/>
        <v>45978.146666273395</v>
      </c>
    </row>
    <row r="298" spans="10:15" x14ac:dyDescent="0.25">
      <c r="J298" s="8">
        <v>295</v>
      </c>
      <c r="K298" s="21">
        <f>IF($E$19&lt;O298+(O298*($B$5/$E$19)),$E$19,O298+(O298*($B$5/$E$19)))</f>
        <v>777.23210101776806</v>
      </c>
      <c r="L298" s="18">
        <f t="shared" si="19"/>
        <v>151.18058351381069</v>
      </c>
      <c r="M298" s="18">
        <f t="shared" si="20"/>
        <v>626.05151750395737</v>
      </c>
      <c r="N298" s="8">
        <v>0</v>
      </c>
      <c r="O298" s="18">
        <f t="shared" si="21"/>
        <v>45354.175054143205</v>
      </c>
    </row>
    <row r="299" spans="10:15" x14ac:dyDescent="0.25">
      <c r="J299" s="8">
        <v>296</v>
      </c>
      <c r="K299" s="21">
        <f>IF($E$19&lt;O299+(O299*($B$5/$E$19)),$E$19,O299+(O299*($B$5/$E$19)))</f>
        <v>777.23210101776806</v>
      </c>
      <c r="L299" s="18">
        <f t="shared" si="19"/>
        <v>149.09374512213085</v>
      </c>
      <c r="M299" s="18">
        <f t="shared" si="20"/>
        <v>628.13835589563723</v>
      </c>
      <c r="N299" s="8">
        <v>0</v>
      </c>
      <c r="O299" s="18">
        <f t="shared" si="21"/>
        <v>44728.12353663925</v>
      </c>
    </row>
    <row r="300" spans="10:15" x14ac:dyDescent="0.25">
      <c r="J300" s="8">
        <v>297</v>
      </c>
      <c r="K300" s="21">
        <f>IF($E$19&lt;O300+(O300*($B$5/$E$19)),$E$19,O300+(O300*($B$5/$E$19)))</f>
        <v>777.23210101776806</v>
      </c>
      <c r="L300" s="18">
        <f t="shared" si="19"/>
        <v>146.99995060247872</v>
      </c>
      <c r="M300" s="18">
        <f t="shared" si="20"/>
        <v>630.23215041528931</v>
      </c>
      <c r="N300" s="8">
        <v>0</v>
      </c>
      <c r="O300" s="18">
        <f t="shared" si="21"/>
        <v>44099.985180743613</v>
      </c>
    </row>
    <row r="301" spans="10:15" x14ac:dyDescent="0.25">
      <c r="J301" s="8">
        <v>298</v>
      </c>
      <c r="K301" s="21">
        <f>IF($E$19&lt;O301+(O301*($B$5/$E$19)),$E$19,O301+(O301*($B$5/$E$19)))</f>
        <v>777.23210101776806</v>
      </c>
      <c r="L301" s="18">
        <f t="shared" si="19"/>
        <v>144.89917676776108</v>
      </c>
      <c r="M301" s="18">
        <f t="shared" si="20"/>
        <v>632.33292425000695</v>
      </c>
      <c r="N301" s="8">
        <v>0</v>
      </c>
      <c r="O301" s="18">
        <f t="shared" si="21"/>
        <v>43469.753030328327</v>
      </c>
    </row>
    <row r="302" spans="10:15" x14ac:dyDescent="0.25">
      <c r="J302" s="8">
        <v>299</v>
      </c>
      <c r="K302" s="21">
        <f>IF($E$19&lt;O302+(O302*($B$5/$E$19)),$E$19,O302+(O302*($B$5/$E$19)))</f>
        <v>777.23210101776806</v>
      </c>
      <c r="L302" s="18">
        <f t="shared" si="19"/>
        <v>142.79140035359441</v>
      </c>
      <c r="M302" s="18">
        <f t="shared" si="20"/>
        <v>634.44070066417362</v>
      </c>
      <c r="N302" s="8">
        <v>0</v>
      </c>
      <c r="O302" s="18">
        <f t="shared" si="21"/>
        <v>42837.420106078323</v>
      </c>
    </row>
    <row r="303" spans="10:15" x14ac:dyDescent="0.25">
      <c r="J303" s="8">
        <v>300</v>
      </c>
      <c r="K303" s="21">
        <f>IF($E$19&lt;O303+(O303*($B$5/$E$19)),$E$19,O303+(O303*($B$5/$E$19)))</f>
        <v>777.23210101776806</v>
      </c>
      <c r="L303" s="18">
        <f t="shared" si="19"/>
        <v>140.67659801804717</v>
      </c>
      <c r="M303" s="18">
        <f t="shared" si="20"/>
        <v>636.55550299972083</v>
      </c>
      <c r="N303" s="8">
        <v>0</v>
      </c>
      <c r="O303" s="18">
        <f t="shared" si="21"/>
        <v>42202.979405414153</v>
      </c>
    </row>
    <row r="304" spans="10:15" x14ac:dyDescent="0.25">
      <c r="J304" s="8">
        <v>301</v>
      </c>
      <c r="K304" s="21">
        <f>IF($E$19&lt;O304+(O304*($B$5/$E$19)),$E$19,O304+(O304*($B$5/$E$19)))</f>
        <v>777.23210101776806</v>
      </c>
      <c r="L304" s="18">
        <f t="shared" si="19"/>
        <v>138.55474634138145</v>
      </c>
      <c r="M304" s="18">
        <f t="shared" si="20"/>
        <v>638.67735467638659</v>
      </c>
      <c r="N304" s="8">
        <v>0</v>
      </c>
      <c r="O304" s="18">
        <f t="shared" si="21"/>
        <v>41566.423902414434</v>
      </c>
    </row>
    <row r="305" spans="10:15" x14ac:dyDescent="0.25">
      <c r="J305" s="8">
        <v>302</v>
      </c>
      <c r="K305" s="21">
        <f>IF($E$19&lt;O305+(O305*($B$5/$E$19)),$E$19,O305+(O305*($B$5/$E$19)))</f>
        <v>777.23210101776806</v>
      </c>
      <c r="L305" s="18">
        <f t="shared" si="19"/>
        <v>136.42582182579349</v>
      </c>
      <c r="M305" s="18">
        <f t="shared" si="20"/>
        <v>640.80627919197457</v>
      </c>
      <c r="N305" s="8">
        <v>0</v>
      </c>
      <c r="O305" s="18">
        <f t="shared" si="21"/>
        <v>40927.746547738047</v>
      </c>
    </row>
    <row r="306" spans="10:15" x14ac:dyDescent="0.25">
      <c r="J306" s="8">
        <v>303</v>
      </c>
      <c r="K306" s="21">
        <f>IF($E$19&lt;O306+(O306*($B$5/$E$19)),$E$19,O306+(O306*($B$5/$E$19)))</f>
        <v>777.23210101776806</v>
      </c>
      <c r="L306" s="18">
        <f t="shared" si="19"/>
        <v>134.28980089515358</v>
      </c>
      <c r="M306" s="18">
        <f t="shared" si="20"/>
        <v>642.94230012261448</v>
      </c>
      <c r="N306" s="8">
        <v>0</v>
      </c>
      <c r="O306" s="18">
        <f t="shared" si="21"/>
        <v>40286.940268546074</v>
      </c>
    </row>
    <row r="307" spans="10:15" x14ac:dyDescent="0.25">
      <c r="J307" s="8">
        <v>304</v>
      </c>
      <c r="K307" s="21">
        <f>IF($E$19&lt;O307+(O307*($B$5/$E$19)),$E$19,O307+(O307*($B$5/$E$19)))</f>
        <v>777.23210101776806</v>
      </c>
      <c r="L307" s="18">
        <f t="shared" si="19"/>
        <v>132.14665989474486</v>
      </c>
      <c r="M307" s="18">
        <f t="shared" si="20"/>
        <v>645.0854411230232</v>
      </c>
      <c r="N307" s="8">
        <v>0</v>
      </c>
      <c r="O307" s="18">
        <f t="shared" si="21"/>
        <v>39643.997968423457</v>
      </c>
    </row>
    <row r="308" spans="10:15" x14ac:dyDescent="0.25">
      <c r="J308" s="8">
        <v>305</v>
      </c>
      <c r="K308" s="21">
        <f>IF($E$19&lt;O308+(O308*($B$5/$E$19)),$E$19,O308+(O308*($B$5/$E$19)))</f>
        <v>777.23210101776806</v>
      </c>
      <c r="L308" s="18">
        <f t="shared" si="19"/>
        <v>129.99637509100145</v>
      </c>
      <c r="M308" s="18">
        <f t="shared" si="20"/>
        <v>647.23572592676658</v>
      </c>
      <c r="N308" s="8">
        <v>0</v>
      </c>
      <c r="O308" s="18">
        <f t="shared" si="21"/>
        <v>38998.912527300432</v>
      </c>
    </row>
    <row r="309" spans="10:15" x14ac:dyDescent="0.25">
      <c r="J309" s="8">
        <v>306</v>
      </c>
      <c r="K309" s="21">
        <f>IF($E$19&lt;O309+(O309*($B$5/$E$19)),$E$19,O309+(O309*($B$5/$E$19)))</f>
        <v>777.23210101776806</v>
      </c>
      <c r="L309" s="18">
        <f t="shared" si="19"/>
        <v>127.83892267124556</v>
      </c>
      <c r="M309" s="18">
        <f t="shared" si="20"/>
        <v>649.39317834652252</v>
      </c>
      <c r="N309" s="8">
        <v>0</v>
      </c>
      <c r="O309" s="18">
        <f t="shared" si="21"/>
        <v>38351.676801373666</v>
      </c>
    </row>
    <row r="310" spans="10:15" x14ac:dyDescent="0.25">
      <c r="J310" s="8">
        <v>307</v>
      </c>
      <c r="K310" s="21">
        <f>IF($E$19&lt;O310+(O310*($B$5/$E$19)),$E$19,O310+(O310*($B$5/$E$19)))</f>
        <v>777.23210101776806</v>
      </c>
      <c r="L310" s="18">
        <f t="shared" si="19"/>
        <v>125.67427874342381</v>
      </c>
      <c r="M310" s="18">
        <f t="shared" si="20"/>
        <v>651.55782227434429</v>
      </c>
      <c r="N310" s="8">
        <v>0</v>
      </c>
      <c r="O310" s="18">
        <f t="shared" si="21"/>
        <v>37702.283623027142</v>
      </c>
    </row>
    <row r="311" spans="10:15" x14ac:dyDescent="0.25">
      <c r="J311" s="8">
        <v>308</v>
      </c>
      <c r="K311" s="21">
        <f>IF($E$19&lt;O311+(O311*($B$5/$E$19)),$E$19,O311+(O311*($B$5/$E$19)))</f>
        <v>777.23210101776806</v>
      </c>
      <c r="L311" s="18">
        <f t="shared" si="19"/>
        <v>123.50241933584266</v>
      </c>
      <c r="M311" s="18">
        <f t="shared" si="20"/>
        <v>653.7296816819254</v>
      </c>
      <c r="N311" s="8">
        <v>0</v>
      </c>
      <c r="O311" s="18">
        <f t="shared" si="21"/>
        <v>37050.7258007528</v>
      </c>
    </row>
    <row r="312" spans="10:15" x14ac:dyDescent="0.25">
      <c r="J312" s="8">
        <v>309</v>
      </c>
      <c r="K312" s="21">
        <f>IF($E$19&lt;O312+(O312*($B$5/$E$19)),$E$19,O312+(O312*($B$5/$E$19)))</f>
        <v>777.23210101776806</v>
      </c>
      <c r="L312" s="18">
        <f t="shared" si="19"/>
        <v>121.3233203969029</v>
      </c>
      <c r="M312" s="18">
        <f t="shared" si="20"/>
        <v>655.90878062086517</v>
      </c>
      <c r="N312" s="8">
        <v>0</v>
      </c>
      <c r="O312" s="18">
        <f t="shared" si="21"/>
        <v>36396.996119070871</v>
      </c>
    </row>
    <row r="313" spans="10:15" x14ac:dyDescent="0.25">
      <c r="J313" s="8">
        <v>310</v>
      </c>
      <c r="K313" s="21">
        <f>IF($E$19&lt;O313+(O313*($B$5/$E$19)),$E$19,O313+(O313*($B$5/$E$19)))</f>
        <v>777.23210101776806</v>
      </c>
      <c r="L313" s="18">
        <f t="shared" si="19"/>
        <v>119.13695779483335</v>
      </c>
      <c r="M313" s="18">
        <f t="shared" si="20"/>
        <v>658.09514322293467</v>
      </c>
      <c r="N313" s="8">
        <v>0</v>
      </c>
      <c r="O313" s="18">
        <f t="shared" si="21"/>
        <v>35741.087338450008</v>
      </c>
    </row>
    <row r="314" spans="10:15" x14ac:dyDescent="0.25">
      <c r="J314" s="8">
        <v>311</v>
      </c>
      <c r="K314" s="21">
        <f>IF($E$19&lt;O314+(O314*($B$5/$E$19)),$E$19,O314+(O314*($B$5/$E$19)))</f>
        <v>777.23210101776806</v>
      </c>
      <c r="L314" s="18">
        <f t="shared" si="19"/>
        <v>116.94330731742359</v>
      </c>
      <c r="M314" s="18">
        <f t="shared" si="20"/>
        <v>660.28879370034451</v>
      </c>
      <c r="N314" s="8">
        <v>0</v>
      </c>
      <c r="O314" s="18">
        <f t="shared" si="21"/>
        <v>35082.992195227074</v>
      </c>
    </row>
    <row r="315" spans="10:15" x14ac:dyDescent="0.25">
      <c r="J315" s="8">
        <v>312</v>
      </c>
      <c r="K315" s="21">
        <f>IF($E$19&lt;O315+(O315*($B$5/$E$19)),$E$19,O315+(O315*($B$5/$E$19)))</f>
        <v>777.23210101776806</v>
      </c>
      <c r="L315" s="18">
        <f t="shared" si="19"/>
        <v>114.74234467175576</v>
      </c>
      <c r="M315" s="18">
        <f t="shared" si="20"/>
        <v>662.48975634601231</v>
      </c>
      <c r="N315" s="8">
        <v>0</v>
      </c>
      <c r="O315" s="18">
        <f t="shared" si="21"/>
        <v>34422.703401526727</v>
      </c>
    </row>
    <row r="316" spans="10:15" x14ac:dyDescent="0.25">
      <c r="J316" s="8">
        <v>313</v>
      </c>
      <c r="K316" s="21">
        <f>IF($E$19&lt;O316+(O316*($B$5/$E$19)),$E$19,O316+(O316*($B$5/$E$19)))</f>
        <v>777.23210101776806</v>
      </c>
      <c r="L316" s="18">
        <f t="shared" si="19"/>
        <v>112.53404548393571</v>
      </c>
      <c r="M316" s="18">
        <f t="shared" si="20"/>
        <v>664.6980555338323</v>
      </c>
      <c r="N316" s="8">
        <v>0</v>
      </c>
      <c r="O316" s="18">
        <f t="shared" si="21"/>
        <v>33760.213645180716</v>
      </c>
    </row>
    <row r="317" spans="10:15" x14ac:dyDescent="0.25">
      <c r="J317" s="8">
        <v>314</v>
      </c>
      <c r="K317" s="21">
        <f>IF($E$19&lt;O317+(O317*($B$5/$E$19)),$E$19,O317+(O317*($B$5/$E$19)))</f>
        <v>777.23210101776806</v>
      </c>
      <c r="L317" s="18">
        <f t="shared" si="19"/>
        <v>110.31838529882295</v>
      </c>
      <c r="M317" s="18">
        <f t="shared" si="20"/>
        <v>666.91371571894513</v>
      </c>
      <c r="N317" s="8">
        <v>0</v>
      </c>
      <c r="O317" s="18">
        <f t="shared" si="21"/>
        <v>33095.515589646886</v>
      </c>
    </row>
    <row r="318" spans="10:15" x14ac:dyDescent="0.25">
      <c r="J318" s="8">
        <v>315</v>
      </c>
      <c r="K318" s="21">
        <f>IF($E$19&lt;O318+(O318*($B$5/$E$19)),$E$19,O318+(O318*($B$5/$E$19)))</f>
        <v>777.23210101776806</v>
      </c>
      <c r="L318" s="18">
        <f t="shared" si="19"/>
        <v>108.09533957975981</v>
      </c>
      <c r="M318" s="18">
        <f t="shared" si="20"/>
        <v>669.13676143800831</v>
      </c>
      <c r="N318" s="8">
        <v>0</v>
      </c>
      <c r="O318" s="18">
        <f t="shared" si="21"/>
        <v>32428.601873927943</v>
      </c>
    </row>
    <row r="319" spans="10:15" x14ac:dyDescent="0.25">
      <c r="J319" s="8">
        <v>316</v>
      </c>
      <c r="K319" s="21">
        <f>IF($E$19&lt;O319+(O319*($B$5/$E$19)),$E$19,O319+(O319*($B$5/$E$19)))</f>
        <v>777.23210101776806</v>
      </c>
      <c r="L319" s="18">
        <f t="shared" si="19"/>
        <v>105.86488370829979</v>
      </c>
      <c r="M319" s="18">
        <f t="shared" si="20"/>
        <v>671.36721730946829</v>
      </c>
      <c r="N319" s="8">
        <v>0</v>
      </c>
      <c r="O319" s="18">
        <f t="shared" si="21"/>
        <v>31759.465112489936</v>
      </c>
    </row>
    <row r="320" spans="10:15" x14ac:dyDescent="0.25">
      <c r="J320" s="8">
        <v>317</v>
      </c>
      <c r="K320" s="21">
        <f>IF($E$19&lt;O320+(O320*($B$5/$E$19)),$E$19,O320+(O320*($B$5/$E$19)))</f>
        <v>777.23210101776806</v>
      </c>
      <c r="L320" s="18">
        <f t="shared" si="19"/>
        <v>103.6269929839349</v>
      </c>
      <c r="M320" s="18">
        <f t="shared" si="20"/>
        <v>673.60510803383318</v>
      </c>
      <c r="N320" s="8">
        <v>0</v>
      </c>
      <c r="O320" s="18">
        <f t="shared" si="21"/>
        <v>31088.097895180468</v>
      </c>
    </row>
    <row r="321" spans="10:15" x14ac:dyDescent="0.25">
      <c r="J321" s="8">
        <v>318</v>
      </c>
      <c r="K321" s="21">
        <f>IF($E$19&lt;O321+(O321*($B$5/$E$19)),$E$19,O321+(O321*($B$5/$E$19)))</f>
        <v>777.23210101776806</v>
      </c>
      <c r="L321" s="18">
        <f t="shared" si="19"/>
        <v>101.38164262382212</v>
      </c>
      <c r="M321" s="18">
        <f t="shared" si="20"/>
        <v>675.85045839394593</v>
      </c>
      <c r="N321" s="8">
        <v>0</v>
      </c>
      <c r="O321" s="18">
        <f t="shared" si="21"/>
        <v>30414.492787146635</v>
      </c>
    </row>
    <row r="322" spans="10:15" x14ac:dyDescent="0.25">
      <c r="J322" s="8">
        <v>319</v>
      </c>
      <c r="K322" s="21">
        <f>IF($E$19&lt;O322+(O322*($B$5/$E$19)),$E$19,O322+(O322*($B$5/$E$19)))</f>
        <v>777.23210101776806</v>
      </c>
      <c r="L322" s="18">
        <f t="shared" si="19"/>
        <v>99.12880776250897</v>
      </c>
      <c r="M322" s="18">
        <f t="shared" si="20"/>
        <v>678.10329325525913</v>
      </c>
      <c r="N322" s="8">
        <v>0</v>
      </c>
      <c r="O322" s="18">
        <f t="shared" si="21"/>
        <v>29738.642328752689</v>
      </c>
    </row>
    <row r="323" spans="10:15" x14ac:dyDescent="0.25">
      <c r="J323" s="8">
        <v>320</v>
      </c>
      <c r="K323" s="21">
        <f>IF($E$19&lt;O323+(O323*($B$5/$E$19)),$E$19,O323+(O323*($B$5/$E$19)))</f>
        <v>777.23210101776806</v>
      </c>
      <c r="L323" s="18">
        <f t="shared" ref="L323:L363" si="22">O323*$B$5/$B$4</f>
        <v>96.868463451658101</v>
      </c>
      <c r="M323" s="18">
        <f t="shared" si="20"/>
        <v>680.3636375661099</v>
      </c>
      <c r="N323" s="8">
        <v>0</v>
      </c>
      <c r="O323" s="18">
        <f t="shared" si="21"/>
        <v>29060.53903549743</v>
      </c>
    </row>
    <row r="324" spans="10:15" x14ac:dyDescent="0.25">
      <c r="J324" s="8">
        <v>321</v>
      </c>
      <c r="K324" s="21">
        <f>IF($E$19&lt;O324+(O324*($B$5/$E$19)),$E$19,O324+(O324*($B$5/$E$19)))</f>
        <v>777.23210101776806</v>
      </c>
      <c r="L324" s="18">
        <f t="shared" si="22"/>
        <v>94.600584659771073</v>
      </c>
      <c r="M324" s="18">
        <f t="shared" si="20"/>
        <v>682.63151635799704</v>
      </c>
      <c r="N324" s="8">
        <v>0</v>
      </c>
      <c r="O324" s="18">
        <f t="shared" si="21"/>
        <v>28380.175397931322</v>
      </c>
    </row>
    <row r="325" spans="10:15" x14ac:dyDescent="0.25">
      <c r="J325" s="8">
        <v>322</v>
      </c>
      <c r="K325" s="21">
        <f>IF($E$19&lt;O325+(O325*($B$5/$E$19)),$E$19,O325+(O325*($B$5/$E$19)))</f>
        <v>777.23210101776806</v>
      </c>
      <c r="L325" s="18">
        <f t="shared" si="22"/>
        <v>92.32514627191108</v>
      </c>
      <c r="M325" s="18">
        <f t="shared" ref="M325:M363" si="23">K325-L325</f>
        <v>684.90695474585698</v>
      </c>
      <c r="N325" s="8">
        <v>0</v>
      </c>
      <c r="O325" s="18">
        <f t="shared" ref="O325:O363" si="24">O324-M324-N324</f>
        <v>27697.543881573325</v>
      </c>
    </row>
    <row r="326" spans="10:15" x14ac:dyDescent="0.25">
      <c r="J326" s="8">
        <v>323</v>
      </c>
      <c r="K326" s="21">
        <f>IF($E$19&lt;O326+(O326*($B$5/$E$19)),$E$19,O326+(O326*($B$5/$E$19)))</f>
        <v>777.23210101776806</v>
      </c>
      <c r="L326" s="18">
        <f t="shared" si="22"/>
        <v>90.042123089424891</v>
      </c>
      <c r="M326" s="18">
        <f t="shared" si="23"/>
        <v>687.18997792834318</v>
      </c>
      <c r="N326" s="8">
        <v>0</v>
      </c>
      <c r="O326" s="18">
        <f t="shared" si="24"/>
        <v>27012.636926827468</v>
      </c>
    </row>
    <row r="327" spans="10:15" x14ac:dyDescent="0.25">
      <c r="J327" s="8">
        <v>324</v>
      </c>
      <c r="K327" s="21">
        <f>IF($E$19&lt;O327+(O327*($B$5/$E$19)),$E$19,O327+(O327*($B$5/$E$19)))</f>
        <v>777.23210101776806</v>
      </c>
      <c r="L327" s="18">
        <f t="shared" si="22"/>
        <v>87.75148982966374</v>
      </c>
      <c r="M327" s="18">
        <f t="shared" si="23"/>
        <v>689.48061118810438</v>
      </c>
      <c r="N327" s="8">
        <v>0</v>
      </c>
      <c r="O327" s="18">
        <f t="shared" si="24"/>
        <v>26325.446948899124</v>
      </c>
    </row>
    <row r="328" spans="10:15" x14ac:dyDescent="0.25">
      <c r="J328" s="8">
        <v>325</v>
      </c>
      <c r="K328" s="21">
        <f>IF($E$19&lt;O328+(O328*($B$5/$E$19)),$E$19,O328+(O328*($B$5/$E$19)))</f>
        <v>777.23210101776806</v>
      </c>
      <c r="L328" s="18">
        <f t="shared" si="22"/>
        <v>85.453221125703408</v>
      </c>
      <c r="M328" s="18">
        <f t="shared" si="23"/>
        <v>691.77887989206465</v>
      </c>
      <c r="N328" s="8">
        <v>0</v>
      </c>
      <c r="O328" s="18">
        <f t="shared" si="24"/>
        <v>25635.966337711019</v>
      </c>
    </row>
    <row r="329" spans="10:15" x14ac:dyDescent="0.25">
      <c r="J329" s="8">
        <v>326</v>
      </c>
      <c r="K329" s="21">
        <f>IF($E$19&lt;O329+(O329*($B$5/$E$19)),$E$19,O329+(O329*($B$5/$E$19)))</f>
        <v>777.23210101776806</v>
      </c>
      <c r="L329" s="18">
        <f t="shared" si="22"/>
        <v>83.147291526063171</v>
      </c>
      <c r="M329" s="18">
        <f t="shared" si="23"/>
        <v>694.08480949170485</v>
      </c>
      <c r="N329" s="8">
        <v>0</v>
      </c>
      <c r="O329" s="18">
        <f t="shared" si="24"/>
        <v>24944.187457818953</v>
      </c>
    </row>
    <row r="330" spans="10:15" x14ac:dyDescent="0.25">
      <c r="J330" s="8">
        <v>327</v>
      </c>
      <c r="K330" s="21">
        <f>IF($E$19&lt;O330+(O330*($B$5/$E$19)),$E$19,O330+(O330*($B$5/$E$19)))</f>
        <v>777.23210101776806</v>
      </c>
      <c r="L330" s="18">
        <f t="shared" si="22"/>
        <v>80.833675494424156</v>
      </c>
      <c r="M330" s="18">
        <f t="shared" si="23"/>
        <v>696.39842552334392</v>
      </c>
      <c r="N330" s="8">
        <v>0</v>
      </c>
      <c r="O330" s="18">
        <f t="shared" si="24"/>
        <v>24250.102648327247</v>
      </c>
    </row>
    <row r="331" spans="10:15" x14ac:dyDescent="0.25">
      <c r="J331" s="8">
        <v>328</v>
      </c>
      <c r="K331" s="21">
        <f>IF($E$19&lt;O331+(O331*($B$5/$E$19)),$E$19,O331+(O331*($B$5/$E$19)))</f>
        <v>777.23210101776806</v>
      </c>
      <c r="L331" s="18">
        <f t="shared" si="22"/>
        <v>78.512347409346347</v>
      </c>
      <c r="M331" s="18">
        <f t="shared" si="23"/>
        <v>698.71975360842168</v>
      </c>
      <c r="N331" s="8">
        <v>0</v>
      </c>
      <c r="O331" s="18">
        <f t="shared" si="24"/>
        <v>23553.704222803903</v>
      </c>
    </row>
    <row r="332" spans="10:15" x14ac:dyDescent="0.25">
      <c r="J332" s="8">
        <v>329</v>
      </c>
      <c r="K332" s="21">
        <f>IF($E$19&lt;O332+(O332*($B$5/$E$19)),$E$19,O332+(O332*($B$5/$E$19)))</f>
        <v>777.23210101776806</v>
      </c>
      <c r="L332" s="18">
        <f t="shared" si="22"/>
        <v>76.183281563984949</v>
      </c>
      <c r="M332" s="18">
        <f t="shared" si="23"/>
        <v>701.04881945378315</v>
      </c>
      <c r="N332" s="8">
        <v>0</v>
      </c>
      <c r="O332" s="18">
        <f t="shared" si="24"/>
        <v>22854.984469195482</v>
      </c>
    </row>
    <row r="333" spans="10:15" x14ac:dyDescent="0.25">
      <c r="J333" s="8">
        <v>330</v>
      </c>
      <c r="K333" s="21">
        <f>IF($E$19&lt;O333+(O333*($B$5/$E$19)),$E$19,O333+(O333*($B$5/$E$19)))</f>
        <v>777.23210101776806</v>
      </c>
      <c r="L333" s="18">
        <f t="shared" si="22"/>
        <v>73.846452165805673</v>
      </c>
      <c r="M333" s="18">
        <f t="shared" si="23"/>
        <v>703.3856488519624</v>
      </c>
      <c r="N333" s="8">
        <v>0</v>
      </c>
      <c r="O333" s="18">
        <f t="shared" si="24"/>
        <v>22153.935649741699</v>
      </c>
    </row>
    <row r="334" spans="10:15" x14ac:dyDescent="0.25">
      <c r="J334" s="8">
        <v>331</v>
      </c>
      <c r="K334" s="21">
        <f>IF($E$19&lt;O334+(O334*($B$5/$E$19)),$E$19,O334+(O334*($B$5/$E$19)))</f>
        <v>777.23210101776806</v>
      </c>
      <c r="L334" s="18">
        <f t="shared" si="22"/>
        <v>71.501833336299129</v>
      </c>
      <c r="M334" s="18">
        <f t="shared" si="23"/>
        <v>705.73026768146894</v>
      </c>
      <c r="N334" s="8">
        <v>0</v>
      </c>
      <c r="O334" s="18">
        <f t="shared" si="24"/>
        <v>21450.550000889736</v>
      </c>
    </row>
    <row r="335" spans="10:15" x14ac:dyDescent="0.25">
      <c r="J335" s="8">
        <v>332</v>
      </c>
      <c r="K335" s="21">
        <f>IF($E$19&lt;O335+(O335*($B$5/$E$19)),$E$19,O335+(O335*($B$5/$E$19)))</f>
        <v>777.23210101776806</v>
      </c>
      <c r="L335" s="18">
        <f t="shared" si="22"/>
        <v>69.149399110694233</v>
      </c>
      <c r="M335" s="18">
        <f t="shared" si="23"/>
        <v>708.08270190707378</v>
      </c>
      <c r="N335" s="8">
        <v>0</v>
      </c>
      <c r="O335" s="18">
        <f t="shared" si="24"/>
        <v>20744.819733208267</v>
      </c>
    </row>
    <row r="336" spans="10:15" x14ac:dyDescent="0.25">
      <c r="J336" s="8">
        <v>333</v>
      </c>
      <c r="K336" s="21">
        <f>IF($E$19&lt;O336+(O336*($B$5/$E$19)),$E$19,O336+(O336*($B$5/$E$19)))</f>
        <v>777.23210101776806</v>
      </c>
      <c r="L336" s="18">
        <f t="shared" si="22"/>
        <v>66.789123437670639</v>
      </c>
      <c r="M336" s="18">
        <f t="shared" si="23"/>
        <v>710.44297758009748</v>
      </c>
      <c r="N336" s="8">
        <v>0</v>
      </c>
      <c r="O336" s="18">
        <f t="shared" si="24"/>
        <v>20036.737031301192</v>
      </c>
    </row>
    <row r="337" spans="10:15" x14ac:dyDescent="0.25">
      <c r="J337" s="8">
        <v>334</v>
      </c>
      <c r="K337" s="21">
        <f>IF($E$19&lt;O337+(O337*($B$5/$E$19)),$E$19,O337+(O337*($B$5/$E$19)))</f>
        <v>777.23210101776806</v>
      </c>
      <c r="L337" s="18">
        <f t="shared" si="22"/>
        <v>64.420980179070327</v>
      </c>
      <c r="M337" s="18">
        <f t="shared" si="23"/>
        <v>712.81112083869778</v>
      </c>
      <c r="N337" s="8">
        <v>0</v>
      </c>
      <c r="O337" s="18">
        <f t="shared" si="24"/>
        <v>19326.294053721096</v>
      </c>
    </row>
    <row r="338" spans="10:15" x14ac:dyDescent="0.25">
      <c r="J338" s="8">
        <v>335</v>
      </c>
      <c r="K338" s="21">
        <f>IF($E$19&lt;O338+(O338*($B$5/$E$19)),$E$19,O338+(O338*($B$5/$E$19)))</f>
        <v>777.23210101776806</v>
      </c>
      <c r="L338" s="18">
        <f t="shared" si="22"/>
        <v>62.044943109607999</v>
      </c>
      <c r="M338" s="18">
        <f t="shared" si="23"/>
        <v>715.18715790816009</v>
      </c>
      <c r="N338" s="8">
        <v>0</v>
      </c>
      <c r="O338" s="18">
        <f t="shared" si="24"/>
        <v>18613.482932882398</v>
      </c>
    </row>
    <row r="339" spans="10:15" x14ac:dyDescent="0.25">
      <c r="J339" s="8">
        <v>336</v>
      </c>
      <c r="K339" s="21">
        <f>IF($E$19&lt;O339+(O339*($B$5/$E$19)),$E$19,O339+(O339*($B$5/$E$19)))</f>
        <v>777.23210101776806</v>
      </c>
      <c r="L339" s="18">
        <f t="shared" si="22"/>
        <v>59.660985916580792</v>
      </c>
      <c r="M339" s="18">
        <f t="shared" si="23"/>
        <v>717.57111510118727</v>
      </c>
      <c r="N339" s="8">
        <v>0</v>
      </c>
      <c r="O339" s="18">
        <f t="shared" si="24"/>
        <v>17898.295774974238</v>
      </c>
    </row>
    <row r="340" spans="10:15" x14ac:dyDescent="0.25">
      <c r="J340" s="8">
        <v>337</v>
      </c>
      <c r="K340" s="21">
        <f>IF($E$19&lt;O340+(O340*($B$5/$E$19)),$E$19,O340+(O340*($B$5/$E$19)))</f>
        <v>777.23210101776806</v>
      </c>
      <c r="L340" s="18">
        <f t="shared" si="22"/>
        <v>57.269082199576843</v>
      </c>
      <c r="M340" s="18">
        <f t="shared" si="23"/>
        <v>719.96301881819124</v>
      </c>
      <c r="N340" s="8">
        <v>0</v>
      </c>
      <c r="O340" s="18">
        <f t="shared" si="24"/>
        <v>17180.724659873053</v>
      </c>
    </row>
    <row r="341" spans="10:15" x14ac:dyDescent="0.25">
      <c r="J341" s="8">
        <v>338</v>
      </c>
      <c r="K341" s="21">
        <f>IF($E$19&lt;O341+(O341*($B$5/$E$19)),$E$19,O341+(O341*($B$5/$E$19)))</f>
        <v>777.23210101776806</v>
      </c>
      <c r="L341" s="18">
        <f t="shared" si="22"/>
        <v>54.86920547018287</v>
      </c>
      <c r="M341" s="18">
        <f t="shared" si="23"/>
        <v>722.36289554758514</v>
      </c>
      <c r="N341" s="8">
        <v>0</v>
      </c>
      <c r="O341" s="18">
        <f t="shared" si="24"/>
        <v>16460.761641054862</v>
      </c>
    </row>
    <row r="342" spans="10:15" x14ac:dyDescent="0.25">
      <c r="J342" s="8">
        <v>339</v>
      </c>
      <c r="K342" s="21">
        <f>IF($E$19&lt;O342+(O342*($B$5/$E$19)),$E$19,O342+(O342*($B$5/$E$19)))</f>
        <v>777.23210101776806</v>
      </c>
      <c r="L342" s="18">
        <f t="shared" si="22"/>
        <v>52.461329151690926</v>
      </c>
      <c r="M342" s="18">
        <f t="shared" si="23"/>
        <v>724.7707718660771</v>
      </c>
      <c r="N342" s="8">
        <v>0</v>
      </c>
      <c r="O342" s="18">
        <f t="shared" si="24"/>
        <v>15738.398745507277</v>
      </c>
    </row>
    <row r="343" spans="10:15" x14ac:dyDescent="0.25">
      <c r="J343" s="8">
        <v>340</v>
      </c>
      <c r="K343" s="21">
        <f>IF($E$19&lt;O343+(O343*($B$5/$E$19)),$E$19,O343+(O343*($B$5/$E$19)))</f>
        <v>777.23210101776806</v>
      </c>
      <c r="L343" s="18">
        <f t="shared" si="22"/>
        <v>50.045426578804005</v>
      </c>
      <c r="M343" s="18">
        <f t="shared" si="23"/>
        <v>727.18667443896402</v>
      </c>
      <c r="N343" s="8">
        <v>0</v>
      </c>
      <c r="O343" s="18">
        <f t="shared" si="24"/>
        <v>15013.6279736412</v>
      </c>
    </row>
    <row r="344" spans="10:15" x14ac:dyDescent="0.25">
      <c r="J344" s="8">
        <v>341</v>
      </c>
      <c r="K344" s="21">
        <f>IF($E$19&lt;O344+(O344*($B$5/$E$19)),$E$19,O344+(O344*($B$5/$E$19)))</f>
        <v>777.23210101776806</v>
      </c>
      <c r="L344" s="18">
        <f t="shared" si="22"/>
        <v>47.621470997340786</v>
      </c>
      <c r="M344" s="18">
        <f t="shared" si="23"/>
        <v>729.61063002042727</v>
      </c>
      <c r="N344" s="8">
        <v>0</v>
      </c>
      <c r="O344" s="18">
        <f t="shared" si="24"/>
        <v>14286.441299202235</v>
      </c>
    </row>
    <row r="345" spans="10:15" x14ac:dyDescent="0.25">
      <c r="J345" s="8">
        <v>342</v>
      </c>
      <c r="K345" s="21">
        <f>IF($E$19&lt;O345+(O345*($B$5/$E$19)),$E$19,O345+(O345*($B$5/$E$19)))</f>
        <v>777.23210101776806</v>
      </c>
      <c r="L345" s="18">
        <f t="shared" si="22"/>
        <v>45.189435563939362</v>
      </c>
      <c r="M345" s="18">
        <f t="shared" si="23"/>
        <v>732.0426654538287</v>
      </c>
      <c r="N345" s="8">
        <v>0</v>
      </c>
      <c r="O345" s="18">
        <f t="shared" si="24"/>
        <v>13556.830669181809</v>
      </c>
    </row>
    <row r="346" spans="10:15" x14ac:dyDescent="0.25">
      <c r="J346" s="8">
        <v>343</v>
      </c>
      <c r="K346" s="21">
        <f>IF($E$19&lt;O346+(O346*($B$5/$E$19)),$E$19,O346+(O346*($B$5/$E$19)))</f>
        <v>777.23210101776806</v>
      </c>
      <c r="L346" s="18">
        <f t="shared" si="22"/>
        <v>42.749293345759931</v>
      </c>
      <c r="M346" s="18">
        <f t="shared" si="23"/>
        <v>734.48280767200811</v>
      </c>
      <c r="N346" s="8">
        <v>0</v>
      </c>
      <c r="O346" s="18">
        <f t="shared" si="24"/>
        <v>12824.788003727979</v>
      </c>
    </row>
    <row r="347" spans="10:15" x14ac:dyDescent="0.25">
      <c r="J347" s="8">
        <v>344</v>
      </c>
      <c r="K347" s="21">
        <f>IF($E$19&lt;O347+(O347*($B$5/$E$19)),$E$19,O347+(O347*($B$5/$E$19)))</f>
        <v>777.23210101776806</v>
      </c>
      <c r="L347" s="18">
        <f t="shared" si="22"/>
        <v>40.301017320186574</v>
      </c>
      <c r="M347" s="18">
        <f t="shared" si="23"/>
        <v>736.93108369758147</v>
      </c>
      <c r="N347" s="8">
        <v>0</v>
      </c>
      <c r="O347" s="18">
        <f t="shared" si="24"/>
        <v>12090.305196055971</v>
      </c>
    </row>
    <row r="348" spans="10:15" x14ac:dyDescent="0.25">
      <c r="J348" s="8">
        <v>345</v>
      </c>
      <c r="K348" s="21">
        <f>IF($E$19&lt;O348+(O348*($B$5/$E$19)),$E$19,O348+(O348*($B$5/$E$19)))</f>
        <v>777.23210101776806</v>
      </c>
      <c r="L348" s="18">
        <f t="shared" si="22"/>
        <v>37.844580374527965</v>
      </c>
      <c r="M348" s="18">
        <f t="shared" si="23"/>
        <v>739.38752064324012</v>
      </c>
      <c r="N348" s="8">
        <v>0</v>
      </c>
      <c r="O348" s="18">
        <f t="shared" si="24"/>
        <v>11353.37411235839</v>
      </c>
    </row>
    <row r="349" spans="10:15" x14ac:dyDescent="0.25">
      <c r="J349" s="8">
        <v>346</v>
      </c>
      <c r="K349" s="21">
        <f>IF($E$19&lt;O349+(O349*($B$5/$E$19)),$E$19,O349+(O349*($B$5/$E$19)))</f>
        <v>777.23210101776806</v>
      </c>
      <c r="L349" s="18">
        <f t="shared" si="22"/>
        <v>35.379955305717168</v>
      </c>
      <c r="M349" s="18">
        <f t="shared" si="23"/>
        <v>741.85214571205086</v>
      </c>
      <c r="N349" s="8">
        <v>0</v>
      </c>
      <c r="O349" s="18">
        <f t="shared" si="24"/>
        <v>10613.986591715149</v>
      </c>
    </row>
    <row r="350" spans="10:15" x14ac:dyDescent="0.25">
      <c r="J350" s="8">
        <v>347</v>
      </c>
      <c r="K350" s="21">
        <f>IF($E$19&lt;O350+(O350*($B$5/$E$19)),$E$19,O350+(O350*($B$5/$E$19)))</f>
        <v>777.23210101776806</v>
      </c>
      <c r="L350" s="18">
        <f t="shared" si="22"/>
        <v>32.907114820010328</v>
      </c>
      <c r="M350" s="18">
        <f t="shared" si="23"/>
        <v>744.32498619775777</v>
      </c>
      <c r="N350" s="8">
        <v>0</v>
      </c>
      <c r="O350" s="18">
        <f t="shared" si="24"/>
        <v>9872.1344460030978</v>
      </c>
    </row>
    <row r="351" spans="10:15" x14ac:dyDescent="0.25">
      <c r="J351" s="8">
        <v>348</v>
      </c>
      <c r="K351" s="21">
        <f>IF($E$19&lt;O351+(O351*($B$5/$E$19)),$E$19,O351+(O351*($B$5/$E$19)))</f>
        <v>777.23210101776806</v>
      </c>
      <c r="L351" s="18">
        <f t="shared" si="22"/>
        <v>30.426031532684465</v>
      </c>
      <c r="M351" s="18">
        <f t="shared" si="23"/>
        <v>746.80606948508364</v>
      </c>
      <c r="N351" s="8">
        <v>0</v>
      </c>
      <c r="O351" s="18">
        <f t="shared" si="24"/>
        <v>9127.8094598053394</v>
      </c>
    </row>
    <row r="352" spans="10:15" x14ac:dyDescent="0.25">
      <c r="J352" s="8">
        <v>349</v>
      </c>
      <c r="K352" s="21">
        <f>IF($E$19&lt;O352+(O352*($B$5/$E$19)),$E$19,O352+(O352*($B$5/$E$19)))</f>
        <v>777.23210101776806</v>
      </c>
      <c r="L352" s="18">
        <f t="shared" si="22"/>
        <v>27.936677967734187</v>
      </c>
      <c r="M352" s="18">
        <f t="shared" si="23"/>
        <v>749.29542305003383</v>
      </c>
      <c r="N352" s="8">
        <v>0</v>
      </c>
      <c r="O352" s="18">
        <f t="shared" si="24"/>
        <v>8381.0033903202566</v>
      </c>
    </row>
    <row r="353" spans="10:15" x14ac:dyDescent="0.25">
      <c r="J353" s="8">
        <v>350</v>
      </c>
      <c r="K353" s="21">
        <f>IF($E$19&lt;O353+(O353*($B$5/$E$19)),$E$19,O353+(O353*($B$5/$E$19)))</f>
        <v>777.23210101776806</v>
      </c>
      <c r="L353" s="18">
        <f t="shared" si="22"/>
        <v>25.439026557567413</v>
      </c>
      <c r="M353" s="18">
        <f t="shared" si="23"/>
        <v>751.79307446020061</v>
      </c>
      <c r="N353" s="8">
        <v>0</v>
      </c>
      <c r="O353" s="18">
        <f t="shared" si="24"/>
        <v>7631.707967270223</v>
      </c>
    </row>
    <row r="354" spans="10:15" x14ac:dyDescent="0.25">
      <c r="J354" s="8">
        <v>351</v>
      </c>
      <c r="K354" s="21">
        <f>IF($E$19&lt;O354+(O354*($B$5/$E$19)),$E$19,O354+(O354*($B$5/$E$19)))</f>
        <v>777.23210101776806</v>
      </c>
      <c r="L354" s="18">
        <f t="shared" si="22"/>
        <v>22.933049642700073</v>
      </c>
      <c r="M354" s="18">
        <f t="shared" si="23"/>
        <v>754.29905137506796</v>
      </c>
      <c r="N354" s="8">
        <v>0</v>
      </c>
      <c r="O354" s="18">
        <f t="shared" si="24"/>
        <v>6879.9148928100221</v>
      </c>
    </row>
    <row r="355" spans="10:15" x14ac:dyDescent="0.25">
      <c r="J355" s="8">
        <v>352</v>
      </c>
      <c r="K355" s="21">
        <f>IF($E$19&lt;O355+(O355*($B$5/$E$19)),$E$19,O355+(O355*($B$5/$E$19)))</f>
        <v>777.23210101776806</v>
      </c>
      <c r="L355" s="18">
        <f t="shared" si="22"/>
        <v>20.418719471449847</v>
      </c>
      <c r="M355" s="18">
        <f t="shared" si="23"/>
        <v>756.81338154631817</v>
      </c>
      <c r="N355" s="8">
        <v>0</v>
      </c>
      <c r="O355" s="18">
        <f t="shared" si="24"/>
        <v>6125.6158414349538</v>
      </c>
    </row>
    <row r="356" spans="10:15" x14ac:dyDescent="0.25">
      <c r="J356" s="8">
        <v>353</v>
      </c>
      <c r="K356" s="21">
        <f>IF($E$19&lt;O356+(O356*($B$5/$E$19)),$E$19,O356+(O356*($B$5/$E$19)))</f>
        <v>777.23210101776806</v>
      </c>
      <c r="L356" s="18">
        <f t="shared" si="22"/>
        <v>17.896008199628785</v>
      </c>
      <c r="M356" s="18">
        <f t="shared" si="23"/>
        <v>759.33609281813926</v>
      </c>
      <c r="N356" s="8">
        <v>0</v>
      </c>
      <c r="O356" s="18">
        <f t="shared" si="24"/>
        <v>5368.8024598886359</v>
      </c>
    </row>
    <row r="357" spans="10:15" x14ac:dyDescent="0.25">
      <c r="J357" s="8">
        <v>354</v>
      </c>
      <c r="K357" s="21">
        <f>IF($E$19&lt;O357+(O357*($B$5/$E$19)),$E$19,O357+(O357*($B$5/$E$19)))</f>
        <v>777.23210101776806</v>
      </c>
      <c r="L357" s="18">
        <f t="shared" si="22"/>
        <v>15.364887890234989</v>
      </c>
      <c r="M357" s="18">
        <f t="shared" si="23"/>
        <v>761.86721312753309</v>
      </c>
      <c r="N357" s="8">
        <v>0</v>
      </c>
      <c r="O357" s="18">
        <f t="shared" si="24"/>
        <v>4609.4663670704967</v>
      </c>
    </row>
    <row r="358" spans="10:15" x14ac:dyDescent="0.25">
      <c r="J358" s="8">
        <v>355</v>
      </c>
      <c r="K358" s="21">
        <f>IF($E$19&lt;O358+(O358*($B$5/$E$19)),$E$19,O358+(O358*($B$5/$E$19)))</f>
        <v>777.23210101776806</v>
      </c>
      <c r="L358" s="18">
        <f t="shared" si="22"/>
        <v>12.825330513143212</v>
      </c>
      <c r="M358" s="18">
        <f t="shared" si="23"/>
        <v>764.40677050462489</v>
      </c>
      <c r="N358" s="8">
        <v>0</v>
      </c>
      <c r="O358" s="18">
        <f t="shared" si="24"/>
        <v>3847.5991539429638</v>
      </c>
    </row>
    <row r="359" spans="10:15" x14ac:dyDescent="0.25">
      <c r="J359" s="8">
        <v>356</v>
      </c>
      <c r="K359" s="21">
        <f>IF($E$19&lt;O359+(O359*($B$5/$E$19)),$E$19,O359+(O359*($B$5/$E$19)))</f>
        <v>777.23210101776806</v>
      </c>
      <c r="L359" s="18">
        <f t="shared" si="22"/>
        <v>10.277307944794464</v>
      </c>
      <c r="M359" s="18">
        <f t="shared" si="23"/>
        <v>766.95479307297364</v>
      </c>
      <c r="N359" s="8">
        <v>0</v>
      </c>
      <c r="O359" s="18">
        <f t="shared" si="24"/>
        <v>3083.1923834383388</v>
      </c>
    </row>
    <row r="360" spans="10:15" x14ac:dyDescent="0.25">
      <c r="J360" s="8">
        <v>357</v>
      </c>
      <c r="K360" s="21">
        <f>IF($E$19&lt;O360+(O360*($B$5/$E$19)),$E$19,O360+(O360*($B$5/$E$19)))</f>
        <v>777.23210101776806</v>
      </c>
      <c r="L360" s="18">
        <f t="shared" si="22"/>
        <v>7.7207919678845505</v>
      </c>
      <c r="M360" s="18">
        <f t="shared" si="23"/>
        <v>769.51130904988349</v>
      </c>
      <c r="N360" s="8">
        <v>0</v>
      </c>
      <c r="O360" s="18">
        <f t="shared" si="24"/>
        <v>2316.2375903653651</v>
      </c>
    </row>
    <row r="361" spans="10:15" x14ac:dyDescent="0.25">
      <c r="J361" s="8">
        <v>358</v>
      </c>
      <c r="K361" s="21">
        <f>IF($E$19&lt;O361+(O361*($B$5/$E$19)),$E$19,O361+(O361*($B$5/$E$19)))</f>
        <v>777.23210101776806</v>
      </c>
      <c r="L361" s="18">
        <f t="shared" si="22"/>
        <v>5.1557542710516051</v>
      </c>
      <c r="M361" s="18">
        <f t="shared" si="23"/>
        <v>772.07634674671647</v>
      </c>
      <c r="N361" s="8">
        <v>0</v>
      </c>
      <c r="O361" s="18">
        <f t="shared" si="24"/>
        <v>1546.7262813154816</v>
      </c>
    </row>
    <row r="362" spans="10:15" x14ac:dyDescent="0.25">
      <c r="J362" s="8">
        <v>359</v>
      </c>
      <c r="K362" s="21">
        <f>IF($E$19&lt;O362+(O362*($B$5/$E$19)),$E$19,O362+(O362*($B$5/$E$19)))</f>
        <v>774.6898016783997</v>
      </c>
      <c r="L362" s="18">
        <f t="shared" si="22"/>
        <v>2.5821664485625506</v>
      </c>
      <c r="M362" s="18">
        <f t="shared" si="23"/>
        <v>772.10763522983711</v>
      </c>
      <c r="N362" s="8">
        <v>0</v>
      </c>
      <c r="O362" s="18">
        <f t="shared" si="24"/>
        <v>774.64993456876516</v>
      </c>
    </row>
    <row r="363" spans="10:15" x14ac:dyDescent="0.25">
      <c r="J363" s="8">
        <v>360</v>
      </c>
      <c r="K363" s="21">
        <f>IF($E$19&lt;O363+(O363*($B$5/$E$19)),$E$19,O363+(O363*($B$5/$E$19)))</f>
        <v>2.5424301775455249</v>
      </c>
      <c r="L363" s="18">
        <f t="shared" si="22"/>
        <v>8.4743311297601539E-3</v>
      </c>
      <c r="M363" s="18">
        <f t="shared" si="23"/>
        <v>2.5339558464157648</v>
      </c>
      <c r="N363" s="8">
        <v>0</v>
      </c>
      <c r="O363" s="18">
        <f t="shared" si="24"/>
        <v>2.5422993389280464</v>
      </c>
    </row>
    <row r="364" spans="10:15" x14ac:dyDescent="0.25">
      <c r="J364" s="7" t="s">
        <v>17</v>
      </c>
      <c r="K364" s="18">
        <f>SUM(K3:K363)</f>
        <v>279803.55649723299</v>
      </c>
      <c r="L364" s="18">
        <f>SUM(L3:L363)</f>
        <v>117003.56484072721</v>
      </c>
      <c r="M364" s="18">
        <f>SUM(M3:M363)</f>
        <v>162799.99165650734</v>
      </c>
      <c r="N364" s="21">
        <f>SUM(N4:N363)</f>
        <v>0</v>
      </c>
      <c r="O364" s="8"/>
    </row>
  </sheetData>
  <mergeCells count="14">
    <mergeCell ref="G1:H1"/>
    <mergeCell ref="A11:B11"/>
    <mergeCell ref="A21:B21"/>
    <mergeCell ref="G17:H17"/>
    <mergeCell ref="J1:O1"/>
    <mergeCell ref="D15:E15"/>
    <mergeCell ref="A1:B1"/>
    <mergeCell ref="D2:E12"/>
    <mergeCell ref="D1:E1"/>
    <mergeCell ref="D23:E23"/>
    <mergeCell ref="D43:E43"/>
    <mergeCell ref="G14:H14"/>
    <mergeCell ref="G21:H21"/>
    <mergeCell ref="D25:E25"/>
  </mergeCells>
  <pageMargins left="0.7" right="0.7" top="0.75" bottom="0.75" header="0.3" footer="0.3"/>
  <pageSetup orientation="portrait" horizont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274BA-B726-4D7B-B16D-C671E495A0D2}">
  <dimension ref="A1:V44"/>
  <sheetViews>
    <sheetView workbookViewId="0">
      <selection activeCell="R47" sqref="R47"/>
    </sheetView>
  </sheetViews>
  <sheetFormatPr defaultRowHeight="15" x14ac:dyDescent="0.25"/>
  <cols>
    <col min="1" max="1" width="30.28515625" bestFit="1" customWidth="1"/>
    <col min="2" max="2" width="14.7109375" bestFit="1" customWidth="1"/>
    <col min="3" max="3" width="12.5703125" bestFit="1" customWidth="1"/>
    <col min="4" max="4" width="23.85546875" bestFit="1" customWidth="1"/>
    <col min="5" max="5" width="20.85546875" bestFit="1" customWidth="1"/>
    <col min="6" max="7" width="21.7109375" bestFit="1" customWidth="1"/>
    <col min="8" max="8" width="8.85546875" bestFit="1" customWidth="1"/>
    <col min="9" max="9" width="5" bestFit="1" customWidth="1"/>
    <col min="10" max="10" width="21.7109375" bestFit="1" customWidth="1"/>
    <col min="11" max="11" width="15.42578125" bestFit="1" customWidth="1"/>
    <col min="12" max="12" width="17.7109375" bestFit="1" customWidth="1"/>
    <col min="13" max="13" width="11.140625" customWidth="1"/>
    <col min="14" max="14" width="5" bestFit="1" customWidth="1"/>
    <col min="15" max="15" width="28.28515625" bestFit="1" customWidth="1"/>
    <col min="16" max="16" width="22.7109375" bestFit="1" customWidth="1"/>
    <col min="17" max="17" width="20.28515625" bestFit="1" customWidth="1"/>
    <col min="18" max="18" width="32.28515625" bestFit="1" customWidth="1"/>
    <col min="19" max="19" width="30" bestFit="1" customWidth="1"/>
    <col min="20" max="20" width="16.7109375" bestFit="1" customWidth="1"/>
    <col min="21" max="21" width="24.85546875" bestFit="1" customWidth="1"/>
    <col min="22" max="22" width="17.85546875" customWidth="1"/>
    <col min="23" max="23" width="14.28515625" bestFit="1" customWidth="1"/>
  </cols>
  <sheetData>
    <row r="1" spans="1:22" x14ac:dyDescent="0.25">
      <c r="A1" s="71" t="s">
        <v>42</v>
      </c>
      <c r="B1" s="72"/>
      <c r="D1" s="71" t="s">
        <v>41</v>
      </c>
      <c r="E1" s="72"/>
      <c r="G1" s="71" t="s">
        <v>43</v>
      </c>
      <c r="H1" s="72"/>
    </row>
    <row r="2" spans="1:22" x14ac:dyDescent="0.25">
      <c r="A2" s="24" t="s">
        <v>47</v>
      </c>
      <c r="B2" s="20">
        <f>'Mortgage Calculation'!B2</f>
        <v>170000</v>
      </c>
      <c r="D2" s="11" t="s">
        <v>23</v>
      </c>
      <c r="E2" s="2">
        <f>'Mortgage Calculation'!B12</f>
        <v>75</v>
      </c>
      <c r="G2" s="11" t="s">
        <v>39</v>
      </c>
      <c r="H2" s="2">
        <f>'Mortgage Calculation'!B36</f>
        <v>900</v>
      </c>
    </row>
    <row r="3" spans="1:22" x14ac:dyDescent="0.25">
      <c r="A3" s="11" t="s">
        <v>48</v>
      </c>
      <c r="B3" s="2">
        <f>'Mortgage Calculation'!E16</f>
        <v>162800</v>
      </c>
      <c r="D3" s="9" t="s">
        <v>24</v>
      </c>
      <c r="E3" s="2">
        <f>'Mortgage Calculation'!B13</f>
        <v>60</v>
      </c>
    </row>
    <row r="4" spans="1:22" x14ac:dyDescent="0.25">
      <c r="A4" s="9" t="s">
        <v>3</v>
      </c>
      <c r="B4" s="16">
        <f>'Mortgage Calculation'!E17</f>
        <v>8500</v>
      </c>
      <c r="D4" s="9" t="s">
        <v>25</v>
      </c>
      <c r="E4" s="2">
        <f>'Mortgage Calculation'!B14</f>
        <v>60</v>
      </c>
      <c r="G4" s="71" t="s">
        <v>44</v>
      </c>
      <c r="H4" s="72"/>
    </row>
    <row r="5" spans="1:22" x14ac:dyDescent="0.25">
      <c r="A5" s="11" t="s">
        <v>49</v>
      </c>
      <c r="B5" s="30">
        <f>'Mortgage Calculation'!B6</f>
        <v>10000</v>
      </c>
      <c r="D5" s="9" t="s">
        <v>26</v>
      </c>
      <c r="E5" s="2">
        <f>'Mortgage Calculation'!B15</f>
        <v>23</v>
      </c>
      <c r="G5" s="8" t="s">
        <v>69</v>
      </c>
      <c r="H5" s="2">
        <f>'Mortgage Calculation'!B39</f>
        <v>60</v>
      </c>
    </row>
    <row r="6" spans="1:22" x14ac:dyDescent="0.25">
      <c r="A6" s="41" t="s">
        <v>77</v>
      </c>
      <c r="B6" s="2">
        <f>'Mortgage Calculation'!B7</f>
        <v>10000</v>
      </c>
      <c r="D6" s="9" t="s">
        <v>27</v>
      </c>
      <c r="E6" s="2">
        <f>'Mortgage Calculation'!B16</f>
        <v>10</v>
      </c>
      <c r="G6" s="22" t="s">
        <v>28</v>
      </c>
      <c r="H6" s="2">
        <f>'Mortgage Calculation'!B40</f>
        <v>75</v>
      </c>
    </row>
    <row r="7" spans="1:22" x14ac:dyDescent="0.25">
      <c r="A7" s="11" t="s">
        <v>56</v>
      </c>
      <c r="B7" s="20">
        <f>'Mortgage Calculation'!E24</f>
        <v>8500</v>
      </c>
      <c r="D7" s="9" t="s">
        <v>28</v>
      </c>
      <c r="E7" s="2">
        <f>'Mortgage Calculation'!B17</f>
        <v>65</v>
      </c>
      <c r="G7" s="8" t="s">
        <v>45</v>
      </c>
      <c r="H7" s="3">
        <f>'Mortgage Calculation'!B41</f>
        <v>12.42</v>
      </c>
    </row>
    <row r="8" spans="1:22" x14ac:dyDescent="0.25">
      <c r="A8" s="11" t="s">
        <v>54</v>
      </c>
      <c r="B8" s="2">
        <f>B3+B5</f>
        <v>172800</v>
      </c>
      <c r="D8" s="9" t="s">
        <v>29</v>
      </c>
      <c r="E8" s="2">
        <f>'Mortgage Calculation'!B18</f>
        <v>1500</v>
      </c>
    </row>
    <row r="9" spans="1:22" x14ac:dyDescent="0.25">
      <c r="A9" s="71" t="s">
        <v>64</v>
      </c>
      <c r="B9" s="72"/>
      <c r="D9" s="9" t="s">
        <v>30</v>
      </c>
      <c r="E9" s="2">
        <f>'Mortgage Calculation'!B19</f>
        <v>2000</v>
      </c>
    </row>
    <row r="10" spans="1:22" x14ac:dyDescent="0.25">
      <c r="A10" s="19" t="s">
        <v>46</v>
      </c>
      <c r="B10" s="37">
        <f>'Mortgage Calculation'!B33</f>
        <v>0.04</v>
      </c>
      <c r="D10" s="6"/>
      <c r="E10" s="2"/>
      <c r="Q10" s="40"/>
    </row>
    <row r="11" spans="1:22" x14ac:dyDescent="0.25">
      <c r="A11" s="42"/>
      <c r="B11" s="37"/>
      <c r="D11" s="6"/>
      <c r="Q11" s="4"/>
    </row>
    <row r="12" spans="1:22" x14ac:dyDescent="0.25">
      <c r="A12" s="42"/>
      <c r="B12" s="37"/>
      <c r="D12" s="6"/>
    </row>
    <row r="13" spans="1:22" x14ac:dyDescent="0.25">
      <c r="A13" s="73" t="s">
        <v>60</v>
      </c>
      <c r="B13" s="73"/>
      <c r="C13" s="73"/>
      <c r="D13" s="73"/>
      <c r="E13" s="73"/>
      <c r="F13" s="73"/>
      <c r="G13" s="73"/>
      <c r="I13" s="73" t="s">
        <v>61</v>
      </c>
      <c r="J13" s="73"/>
      <c r="K13" s="73"/>
      <c r="L13" s="73"/>
      <c r="N13" s="73" t="s">
        <v>65</v>
      </c>
      <c r="O13" s="73"/>
      <c r="P13" s="73"/>
      <c r="Q13" s="73"/>
      <c r="R13" s="73"/>
      <c r="S13" s="73"/>
      <c r="U13" s="73" t="s">
        <v>67</v>
      </c>
      <c r="V13" s="73"/>
    </row>
    <row r="14" spans="1:22" x14ac:dyDescent="0.25">
      <c r="A14" s="7" t="s">
        <v>58</v>
      </c>
      <c r="B14" s="7" t="s">
        <v>37</v>
      </c>
      <c r="C14" s="7" t="s">
        <v>38</v>
      </c>
      <c r="D14" s="25" t="s">
        <v>14</v>
      </c>
      <c r="E14" s="23" t="s">
        <v>52</v>
      </c>
      <c r="F14" s="7" t="s">
        <v>59</v>
      </c>
      <c r="G14" s="7" t="s">
        <v>53</v>
      </c>
      <c r="I14" s="7" t="s">
        <v>58</v>
      </c>
      <c r="J14" s="23" t="s">
        <v>37</v>
      </c>
      <c r="K14" s="23" t="s">
        <v>40</v>
      </c>
      <c r="L14" s="7" t="s">
        <v>53</v>
      </c>
      <c r="N14" s="7" t="s">
        <v>58</v>
      </c>
      <c r="O14" s="32" t="s">
        <v>50</v>
      </c>
      <c r="P14" s="23" t="s">
        <v>51</v>
      </c>
      <c r="Q14" s="23" t="s">
        <v>57</v>
      </c>
      <c r="R14" s="7" t="s">
        <v>62</v>
      </c>
      <c r="S14" s="23" t="s">
        <v>63</v>
      </c>
      <c r="U14" s="7" t="s">
        <v>68</v>
      </c>
      <c r="V14" s="7" t="s">
        <v>66</v>
      </c>
    </row>
    <row r="15" spans="1:22" x14ac:dyDescent="0.25">
      <c r="A15" s="7">
        <v>1</v>
      </c>
      <c r="B15" s="2">
        <f>SUM('Mortgage Calculation'!K3:K15)</f>
        <v>10104.017313230985</v>
      </c>
      <c r="C15" s="2">
        <f>SUM('Mortgage Calculation'!L3:L15)</f>
        <v>6992.9280078344209</v>
      </c>
      <c r="D15" s="26">
        <f>SUM('Mortgage Calculation'!M3:M15)</f>
        <v>3111.0893053965647</v>
      </c>
      <c r="E15" s="2">
        <f>'Mortgage Calculation'!O15</f>
        <v>159933.03268666563</v>
      </c>
      <c r="F15" s="2" cm="1">
        <f t="array" ref="F15">SUM((E2:E7)*12)+E8+E9</f>
        <v>7016</v>
      </c>
      <c r="G15" s="2">
        <f t="shared" ref="G15:G44" si="0">B15+F15</f>
        <v>17120.017313230986</v>
      </c>
      <c r="I15" s="7">
        <v>1</v>
      </c>
      <c r="J15" s="28">
        <f>H2*12</f>
        <v>10800</v>
      </c>
      <c r="K15" s="2" cm="1">
        <f t="array" ref="K15">SUM((H5:H7)*12)</f>
        <v>1769.04</v>
      </c>
      <c r="L15" s="2">
        <f t="shared" ref="L15:L44" si="1">J15+K15</f>
        <v>12569.04</v>
      </c>
      <c r="N15" s="7">
        <v>1</v>
      </c>
      <c r="O15" s="33">
        <f t="shared" ref="O15:O44" si="2">$B$2*(1+$B$10)^(N15)</f>
        <v>176800</v>
      </c>
      <c r="P15" s="28">
        <f>B15+E15+F15+$B$7+$B$6</f>
        <v>195553.04999989661</v>
      </c>
      <c r="Q15" s="5">
        <f>O15-P15</f>
        <v>-18753.049999896612</v>
      </c>
      <c r="R15" s="2">
        <f>B15+E15+$B$7+$B$6</f>
        <v>188537.04999989661</v>
      </c>
      <c r="S15" s="5">
        <f>O15-R15</f>
        <v>-11737.049999896612</v>
      </c>
      <c r="U15" s="7">
        <v>1</v>
      </c>
      <c r="V15" s="5">
        <f t="shared" ref="V15:V44" si="3">L15+Q15</f>
        <v>-6184.0099998966107</v>
      </c>
    </row>
    <row r="16" spans="1:22" x14ac:dyDescent="0.25">
      <c r="A16" s="29">
        <v>2</v>
      </c>
      <c r="B16" s="30">
        <f>SUM('Mortgage Calculation'!K3:K27)</f>
        <v>19430.8025254442</v>
      </c>
      <c r="C16" s="30">
        <f>SUM('Mortgage Calculation'!L3:L27)</f>
        <v>13325.995328250179</v>
      </c>
      <c r="D16" s="31">
        <f>SUM('Mortgage Calculation'!M3:M27)</f>
        <v>6104.8071971940271</v>
      </c>
      <c r="E16" s="30">
        <f>'Mortgage Calculation'!O27</f>
        <v>156949.26070148539</v>
      </c>
      <c r="F16" s="27">
        <f t="shared" ref="F16:F44" si="4">$F$15*A16</f>
        <v>14032</v>
      </c>
      <c r="G16" s="2">
        <f t="shared" si="0"/>
        <v>33462.802525444204</v>
      </c>
      <c r="I16" s="7">
        <v>2</v>
      </c>
      <c r="J16" s="28">
        <f t="shared" ref="J16:J44" si="5">$J$15*I16</f>
        <v>21600</v>
      </c>
      <c r="K16" s="2">
        <f t="shared" ref="K16:K44" si="6">$K$15*I16</f>
        <v>3538.08</v>
      </c>
      <c r="L16" s="2">
        <f t="shared" si="1"/>
        <v>25138.080000000002</v>
      </c>
      <c r="N16" s="7">
        <v>2</v>
      </c>
      <c r="O16" s="33">
        <f t="shared" si="2"/>
        <v>183872.00000000003</v>
      </c>
      <c r="P16" s="28">
        <f>B16+E16+F16+$B$7+$B$6</f>
        <v>208912.06322692957</v>
      </c>
      <c r="Q16" s="5">
        <f>O16-P16</f>
        <v>-25040.063226929546</v>
      </c>
      <c r="R16" s="2">
        <f t="shared" ref="R16:R44" si="7">B16+E16+$B$7+$B$6</f>
        <v>194880.06322692957</v>
      </c>
      <c r="S16" s="5">
        <f t="shared" ref="S16:S44" si="8">O16-R16</f>
        <v>-11008.063226929546</v>
      </c>
      <c r="U16" s="7">
        <v>2</v>
      </c>
      <c r="V16" s="5">
        <f t="shared" si="3"/>
        <v>98.016773070456111</v>
      </c>
    </row>
    <row r="17" spans="1:22" x14ac:dyDescent="0.25">
      <c r="A17" s="7">
        <v>3</v>
      </c>
      <c r="B17" s="28">
        <f>SUM('Mortgage Calculation'!K3:K39)</f>
        <v>28757.587737657432</v>
      </c>
      <c r="C17" s="28">
        <f>SUM('Mortgage Calculation'!$L$3:L39)</f>
        <v>19537.093962687519</v>
      </c>
      <c r="D17" s="28">
        <f>SUM('Mortgage Calculation'!$M$3:M39)</f>
        <v>9220.4937749699002</v>
      </c>
      <c r="E17" s="28">
        <f>'Mortgage Calculation'!O39</f>
        <v>153843.92524190809</v>
      </c>
      <c r="F17" s="27">
        <f t="shared" si="4"/>
        <v>21048</v>
      </c>
      <c r="G17" s="2">
        <f t="shared" si="0"/>
        <v>49805.587737657435</v>
      </c>
      <c r="I17" s="7">
        <v>3</v>
      </c>
      <c r="J17" s="28">
        <f t="shared" si="5"/>
        <v>32400</v>
      </c>
      <c r="K17" s="2">
        <f t="shared" si="6"/>
        <v>5307.12</v>
      </c>
      <c r="L17" s="2">
        <f t="shared" si="1"/>
        <v>37707.120000000003</v>
      </c>
      <c r="N17" s="7">
        <v>3</v>
      </c>
      <c r="O17" s="33">
        <f t="shared" si="2"/>
        <v>191226.88</v>
      </c>
      <c r="P17" s="28">
        <f t="shared" ref="P17:P44" si="9">B17+E17+F17+$B$7+$B$6</f>
        <v>222149.51297956551</v>
      </c>
      <c r="Q17" s="5">
        <f t="shared" ref="Q17:Q44" si="10">O17-P17</f>
        <v>-30922.632979565504</v>
      </c>
      <c r="R17" s="2">
        <f t="shared" si="7"/>
        <v>201101.51297956551</v>
      </c>
      <c r="S17" s="5">
        <f t="shared" si="8"/>
        <v>-9874.6329795655038</v>
      </c>
      <c r="U17" s="23">
        <v>3</v>
      </c>
      <c r="V17" s="5">
        <f t="shared" si="3"/>
        <v>6784.4870204344988</v>
      </c>
    </row>
    <row r="18" spans="1:22" x14ac:dyDescent="0.25">
      <c r="A18" s="7">
        <v>4</v>
      </c>
      <c r="B18" s="28">
        <f>SUM('Mortgage Calculation'!K3:K51)</f>
        <v>38084.37294987066</v>
      </c>
      <c r="C18" s="28">
        <f>SUM('Mortgage Calculation'!$L$3:L51)</f>
        <v>25621.254718691798</v>
      </c>
      <c r="D18" s="28">
        <f>SUM('Mortgage Calculation'!$M$3:M51)</f>
        <v>12463.118231178842</v>
      </c>
      <c r="E18" s="28">
        <f>'Mortgage Calculation'!O51</f>
        <v>150612.07362442408</v>
      </c>
      <c r="F18" s="27">
        <f t="shared" si="4"/>
        <v>28064</v>
      </c>
      <c r="G18" s="2">
        <f t="shared" si="0"/>
        <v>66148.372949870653</v>
      </c>
      <c r="I18" s="7">
        <v>4</v>
      </c>
      <c r="J18" s="28">
        <f t="shared" si="5"/>
        <v>43200</v>
      </c>
      <c r="K18" s="2">
        <f t="shared" si="6"/>
        <v>7076.16</v>
      </c>
      <c r="L18" s="2">
        <f t="shared" si="1"/>
        <v>50276.160000000003</v>
      </c>
      <c r="N18" s="7">
        <v>4</v>
      </c>
      <c r="O18" s="33">
        <f t="shared" si="2"/>
        <v>198875.95520000003</v>
      </c>
      <c r="P18" s="28">
        <f t="shared" si="9"/>
        <v>235260.44657429474</v>
      </c>
      <c r="Q18" s="5">
        <f t="shared" si="10"/>
        <v>-36384.49137429471</v>
      </c>
      <c r="R18" s="2">
        <f t="shared" si="7"/>
        <v>207196.44657429474</v>
      </c>
      <c r="S18" s="5">
        <f t="shared" si="8"/>
        <v>-8320.4913742947101</v>
      </c>
      <c r="U18" s="7">
        <v>4</v>
      </c>
      <c r="V18" s="5">
        <f t="shared" si="3"/>
        <v>13891.668625705293</v>
      </c>
    </row>
    <row r="19" spans="1:22" x14ac:dyDescent="0.25">
      <c r="A19" s="29">
        <v>5</v>
      </c>
      <c r="B19" s="28">
        <f>SUM('Mortgage Calculation'!K3:K63)</f>
        <v>47411.158162083892</v>
      </c>
      <c r="C19" s="28">
        <f>SUM('Mortgage Calculation'!$L$3:L63)</f>
        <v>31573.305951240676</v>
      </c>
      <c r="D19" s="28">
        <f>SUM('Mortgage Calculation'!$M$3:M63)</f>
        <v>15837.852210843179</v>
      </c>
      <c r="E19" s="28">
        <f>'Mortgage Calculation'!O63</f>
        <v>147248.551385556</v>
      </c>
      <c r="F19" s="27">
        <f t="shared" si="4"/>
        <v>35080</v>
      </c>
      <c r="G19" s="2">
        <f t="shared" si="0"/>
        <v>82491.158162083884</v>
      </c>
      <c r="I19" s="7">
        <v>5</v>
      </c>
      <c r="J19" s="28">
        <f t="shared" si="5"/>
        <v>54000</v>
      </c>
      <c r="K19" s="2">
        <f t="shared" si="6"/>
        <v>8845.2000000000007</v>
      </c>
      <c r="L19" s="2">
        <f t="shared" si="1"/>
        <v>62845.2</v>
      </c>
      <c r="N19" s="7">
        <v>5</v>
      </c>
      <c r="O19" s="33">
        <f t="shared" si="2"/>
        <v>206830.99340800007</v>
      </c>
      <c r="P19" s="28">
        <f t="shared" si="9"/>
        <v>248239.70954763988</v>
      </c>
      <c r="Q19" s="5">
        <f t="shared" si="10"/>
        <v>-41408.716139639815</v>
      </c>
      <c r="R19" s="2">
        <f t="shared" si="7"/>
        <v>213159.70954763988</v>
      </c>
      <c r="S19" s="2">
        <f t="shared" si="8"/>
        <v>-6328.7161396398151</v>
      </c>
      <c r="U19" s="7">
        <v>5</v>
      </c>
      <c r="V19" s="5">
        <f t="shared" si="3"/>
        <v>21436.483860360182</v>
      </c>
    </row>
    <row r="20" spans="1:22" x14ac:dyDescent="0.25">
      <c r="A20" s="7">
        <v>6</v>
      </c>
      <c r="B20" s="28">
        <f>SUM('Mortgage Calculation'!K3:K75)</f>
        <v>56737.943374297123</v>
      </c>
      <c r="C20" s="28">
        <f>SUM('Mortgage Calculation'!$L$3:L75)</f>
        <v>37387.865314514194</v>
      </c>
      <c r="D20" s="28">
        <f>SUM('Mortgage Calculation'!$M$3:M75)</f>
        <v>19350.078059782885</v>
      </c>
      <c r="E20" s="28">
        <f>'Mortgage Calculation'!O75</f>
        <v>143747.99406103141</v>
      </c>
      <c r="F20" s="27">
        <f t="shared" si="4"/>
        <v>42096</v>
      </c>
      <c r="G20" s="2">
        <f t="shared" si="0"/>
        <v>98833.943374297116</v>
      </c>
      <c r="I20" s="7">
        <v>6</v>
      </c>
      <c r="J20" s="28">
        <f t="shared" si="5"/>
        <v>64800</v>
      </c>
      <c r="K20" s="2">
        <f t="shared" si="6"/>
        <v>10614.24</v>
      </c>
      <c r="L20" s="2">
        <f t="shared" si="1"/>
        <v>75414.240000000005</v>
      </c>
      <c r="N20" s="7">
        <v>6</v>
      </c>
      <c r="O20" s="33">
        <f t="shared" si="2"/>
        <v>215104.23314432005</v>
      </c>
      <c r="P20" s="28">
        <f t="shared" si="9"/>
        <v>261081.93743532852</v>
      </c>
      <c r="Q20" s="5">
        <f t="shared" si="10"/>
        <v>-45977.704291008471</v>
      </c>
      <c r="R20" s="2">
        <f t="shared" si="7"/>
        <v>218985.93743532852</v>
      </c>
      <c r="S20" s="2">
        <f t="shared" si="8"/>
        <v>-3881.704291008471</v>
      </c>
      <c r="U20" s="23">
        <v>6</v>
      </c>
      <c r="V20" s="5">
        <f t="shared" si="3"/>
        <v>29436.535708991534</v>
      </c>
    </row>
    <row r="21" spans="1:22" x14ac:dyDescent="0.25">
      <c r="A21" s="7">
        <v>7</v>
      </c>
      <c r="B21" s="28">
        <f>SUM('Mortgage Calculation'!K3:K87)</f>
        <v>66064.728586510348</v>
      </c>
      <c r="C21" s="28">
        <f>SUM('Mortgage Calculation'!$L$3:L87)</f>
        <v>43059.331177619133</v>
      </c>
      <c r="D21" s="28">
        <f>SUM('Mortgage Calculation'!$M$3:M87)</f>
        <v>23005.397408891164</v>
      </c>
      <c r="E21" s="28">
        <f>'Mortgage Calculation'!O87</f>
        <v>140104.81863002642</v>
      </c>
      <c r="F21" s="27">
        <f t="shared" si="4"/>
        <v>49112</v>
      </c>
      <c r="G21" s="2">
        <f t="shared" si="0"/>
        <v>115176.72858651035</v>
      </c>
      <c r="I21" s="7">
        <v>7</v>
      </c>
      <c r="J21" s="28">
        <f t="shared" si="5"/>
        <v>75600</v>
      </c>
      <c r="K21" s="2">
        <f t="shared" si="6"/>
        <v>12383.279999999999</v>
      </c>
      <c r="L21" s="2">
        <f t="shared" si="1"/>
        <v>87983.28</v>
      </c>
      <c r="N21" s="7">
        <v>7</v>
      </c>
      <c r="O21" s="33">
        <f t="shared" si="2"/>
        <v>223708.40247009284</v>
      </c>
      <c r="P21" s="28">
        <f t="shared" si="9"/>
        <v>273781.54721653677</v>
      </c>
      <c r="Q21" s="5">
        <f t="shared" si="10"/>
        <v>-50073.144746443926</v>
      </c>
      <c r="R21" s="2">
        <f t="shared" si="7"/>
        <v>224669.54721653677</v>
      </c>
      <c r="S21" s="2">
        <f t="shared" si="8"/>
        <v>-961.14474644392612</v>
      </c>
      <c r="U21" s="7">
        <v>7</v>
      </c>
      <c r="V21" s="5">
        <f t="shared" si="3"/>
        <v>37910.135253556073</v>
      </c>
    </row>
    <row r="22" spans="1:22" x14ac:dyDescent="0.25">
      <c r="A22" s="29">
        <v>8</v>
      </c>
      <c r="B22" s="28">
        <f>SUM('Mortgage Calculation'!K3:K99)</f>
        <v>75391.513798723579</v>
      </c>
      <c r="C22" s="28">
        <f>SUM('Mortgage Calculation'!$L$3:L99)</f>
        <v>48581.873690576838</v>
      </c>
      <c r="D22" s="28">
        <f>SUM('Mortgage Calculation'!$M$3:M99)</f>
        <v>26809.640108146672</v>
      </c>
      <c r="E22" s="28">
        <f>'Mortgage Calculation'!O99</f>
        <v>136313.2146108349</v>
      </c>
      <c r="F22" s="27">
        <f t="shared" si="4"/>
        <v>56128</v>
      </c>
      <c r="G22" s="2">
        <f t="shared" si="0"/>
        <v>131519.51379872358</v>
      </c>
      <c r="I22" s="7">
        <v>8</v>
      </c>
      <c r="J22" s="28">
        <f t="shared" si="5"/>
        <v>86400</v>
      </c>
      <c r="K22" s="2">
        <f t="shared" si="6"/>
        <v>14152.32</v>
      </c>
      <c r="L22" s="2">
        <f t="shared" si="1"/>
        <v>100552.32000000001</v>
      </c>
      <c r="N22" s="7">
        <v>8</v>
      </c>
      <c r="O22" s="33">
        <f t="shared" si="2"/>
        <v>232656.7385688966</v>
      </c>
      <c r="P22" s="28">
        <f t="shared" si="9"/>
        <v>286332.72840955848</v>
      </c>
      <c r="Q22" s="5">
        <f t="shared" si="10"/>
        <v>-53675.989840661874</v>
      </c>
      <c r="R22" s="2">
        <f t="shared" si="7"/>
        <v>230204.72840955848</v>
      </c>
      <c r="S22" s="2">
        <f t="shared" si="8"/>
        <v>2452.010159338126</v>
      </c>
      <c r="U22" s="7">
        <v>8</v>
      </c>
      <c r="V22" s="5">
        <f t="shared" si="3"/>
        <v>46876.330159338133</v>
      </c>
    </row>
    <row r="23" spans="1:22" x14ac:dyDescent="0.25">
      <c r="A23" s="7">
        <v>9</v>
      </c>
      <c r="B23" s="28">
        <f>SUM('Mortgage Calculation'!K3:K111)</f>
        <v>84718.299010936811</v>
      </c>
      <c r="C23" s="28">
        <f>SUM('Mortgage Calculation'!$L$3:L111)</f>
        <v>53949.425486325541</v>
      </c>
      <c r="D23" s="28">
        <f>SUM('Mortgage Calculation'!$M$3:M111)</f>
        <v>30768.873524611197</v>
      </c>
      <c r="E23" s="28">
        <f>'Mortgage Calculation'!O111</f>
        <v>132367.1347937606</v>
      </c>
      <c r="F23" s="27">
        <f t="shared" si="4"/>
        <v>63144</v>
      </c>
      <c r="G23" s="2">
        <f t="shared" si="0"/>
        <v>147862.29901093681</v>
      </c>
      <c r="I23" s="7">
        <v>9</v>
      </c>
      <c r="J23" s="28">
        <f t="shared" si="5"/>
        <v>97200</v>
      </c>
      <c r="K23" s="2">
        <f t="shared" si="6"/>
        <v>15921.36</v>
      </c>
      <c r="L23" s="2">
        <f t="shared" si="1"/>
        <v>113121.36</v>
      </c>
      <c r="N23" s="7">
        <v>9</v>
      </c>
      <c r="O23" s="33">
        <f t="shared" si="2"/>
        <v>241963.00811165248</v>
      </c>
      <c r="P23" s="28">
        <f t="shared" si="9"/>
        <v>298729.43380469742</v>
      </c>
      <c r="Q23" s="5">
        <f t="shared" si="10"/>
        <v>-56766.425693044934</v>
      </c>
      <c r="R23" s="2">
        <f t="shared" si="7"/>
        <v>235585.43380469742</v>
      </c>
      <c r="S23" s="2">
        <f t="shared" si="8"/>
        <v>6377.5743069550663</v>
      </c>
      <c r="U23" s="23">
        <v>9</v>
      </c>
      <c r="V23" s="5">
        <f t="shared" si="3"/>
        <v>56354.934306955067</v>
      </c>
    </row>
    <row r="24" spans="1:22" x14ac:dyDescent="0.25">
      <c r="A24" s="7">
        <v>10</v>
      </c>
      <c r="B24" s="28">
        <f>SUM('Mortgage Calculation'!K3:K123)</f>
        <v>94045.084223150043</v>
      </c>
      <c r="C24" s="28">
        <f>SUM('Mortgage Calculation'!$L$3:L123)</f>
        <v>59155.672003907872</v>
      </c>
      <c r="D24" s="28">
        <f>SUM('Mortgage Calculation'!$M$3:M123)</f>
        <v>34889.412219242069</v>
      </c>
      <c r="E24" s="28">
        <f>'Mortgage Calculation'!O123</f>
        <v>128260.28559645406</v>
      </c>
      <c r="F24" s="27">
        <f t="shared" si="4"/>
        <v>70160</v>
      </c>
      <c r="G24" s="2">
        <f t="shared" si="0"/>
        <v>164205.08422315004</v>
      </c>
      <c r="I24" s="7">
        <v>10</v>
      </c>
      <c r="J24" s="28">
        <f t="shared" si="5"/>
        <v>108000</v>
      </c>
      <c r="K24" s="2">
        <f t="shared" si="6"/>
        <v>17690.400000000001</v>
      </c>
      <c r="L24" s="2">
        <f t="shared" si="1"/>
        <v>125690.4</v>
      </c>
      <c r="N24" s="7">
        <v>10</v>
      </c>
      <c r="O24" s="33">
        <f t="shared" si="2"/>
        <v>251641.52843611859</v>
      </c>
      <c r="P24" s="28">
        <f t="shared" si="9"/>
        <v>310965.36981960409</v>
      </c>
      <c r="Q24" s="5">
        <f t="shared" si="10"/>
        <v>-59323.841383485502</v>
      </c>
      <c r="R24" s="2">
        <f t="shared" si="7"/>
        <v>240805.36981960409</v>
      </c>
      <c r="S24" s="2">
        <f t="shared" si="8"/>
        <v>10836.158616514498</v>
      </c>
      <c r="U24" s="7">
        <v>10</v>
      </c>
      <c r="V24" s="5">
        <f t="shared" si="3"/>
        <v>66366.558616514492</v>
      </c>
    </row>
    <row r="25" spans="1:22" x14ac:dyDescent="0.25">
      <c r="A25" s="29">
        <v>11</v>
      </c>
      <c r="B25" s="28">
        <f>SUM('Mortgage Calculation'!K3:K135)</f>
        <v>103371.86943536327</v>
      </c>
      <c r="C25" s="28">
        <f>SUM('Mortgage Calculation'!$L$3:L135)</f>
        <v>64194.041417410248</v>
      </c>
      <c r="D25" s="28">
        <f>SUM('Mortgage Calculation'!$M$3:M135)</f>
        <v>39177.828017952888</v>
      </c>
      <c r="E25" s="28">
        <f>'Mortgage Calculation'!O135</f>
        <v>123986.11702631036</v>
      </c>
      <c r="F25" s="27">
        <f t="shared" si="4"/>
        <v>77176</v>
      </c>
      <c r="G25" s="2">
        <f t="shared" si="0"/>
        <v>180547.86943536327</v>
      </c>
      <c r="I25" s="7">
        <v>11</v>
      </c>
      <c r="J25" s="28">
        <f t="shared" si="5"/>
        <v>118800</v>
      </c>
      <c r="K25" s="2">
        <f t="shared" si="6"/>
        <v>19459.439999999999</v>
      </c>
      <c r="L25" s="2">
        <f t="shared" si="1"/>
        <v>138259.44</v>
      </c>
      <c r="N25" s="7">
        <v>11</v>
      </c>
      <c r="O25" s="33">
        <f t="shared" si="2"/>
        <v>261707.18957356332</v>
      </c>
      <c r="P25" s="28">
        <f t="shared" si="9"/>
        <v>323033.98646167363</v>
      </c>
      <c r="Q25" s="5">
        <f t="shared" si="10"/>
        <v>-61326.796888110315</v>
      </c>
      <c r="R25" s="2">
        <f t="shared" si="7"/>
        <v>245857.98646167363</v>
      </c>
      <c r="S25" s="2">
        <f t="shared" si="8"/>
        <v>15849.203111889685</v>
      </c>
      <c r="U25" s="7">
        <v>11</v>
      </c>
      <c r="V25" s="5">
        <f t="shared" si="3"/>
        <v>76932.643111889687</v>
      </c>
    </row>
    <row r="26" spans="1:22" x14ac:dyDescent="0.25">
      <c r="A26" s="7">
        <v>12</v>
      </c>
      <c r="B26" s="28">
        <f>SUM('Mortgage Calculation'!K3:K147)</f>
        <v>112698.65464757651</v>
      </c>
      <c r="C26" s="28">
        <f>SUM('Mortgage Calculation'!$L$3:L147)</f>
        <v>69057.694154591547</v>
      </c>
      <c r="D26" s="28">
        <f>SUM('Mortgage Calculation'!$M$3:M147)</f>
        <v>43640.960492984799</v>
      </c>
      <c r="E26" s="28">
        <f>'Mortgage Calculation'!O147</f>
        <v>119537.81223391971</v>
      </c>
      <c r="F26" s="27">
        <f t="shared" si="4"/>
        <v>84192</v>
      </c>
      <c r="G26" s="2">
        <f t="shared" si="0"/>
        <v>196890.65464757651</v>
      </c>
      <c r="I26" s="7">
        <v>12</v>
      </c>
      <c r="J26" s="28">
        <f t="shared" si="5"/>
        <v>129600</v>
      </c>
      <c r="K26" s="2">
        <f t="shared" si="6"/>
        <v>21228.48</v>
      </c>
      <c r="L26" s="2">
        <f t="shared" si="1"/>
        <v>150828.48000000001</v>
      </c>
      <c r="N26" s="7">
        <v>12</v>
      </c>
      <c r="O26" s="33">
        <f t="shared" si="2"/>
        <v>272175.47715650592</v>
      </c>
      <c r="P26" s="28">
        <f t="shared" si="9"/>
        <v>334928.46688149625</v>
      </c>
      <c r="Q26" s="5">
        <f t="shared" si="10"/>
        <v>-62752.98972499033</v>
      </c>
      <c r="R26" s="2">
        <f t="shared" si="7"/>
        <v>250736.46688149622</v>
      </c>
      <c r="S26" s="2">
        <f t="shared" si="8"/>
        <v>21439.010275009699</v>
      </c>
      <c r="U26" s="23">
        <v>12</v>
      </c>
      <c r="V26" s="5">
        <f t="shared" si="3"/>
        <v>88075.490275009681</v>
      </c>
    </row>
    <row r="27" spans="1:22" x14ac:dyDescent="0.25">
      <c r="A27" s="7">
        <v>13</v>
      </c>
      <c r="B27" s="28">
        <f>SUM('Mortgage Calculation'!K3:K159)</f>
        <v>122025.43985978974</v>
      </c>
      <c r="C27" s="28">
        <f>SUM('Mortgage Calculation'!$L$3:L159)</f>
        <v>73739.511988484621</v>
      </c>
      <c r="D27" s="28">
        <f>SUM('Mortgage Calculation'!$M$3:M159)</f>
        <v>48285.927871304957</v>
      </c>
      <c r="E27" s="28">
        <f>'Mortgage Calculation'!O159</f>
        <v>114908.27664090964</v>
      </c>
      <c r="F27" s="27">
        <f t="shared" si="4"/>
        <v>91208</v>
      </c>
      <c r="G27" s="2">
        <f t="shared" si="0"/>
        <v>213233.43985978974</v>
      </c>
      <c r="I27" s="7">
        <v>13</v>
      </c>
      <c r="J27" s="28">
        <f t="shared" si="5"/>
        <v>140400</v>
      </c>
      <c r="K27" s="2">
        <f t="shared" si="6"/>
        <v>22997.52</v>
      </c>
      <c r="L27" s="2">
        <f t="shared" si="1"/>
        <v>163397.51999999999</v>
      </c>
      <c r="N27" s="7">
        <v>13</v>
      </c>
      <c r="O27" s="33">
        <f t="shared" si="2"/>
        <v>283062.49624276615</v>
      </c>
      <c r="P27" s="28">
        <f t="shared" si="9"/>
        <v>346641.7165006994</v>
      </c>
      <c r="Q27" s="5">
        <f t="shared" si="10"/>
        <v>-63579.220257933252</v>
      </c>
      <c r="R27" s="2">
        <f t="shared" si="7"/>
        <v>255433.71650069937</v>
      </c>
      <c r="S27" s="2">
        <f t="shared" si="8"/>
        <v>27628.779742066778</v>
      </c>
      <c r="U27" s="7">
        <v>13</v>
      </c>
      <c r="V27" s="5">
        <f t="shared" si="3"/>
        <v>99818.299742066738</v>
      </c>
    </row>
    <row r="28" spans="1:22" x14ac:dyDescent="0.25">
      <c r="A28" s="29">
        <v>14</v>
      </c>
      <c r="B28" s="28">
        <f>SUM('Mortgage Calculation'!K3:K171)</f>
        <v>131352.22507200297</v>
      </c>
      <c r="C28" s="28">
        <f>SUM('Mortgage Calculation'!$L$3:L171)</f>
        <v>78232.086684572816</v>
      </c>
      <c r="D28" s="28">
        <f>SUM('Mortgage Calculation'!$M$3:M171)</f>
        <v>53120.13838742995</v>
      </c>
      <c r="E28" s="28">
        <f>'Mortgage Calculation'!O171</f>
        <v>110090.12662483819</v>
      </c>
      <c r="F28" s="27">
        <f t="shared" si="4"/>
        <v>98224</v>
      </c>
      <c r="G28" s="2">
        <f t="shared" si="0"/>
        <v>229576.22507200297</v>
      </c>
      <c r="I28" s="7">
        <v>14</v>
      </c>
      <c r="J28" s="28">
        <f t="shared" si="5"/>
        <v>151200</v>
      </c>
      <c r="K28" s="2">
        <f t="shared" si="6"/>
        <v>24766.559999999998</v>
      </c>
      <c r="L28" s="2">
        <f t="shared" si="1"/>
        <v>175966.56</v>
      </c>
      <c r="N28" s="7">
        <v>14</v>
      </c>
      <c r="O28" s="33">
        <f t="shared" si="2"/>
        <v>294384.99609247677</v>
      </c>
      <c r="P28" s="28">
        <f t="shared" si="9"/>
        <v>358166.35169684119</v>
      </c>
      <c r="Q28" s="5">
        <f t="shared" si="10"/>
        <v>-63781.35560436442</v>
      </c>
      <c r="R28" s="2">
        <f t="shared" si="7"/>
        <v>259942.35169684116</v>
      </c>
      <c r="S28" s="2">
        <f t="shared" si="8"/>
        <v>34442.644395635609</v>
      </c>
      <c r="U28" s="7">
        <v>14</v>
      </c>
      <c r="V28" s="5">
        <f t="shared" si="3"/>
        <v>112185.20439563558</v>
      </c>
    </row>
    <row r="29" spans="1:22" x14ac:dyDescent="0.25">
      <c r="A29" s="7">
        <v>15</v>
      </c>
      <c r="B29" s="28">
        <f>SUM('Mortgage Calculation'!K3:K183)</f>
        <v>140679.01028421603</v>
      </c>
      <c r="C29" s="28">
        <f>SUM('Mortgage Calculation'!$L$3:L183)</f>
        <v>82527.708185435025</v>
      </c>
      <c r="D29" s="28">
        <f>SUM('Mortgage Calculation'!$M$3:M183)</f>
        <v>58151.30209878095</v>
      </c>
      <c r="E29" s="28">
        <f>'Mortgage Calculation'!O183</f>
        <v>105075.67774309299</v>
      </c>
      <c r="F29" s="27">
        <f t="shared" si="4"/>
        <v>105240</v>
      </c>
      <c r="G29" s="2">
        <f t="shared" si="0"/>
        <v>245919.01028421603</v>
      </c>
      <c r="I29" s="7">
        <v>15</v>
      </c>
      <c r="J29" s="28">
        <f t="shared" si="5"/>
        <v>162000</v>
      </c>
      <c r="K29" s="2">
        <f t="shared" si="6"/>
        <v>26535.599999999999</v>
      </c>
      <c r="L29" s="2">
        <f t="shared" si="1"/>
        <v>188535.6</v>
      </c>
      <c r="N29" s="7">
        <v>15</v>
      </c>
      <c r="O29" s="33">
        <f t="shared" si="2"/>
        <v>306160.39593617583</v>
      </c>
      <c r="P29" s="28">
        <f t="shared" si="9"/>
        <v>369494.68802730902</v>
      </c>
      <c r="Q29" s="5">
        <f t="shared" si="10"/>
        <v>-63334.292091133189</v>
      </c>
      <c r="R29" s="2">
        <f t="shared" si="7"/>
        <v>264254.68802730902</v>
      </c>
      <c r="S29" s="2">
        <f t="shared" si="8"/>
        <v>41905.707908866811</v>
      </c>
      <c r="U29" s="23">
        <v>15</v>
      </c>
      <c r="V29" s="5">
        <f t="shared" si="3"/>
        <v>125201.30790886682</v>
      </c>
    </row>
    <row r="30" spans="1:22" x14ac:dyDescent="0.25">
      <c r="A30" s="7">
        <v>16</v>
      </c>
      <c r="B30" s="28">
        <f>SUM('Mortgage Calculation'!K3:K195)</f>
        <v>150005.79549642908</v>
      </c>
      <c r="C30" s="28">
        <f>SUM('Mortgage Calculation'!$L$3:L195)</f>
        <v>86618.352314014744</v>
      </c>
      <c r="D30" s="28">
        <f>SUM('Mortgage Calculation'!$M$3:M195)</f>
        <v>63387.443182414441</v>
      </c>
      <c r="E30" s="28">
        <f>'Mortgage Calculation'!O195</f>
        <v>99856.932477013092</v>
      </c>
      <c r="F30" s="27">
        <f t="shared" si="4"/>
        <v>112256</v>
      </c>
      <c r="G30" s="2">
        <f t="shared" si="0"/>
        <v>262261.79549642908</v>
      </c>
      <c r="I30" s="7">
        <v>16</v>
      </c>
      <c r="J30" s="28">
        <f t="shared" si="5"/>
        <v>172800</v>
      </c>
      <c r="K30" s="2">
        <f t="shared" si="6"/>
        <v>28304.639999999999</v>
      </c>
      <c r="L30" s="2">
        <f t="shared" si="1"/>
        <v>201104.64000000001</v>
      </c>
      <c r="N30" s="7">
        <v>16</v>
      </c>
      <c r="O30" s="33">
        <f t="shared" si="2"/>
        <v>318406.81177362293</v>
      </c>
      <c r="P30" s="28">
        <f t="shared" si="9"/>
        <v>380618.72797344218</v>
      </c>
      <c r="Q30" s="5">
        <f t="shared" si="10"/>
        <v>-62211.916199819243</v>
      </c>
      <c r="R30" s="2">
        <f t="shared" si="7"/>
        <v>268362.72797344218</v>
      </c>
      <c r="S30" s="2">
        <f t="shared" si="8"/>
        <v>50044.083800180757</v>
      </c>
      <c r="U30" s="7">
        <v>16</v>
      </c>
      <c r="V30" s="5">
        <f t="shared" si="3"/>
        <v>138892.72380018077</v>
      </c>
    </row>
    <row r="31" spans="1:22" x14ac:dyDescent="0.25">
      <c r="A31" s="29">
        <v>17</v>
      </c>
      <c r="B31" s="28">
        <f>SUM('Mortgage Calculation'!K3:K207)</f>
        <v>159332.58070864214</v>
      </c>
      <c r="C31" s="28">
        <f>SUM('Mortgage Calculation'!$L$3:L207)</f>
        <v>90495.667975901524</v>
      </c>
      <c r="D31" s="28">
        <f>SUM('Mortgage Calculation'!$M$3:M207)</f>
        <v>68836.912732740864</v>
      </c>
      <c r="E31" s="28">
        <f>'Mortgage Calculation'!O207</f>
        <v>94425.567476687764</v>
      </c>
      <c r="F31" s="27">
        <f t="shared" si="4"/>
        <v>119272</v>
      </c>
      <c r="G31" s="2">
        <f t="shared" si="0"/>
        <v>278604.58070864214</v>
      </c>
      <c r="I31" s="7">
        <v>17</v>
      </c>
      <c r="J31" s="28">
        <f t="shared" si="5"/>
        <v>183600</v>
      </c>
      <c r="K31" s="2">
        <f t="shared" si="6"/>
        <v>30073.68</v>
      </c>
      <c r="L31" s="2">
        <f t="shared" si="1"/>
        <v>213673.68</v>
      </c>
      <c r="N31" s="7">
        <v>17</v>
      </c>
      <c r="O31" s="33">
        <f t="shared" si="2"/>
        <v>331143.08424456784</v>
      </c>
      <c r="P31" s="28">
        <f t="shared" si="9"/>
        <v>391530.14818532992</v>
      </c>
      <c r="Q31" s="5">
        <f t="shared" si="10"/>
        <v>-60387.063940762077</v>
      </c>
      <c r="R31" s="2">
        <f t="shared" si="7"/>
        <v>272258.14818532992</v>
      </c>
      <c r="S31" s="2">
        <f t="shared" si="8"/>
        <v>58884.936059237923</v>
      </c>
      <c r="U31" s="7">
        <v>17</v>
      </c>
      <c r="V31" s="5">
        <f t="shared" si="3"/>
        <v>153286.61605923792</v>
      </c>
    </row>
    <row r="32" spans="1:22" x14ac:dyDescent="0.25">
      <c r="A32" s="7">
        <v>18</v>
      </c>
      <c r="B32" s="28">
        <f>SUM('Mortgage Calculation'!K3:K219)</f>
        <v>168659.3659208552</v>
      </c>
      <c r="C32" s="28">
        <f>SUM('Mortgage Calculation'!$L$3:L219)</f>
        <v>94150.963840213604</v>
      </c>
      <c r="D32" s="28">
        <f>SUM('Mortgage Calculation'!$M$3:M219)</f>
        <v>74508.402080641987</v>
      </c>
      <c r="E32" s="28">
        <f>'Mortgage Calculation'!O219</f>
        <v>88772.920286088643</v>
      </c>
      <c r="F32" s="27">
        <f t="shared" si="4"/>
        <v>126288</v>
      </c>
      <c r="G32" s="2">
        <f t="shared" si="0"/>
        <v>294947.3659208552</v>
      </c>
      <c r="I32" s="7">
        <v>18</v>
      </c>
      <c r="J32" s="28">
        <f t="shared" si="5"/>
        <v>194400</v>
      </c>
      <c r="K32" s="2">
        <f t="shared" si="6"/>
        <v>31842.720000000001</v>
      </c>
      <c r="L32" s="2">
        <f t="shared" si="1"/>
        <v>226242.72</v>
      </c>
      <c r="N32" s="7">
        <v>18</v>
      </c>
      <c r="O32" s="33">
        <f t="shared" si="2"/>
        <v>344388.80761435063</v>
      </c>
      <c r="P32" s="28">
        <f t="shared" si="9"/>
        <v>402220.28620694386</v>
      </c>
      <c r="Q32" s="5">
        <f t="shared" si="10"/>
        <v>-57831.478592593223</v>
      </c>
      <c r="R32" s="2">
        <f t="shared" si="7"/>
        <v>275932.28620694386</v>
      </c>
      <c r="S32" s="2">
        <f t="shared" si="8"/>
        <v>68456.521407406777</v>
      </c>
      <c r="U32" s="23">
        <v>18</v>
      </c>
      <c r="V32" s="5">
        <f t="shared" si="3"/>
        <v>168411.24140740678</v>
      </c>
    </row>
    <row r="33" spans="1:22" x14ac:dyDescent="0.25">
      <c r="A33" s="7">
        <v>19</v>
      </c>
      <c r="B33" s="28">
        <f>SUM('Mortgage Calculation'!K3:K231)</f>
        <v>177986.15113306826</v>
      </c>
      <c r="C33" s="28">
        <f>SUM('Mortgage Calculation'!$L$3:L231)</f>
        <v>97575.194477839032</v>
      </c>
      <c r="D33" s="28">
        <f>SUM('Mortgage Calculation'!$M$3:M231)</f>
        <v>80410.956655229777</v>
      </c>
      <c r="E33" s="28">
        <f>'Mortgage Calculation'!O231</f>
        <v>82889.975527363276</v>
      </c>
      <c r="F33" s="27">
        <f t="shared" si="4"/>
        <v>133304</v>
      </c>
      <c r="G33" s="2">
        <f t="shared" si="0"/>
        <v>311290.15113306826</v>
      </c>
      <c r="I33" s="23">
        <v>19</v>
      </c>
      <c r="J33" s="28">
        <f t="shared" si="5"/>
        <v>205200</v>
      </c>
      <c r="K33" s="2">
        <f t="shared" si="6"/>
        <v>33611.760000000002</v>
      </c>
      <c r="L33" s="2">
        <f t="shared" si="1"/>
        <v>238811.76</v>
      </c>
      <c r="N33" s="7">
        <v>19</v>
      </c>
      <c r="O33" s="33">
        <f t="shared" si="2"/>
        <v>358164.35991892463</v>
      </c>
      <c r="P33" s="28">
        <f t="shared" si="9"/>
        <v>412680.1266604315</v>
      </c>
      <c r="Q33" s="5">
        <f t="shared" si="10"/>
        <v>-54515.766741506872</v>
      </c>
      <c r="R33" s="2">
        <f t="shared" si="7"/>
        <v>279376.1266604315</v>
      </c>
      <c r="S33" s="2">
        <f t="shared" si="8"/>
        <v>78788.233258493128</v>
      </c>
      <c r="U33" s="7">
        <v>19</v>
      </c>
      <c r="V33" s="5">
        <f t="shared" si="3"/>
        <v>184295.99325849314</v>
      </c>
    </row>
    <row r="34" spans="1:22" x14ac:dyDescent="0.25">
      <c r="A34" s="29">
        <v>20</v>
      </c>
      <c r="B34" s="28">
        <f>SUM('Mortgage Calculation'!K3:K243)</f>
        <v>187312.93634528131</v>
      </c>
      <c r="C34" s="28">
        <f>SUM('Mortgage Calculation'!$L$3:L243)</f>
        <v>100758.9459349275</v>
      </c>
      <c r="D34" s="28">
        <f>SUM('Mortgage Calculation'!$M$3:M243)</f>
        <v>86553.990410354527</v>
      </c>
      <c r="E34" s="28">
        <f>'Mortgage Calculation'!O243</f>
        <v>76767.350522255554</v>
      </c>
      <c r="F34" s="27">
        <f t="shared" si="4"/>
        <v>140320</v>
      </c>
      <c r="G34" s="2">
        <f t="shared" si="0"/>
        <v>327632.93634528131</v>
      </c>
      <c r="I34" s="23">
        <v>20</v>
      </c>
      <c r="J34" s="28">
        <f t="shared" si="5"/>
        <v>216000</v>
      </c>
      <c r="K34" s="2">
        <f t="shared" si="6"/>
        <v>35380.800000000003</v>
      </c>
      <c r="L34" s="2">
        <f t="shared" si="1"/>
        <v>251380.8</v>
      </c>
      <c r="N34" s="7">
        <v>20</v>
      </c>
      <c r="O34" s="33">
        <f t="shared" si="2"/>
        <v>372490.93431568163</v>
      </c>
      <c r="P34" s="28">
        <f t="shared" si="9"/>
        <v>422900.28686753684</v>
      </c>
      <c r="Q34" s="5">
        <f t="shared" si="10"/>
        <v>-50409.352551855205</v>
      </c>
      <c r="R34" s="2">
        <f t="shared" si="7"/>
        <v>282580.28686753684</v>
      </c>
      <c r="S34" s="2">
        <f t="shared" si="8"/>
        <v>89910.647448144795</v>
      </c>
      <c r="U34" s="7">
        <v>20</v>
      </c>
      <c r="V34" s="5">
        <f t="shared" si="3"/>
        <v>200971.44744814478</v>
      </c>
    </row>
    <row r="35" spans="1:22" x14ac:dyDescent="0.25">
      <c r="A35" s="7">
        <v>21</v>
      </c>
      <c r="B35" s="28">
        <f>SUM('Mortgage Calculation'!K3:K255)</f>
        <v>196639.72155749437</v>
      </c>
      <c r="C35" s="28">
        <f>SUM('Mortgage Calculation'!$L$3:L255)</f>
        <v>103692.42071862385</v>
      </c>
      <c r="D35" s="28">
        <f>SUM('Mortgage Calculation'!$M$3:M255)</f>
        <v>92947.300838871408</v>
      </c>
      <c r="E35" s="28">
        <f>'Mortgage Calculation'!O255</f>
        <v>70395.280327720451</v>
      </c>
      <c r="F35" s="27">
        <f t="shared" si="4"/>
        <v>147336</v>
      </c>
      <c r="G35" s="2">
        <f t="shared" si="0"/>
        <v>343975.72155749437</v>
      </c>
      <c r="I35" s="23">
        <v>21</v>
      </c>
      <c r="J35" s="28">
        <f t="shared" si="5"/>
        <v>226800</v>
      </c>
      <c r="K35" s="2">
        <f t="shared" si="6"/>
        <v>37149.839999999997</v>
      </c>
      <c r="L35" s="2">
        <f t="shared" si="1"/>
        <v>263949.83999999997</v>
      </c>
      <c r="N35" s="7">
        <v>21</v>
      </c>
      <c r="O35" s="33">
        <f t="shared" si="2"/>
        <v>387390.57168830896</v>
      </c>
      <c r="P35" s="28">
        <f t="shared" si="9"/>
        <v>432871.00188521482</v>
      </c>
      <c r="Q35" s="5">
        <f t="shared" si="10"/>
        <v>-45480.430196905858</v>
      </c>
      <c r="R35" s="2">
        <f t="shared" si="7"/>
        <v>285535.00188521482</v>
      </c>
      <c r="S35" s="2">
        <f t="shared" si="8"/>
        <v>101855.56980309414</v>
      </c>
      <c r="U35" s="23">
        <v>21</v>
      </c>
      <c r="V35" s="5">
        <f t="shared" si="3"/>
        <v>218469.40980309411</v>
      </c>
    </row>
    <row r="36" spans="1:22" x14ac:dyDescent="0.25">
      <c r="A36" s="7">
        <v>22</v>
      </c>
      <c r="B36" s="28">
        <f>SUM('Mortgage Calculation'!K3:K267)</f>
        <v>205966.50676970743</v>
      </c>
      <c r="C36" s="28">
        <f>SUM('Mortgage Calculation'!$L$3:L267)</f>
        <v>106365.42217109719</v>
      </c>
      <c r="D36" s="28">
        <f>SUM('Mortgage Calculation'!$M$3:M267)</f>
        <v>99601.08459861124</v>
      </c>
      <c r="E36" s="28">
        <f>'Mortgage Calculation'!O267</f>
        <v>63763.602161866802</v>
      </c>
      <c r="F36" s="27">
        <f t="shared" si="4"/>
        <v>154352</v>
      </c>
      <c r="G36" s="2">
        <f t="shared" si="0"/>
        <v>360318.50676970743</v>
      </c>
      <c r="I36" s="23">
        <v>22</v>
      </c>
      <c r="J36" s="28">
        <f t="shared" si="5"/>
        <v>237600</v>
      </c>
      <c r="K36" s="2">
        <f t="shared" si="6"/>
        <v>38918.879999999997</v>
      </c>
      <c r="L36" s="2">
        <f t="shared" si="1"/>
        <v>276518.88</v>
      </c>
      <c r="N36" s="7">
        <v>22</v>
      </c>
      <c r="O36" s="33">
        <f t="shared" si="2"/>
        <v>402886.19455584133</v>
      </c>
      <c r="P36" s="28">
        <f t="shared" si="9"/>
        <v>442582.10893157421</v>
      </c>
      <c r="Q36" s="5">
        <f t="shared" si="10"/>
        <v>-39695.914375732886</v>
      </c>
      <c r="R36" s="2">
        <f t="shared" si="7"/>
        <v>288230.10893157421</v>
      </c>
      <c r="S36" s="2">
        <f t="shared" si="8"/>
        <v>114656.08562426711</v>
      </c>
      <c r="U36" s="7">
        <v>22</v>
      </c>
      <c r="V36" s="5">
        <f t="shared" si="3"/>
        <v>236822.96562426712</v>
      </c>
    </row>
    <row r="37" spans="1:22" x14ac:dyDescent="0.25">
      <c r="A37" s="29">
        <v>23</v>
      </c>
      <c r="B37" s="28">
        <f>SUM('Mortgage Calculation'!K3:K279)</f>
        <v>215293.29198192048</v>
      </c>
      <c r="C37" s="28">
        <f>SUM('Mortgage Calculation'!$L$3:L279)</f>
        <v>108767.33820694411</v>
      </c>
      <c r="D37" s="28">
        <f>SUM('Mortgage Calculation'!$M$3:M279)</f>
        <v>106525.9537749775</v>
      </c>
      <c r="E37" s="28">
        <f>'Mortgage Calculation'!O279</f>
        <v>56861.739195388793</v>
      </c>
      <c r="F37" s="27">
        <f t="shared" si="4"/>
        <v>161368</v>
      </c>
      <c r="G37" s="2">
        <f t="shared" si="0"/>
        <v>376661.29198192048</v>
      </c>
      <c r="I37" s="23">
        <v>23</v>
      </c>
      <c r="J37" s="28">
        <f t="shared" si="5"/>
        <v>248400</v>
      </c>
      <c r="K37" s="2">
        <f t="shared" si="6"/>
        <v>40687.919999999998</v>
      </c>
      <c r="L37" s="2">
        <f t="shared" si="1"/>
        <v>289087.92</v>
      </c>
      <c r="N37" s="7">
        <v>23</v>
      </c>
      <c r="O37" s="33">
        <f t="shared" si="2"/>
        <v>419001.64233807492</v>
      </c>
      <c r="P37" s="28">
        <f t="shared" si="9"/>
        <v>452023.03117730928</v>
      </c>
      <c r="Q37" s="5">
        <f t="shared" si="10"/>
        <v>-33021.388839234365</v>
      </c>
      <c r="R37" s="2">
        <f t="shared" si="7"/>
        <v>290655.03117730928</v>
      </c>
      <c r="S37" s="2">
        <f t="shared" si="8"/>
        <v>128346.61116076563</v>
      </c>
      <c r="U37" s="7">
        <v>23</v>
      </c>
      <c r="V37" s="5">
        <f t="shared" si="3"/>
        <v>256066.53116076562</v>
      </c>
    </row>
    <row r="38" spans="1:22" x14ac:dyDescent="0.25">
      <c r="A38" s="7">
        <v>24</v>
      </c>
      <c r="B38" s="28">
        <f>SUM('Mortgage Calculation'!K3:K291)</f>
        <v>224620.07719413354</v>
      </c>
      <c r="C38" s="28">
        <f>SUM('Mortgage Calculation'!$L$3:L291)</f>
        <v>110887.12438802821</v>
      </c>
      <c r="D38" s="28">
        <f>SUM('Mortgage Calculation'!$M$3:M291)</f>
        <v>113732.95280610662</v>
      </c>
      <c r="E38" s="28">
        <f>'Mortgage Calculation'!O291</f>
        <v>49678.683682635499</v>
      </c>
      <c r="F38" s="27">
        <f t="shared" si="4"/>
        <v>168384</v>
      </c>
      <c r="G38" s="2">
        <f t="shared" si="0"/>
        <v>393004.07719413354</v>
      </c>
      <c r="I38" s="23">
        <v>24</v>
      </c>
      <c r="J38" s="28">
        <f t="shared" si="5"/>
        <v>259200</v>
      </c>
      <c r="K38" s="2">
        <f t="shared" si="6"/>
        <v>42456.959999999999</v>
      </c>
      <c r="L38" s="2">
        <f t="shared" si="1"/>
        <v>301656.96000000002</v>
      </c>
      <c r="N38" s="7">
        <v>24</v>
      </c>
      <c r="O38" s="33">
        <f t="shared" si="2"/>
        <v>435761.70803159795</v>
      </c>
      <c r="P38" s="28">
        <f t="shared" si="9"/>
        <v>461182.76087676903</v>
      </c>
      <c r="Q38" s="5">
        <f t="shared" si="10"/>
        <v>-25421.052845171071</v>
      </c>
      <c r="R38" s="2">
        <f t="shared" si="7"/>
        <v>292798.76087676903</v>
      </c>
      <c r="S38" s="2">
        <f t="shared" si="8"/>
        <v>142962.94715482893</v>
      </c>
      <c r="U38" s="23">
        <v>24</v>
      </c>
      <c r="V38" s="5">
        <f t="shared" si="3"/>
        <v>276235.90715482895</v>
      </c>
    </row>
    <row r="39" spans="1:22" x14ac:dyDescent="0.25">
      <c r="A39" s="7">
        <v>25</v>
      </c>
      <c r="B39" s="28">
        <f>SUM('Mortgage Calculation'!K3:K303)</f>
        <v>233946.8624063466</v>
      </c>
      <c r="C39" s="28">
        <f>SUM('Mortgage Calculation'!$L$3:L303)</f>
        <v>112713.28630876269</v>
      </c>
      <c r="D39" s="28">
        <f>SUM('Mortgage Calculation'!$M$3:M303)</f>
        <v>121233.57609758538</v>
      </c>
      <c r="E39" s="28">
        <f>'Mortgage Calculation'!O303</f>
        <v>42202.979405414153</v>
      </c>
      <c r="F39" s="27">
        <f t="shared" si="4"/>
        <v>175400</v>
      </c>
      <c r="G39" s="2">
        <f t="shared" si="0"/>
        <v>409346.8624063466</v>
      </c>
      <c r="I39" s="23">
        <v>25</v>
      </c>
      <c r="J39" s="28">
        <f t="shared" si="5"/>
        <v>270000</v>
      </c>
      <c r="K39" s="2">
        <f t="shared" si="6"/>
        <v>44226</v>
      </c>
      <c r="L39" s="2">
        <f t="shared" si="1"/>
        <v>314226</v>
      </c>
      <c r="N39" s="7">
        <v>25</v>
      </c>
      <c r="O39" s="33">
        <f t="shared" si="2"/>
        <v>453192.17635286198</v>
      </c>
      <c r="P39" s="28">
        <f t="shared" si="9"/>
        <v>470049.84181176074</v>
      </c>
      <c r="Q39" s="5">
        <f t="shared" si="10"/>
        <v>-16857.665458898759</v>
      </c>
      <c r="R39" s="2">
        <f t="shared" si="7"/>
        <v>294649.84181176074</v>
      </c>
      <c r="S39" s="2">
        <f t="shared" si="8"/>
        <v>158542.33454110124</v>
      </c>
      <c r="U39" s="7">
        <v>25</v>
      </c>
      <c r="V39" s="5">
        <f t="shared" si="3"/>
        <v>297368.33454110124</v>
      </c>
    </row>
    <row r="40" spans="1:22" x14ac:dyDescent="0.25">
      <c r="A40" s="29">
        <v>26</v>
      </c>
      <c r="B40" s="28">
        <f>SUM('Mortgage Calculation'!K3:K315)</f>
        <v>243273.64761855965</v>
      </c>
      <c r="C40" s="28">
        <f>SUM('Mortgage Calculation'!$L$3:L315)</f>
        <v>114233.86126374219</v>
      </c>
      <c r="D40" s="28">
        <f>SUM('Mortgage Calculation'!$M$3:M315)</f>
        <v>129039.78635481911</v>
      </c>
      <c r="E40" s="28">
        <f>'Mortgage Calculation'!O315</f>
        <v>34422.703401526727</v>
      </c>
      <c r="F40" s="27">
        <f t="shared" si="4"/>
        <v>182416</v>
      </c>
      <c r="G40" s="2">
        <f t="shared" si="0"/>
        <v>425689.64761855965</v>
      </c>
      <c r="I40" s="23">
        <v>26</v>
      </c>
      <c r="J40" s="28">
        <f t="shared" si="5"/>
        <v>280800</v>
      </c>
      <c r="K40" s="2">
        <f t="shared" si="6"/>
        <v>45995.040000000001</v>
      </c>
      <c r="L40" s="2">
        <f t="shared" si="1"/>
        <v>326795.03999999998</v>
      </c>
      <c r="N40" s="7">
        <v>26</v>
      </c>
      <c r="O40" s="33">
        <f t="shared" si="2"/>
        <v>471319.86340697639</v>
      </c>
      <c r="P40" s="28">
        <f t="shared" si="9"/>
        <v>478612.35102008638</v>
      </c>
      <c r="Q40" s="5">
        <f t="shared" si="10"/>
        <v>-7292.4876131099882</v>
      </c>
      <c r="R40" s="2">
        <f t="shared" si="7"/>
        <v>296196.35102008638</v>
      </c>
      <c r="S40" s="2">
        <f t="shared" si="8"/>
        <v>175123.51238689001</v>
      </c>
      <c r="U40" s="7">
        <v>26</v>
      </c>
      <c r="V40" s="5">
        <f t="shared" si="3"/>
        <v>319502.55238688999</v>
      </c>
    </row>
    <row r="41" spans="1:22" x14ac:dyDescent="0.25">
      <c r="A41" s="7">
        <v>27</v>
      </c>
      <c r="B41" s="28">
        <f>SUM('Mortgage Calculation'!K3:K327)</f>
        <v>252600.43283077271</v>
      </c>
      <c r="C41" s="28">
        <f>SUM('Mortgage Calculation'!$L$3:L327)</f>
        <v>115436.39916848569</v>
      </c>
      <c r="D41" s="28">
        <f>SUM('Mortgage Calculation'!$M$3:M327)</f>
        <v>137164.03366228883</v>
      </c>
      <c r="E41" s="28">
        <f>'Mortgage Calculation'!O327</f>
        <v>26325.446948899124</v>
      </c>
      <c r="F41" s="27">
        <f t="shared" si="4"/>
        <v>189432</v>
      </c>
      <c r="G41" s="2">
        <f t="shared" si="0"/>
        <v>442032.43283077271</v>
      </c>
      <c r="I41" s="23">
        <v>27</v>
      </c>
      <c r="J41" s="28">
        <f t="shared" si="5"/>
        <v>291600</v>
      </c>
      <c r="K41" s="2">
        <f t="shared" si="6"/>
        <v>47764.08</v>
      </c>
      <c r="L41" s="2">
        <f t="shared" si="1"/>
        <v>339364.08</v>
      </c>
      <c r="N41" s="7">
        <v>27</v>
      </c>
      <c r="O41" s="33">
        <f t="shared" si="2"/>
        <v>490172.65794325544</v>
      </c>
      <c r="P41" s="28">
        <f t="shared" si="9"/>
        <v>486857.87977967184</v>
      </c>
      <c r="Q41" s="5">
        <f t="shared" si="10"/>
        <v>3314.7781635836</v>
      </c>
      <c r="R41" s="2">
        <f t="shared" si="7"/>
        <v>297425.87977967184</v>
      </c>
      <c r="S41" s="2">
        <f t="shared" si="8"/>
        <v>192746.7781635836</v>
      </c>
      <c r="U41" s="23">
        <v>27</v>
      </c>
      <c r="V41" s="5">
        <f t="shared" si="3"/>
        <v>342678.85816358362</v>
      </c>
    </row>
    <row r="42" spans="1:22" x14ac:dyDescent="0.25">
      <c r="A42" s="7">
        <v>28</v>
      </c>
      <c r="B42" s="28">
        <f>SUM('Mortgage Calculation'!K3:K339)</f>
        <v>261927.21804298577</v>
      </c>
      <c r="C42" s="28">
        <f>SUM('Mortgage Calculation'!$L$3:L339)</f>
        <v>116307.94270286092</v>
      </c>
      <c r="D42" s="28">
        <f>SUM('Mortgage Calculation'!$M$3:M339)</f>
        <v>145619.27534012677</v>
      </c>
      <c r="E42" s="28">
        <f>'Mortgage Calculation'!O339</f>
        <v>17898.295774974238</v>
      </c>
      <c r="F42" s="27">
        <f t="shared" si="4"/>
        <v>196448</v>
      </c>
      <c r="G42" s="2">
        <f t="shared" si="0"/>
        <v>458375.21804298577</v>
      </c>
      <c r="I42" s="23">
        <v>28</v>
      </c>
      <c r="J42" s="28">
        <f t="shared" si="5"/>
        <v>302400</v>
      </c>
      <c r="K42" s="2">
        <f t="shared" si="6"/>
        <v>49533.119999999995</v>
      </c>
      <c r="L42" s="2">
        <f t="shared" si="1"/>
        <v>351933.12</v>
      </c>
      <c r="N42" s="7">
        <v>28</v>
      </c>
      <c r="O42" s="33">
        <f t="shared" si="2"/>
        <v>509779.56426098582</v>
      </c>
      <c r="P42" s="28">
        <f t="shared" si="9"/>
        <v>494773.51381795999</v>
      </c>
      <c r="Q42" s="5">
        <f t="shared" si="10"/>
        <v>15006.05044302583</v>
      </c>
      <c r="R42" s="2">
        <f t="shared" si="7"/>
        <v>298325.51381795999</v>
      </c>
      <c r="S42" s="2">
        <f t="shared" si="8"/>
        <v>211454.05044302583</v>
      </c>
      <c r="U42" s="7">
        <v>28</v>
      </c>
      <c r="V42" s="5">
        <f t="shared" si="3"/>
        <v>366939.17044302583</v>
      </c>
    </row>
    <row r="43" spans="1:22" x14ac:dyDescent="0.25">
      <c r="A43" s="29">
        <v>29</v>
      </c>
      <c r="B43" s="28">
        <f>SUM('Mortgage Calculation'!K3:K351)</f>
        <v>271254.00325519918</v>
      </c>
      <c r="C43" s="28">
        <f>SUM('Mortgage Calculation'!$L$3:L351)</f>
        <v>116835.00664552134</v>
      </c>
      <c r="D43" s="28">
        <f>SUM('Mortgage Calculation'!$M$3:M351)</f>
        <v>154418.9966096796</v>
      </c>
      <c r="E43" s="28">
        <f>'Mortgage Calculation'!O351</f>
        <v>9127.8094598053394</v>
      </c>
      <c r="F43" s="27">
        <f t="shared" si="4"/>
        <v>203464</v>
      </c>
      <c r="G43" s="2">
        <f t="shared" si="0"/>
        <v>474718.00325519918</v>
      </c>
      <c r="I43" s="23">
        <v>29</v>
      </c>
      <c r="J43" s="28">
        <f t="shared" si="5"/>
        <v>313200</v>
      </c>
      <c r="K43" s="2">
        <f t="shared" si="6"/>
        <v>51302.159999999996</v>
      </c>
      <c r="L43" s="2">
        <f t="shared" si="1"/>
        <v>364502.16</v>
      </c>
      <c r="N43" s="7">
        <v>29</v>
      </c>
      <c r="O43" s="33">
        <f t="shared" si="2"/>
        <v>530170.74683142523</v>
      </c>
      <c r="P43" s="28">
        <f t="shared" si="9"/>
        <v>502345.81271500449</v>
      </c>
      <c r="Q43" s="5">
        <f t="shared" si="10"/>
        <v>27824.934116420744</v>
      </c>
      <c r="R43" s="2">
        <f t="shared" si="7"/>
        <v>298881.81271500449</v>
      </c>
      <c r="S43" s="2">
        <f t="shared" si="8"/>
        <v>231288.93411642074</v>
      </c>
      <c r="U43" s="7">
        <v>29</v>
      </c>
      <c r="V43" s="5">
        <f t="shared" si="3"/>
        <v>392327.09411642072</v>
      </c>
    </row>
    <row r="44" spans="1:22" x14ac:dyDescent="0.25">
      <c r="A44" s="7">
        <v>30</v>
      </c>
      <c r="B44" s="28">
        <f>SUM('Mortgage Calculation'!K3:K363)</f>
        <v>279803.55649723299</v>
      </c>
      <c r="C44" s="28">
        <f>SUM('Mortgage Calculation'!$L$3:L363)</f>
        <v>117003.56484072721</v>
      </c>
      <c r="D44" s="28">
        <f>SUM('Mortgage Calculation'!$M$3:M363)</f>
        <v>162799.99165650734</v>
      </c>
      <c r="E44" s="28">
        <f>'Mortgage Calculation'!O363</f>
        <v>2.5422993389280464</v>
      </c>
      <c r="F44" s="27">
        <f t="shared" si="4"/>
        <v>210480</v>
      </c>
      <c r="G44" s="2">
        <f t="shared" si="0"/>
        <v>490283.55649723299</v>
      </c>
      <c r="I44" s="23">
        <v>30</v>
      </c>
      <c r="J44" s="28">
        <f t="shared" si="5"/>
        <v>324000</v>
      </c>
      <c r="K44" s="2">
        <f t="shared" si="6"/>
        <v>53071.199999999997</v>
      </c>
      <c r="L44" s="2">
        <f t="shared" si="1"/>
        <v>377071.2</v>
      </c>
      <c r="N44" s="7">
        <v>30</v>
      </c>
      <c r="O44" s="33">
        <f t="shared" si="2"/>
        <v>551377.5767046822</v>
      </c>
      <c r="P44" s="28">
        <f t="shared" si="9"/>
        <v>508786.0987965719</v>
      </c>
      <c r="Q44" s="5">
        <f t="shared" si="10"/>
        <v>42591.477908110304</v>
      </c>
      <c r="R44" s="2">
        <f t="shared" si="7"/>
        <v>298306.0987965719</v>
      </c>
      <c r="S44" s="2">
        <f t="shared" si="8"/>
        <v>253071.4779081103</v>
      </c>
      <c r="U44" s="23">
        <v>30</v>
      </c>
      <c r="V44" s="5">
        <f t="shared" si="3"/>
        <v>419662.67790811032</v>
      </c>
    </row>
  </sheetData>
  <mergeCells count="9">
    <mergeCell ref="N13:S13"/>
    <mergeCell ref="U13:V13"/>
    <mergeCell ref="A1:B1"/>
    <mergeCell ref="D1:E1"/>
    <mergeCell ref="G1:H1"/>
    <mergeCell ref="A13:G13"/>
    <mergeCell ref="I13:L13"/>
    <mergeCell ref="G4:H4"/>
    <mergeCell ref="A9:B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B1B36-30DB-41DB-A357-EB00ED920379}">
  <dimension ref="A1:P46"/>
  <sheetViews>
    <sheetView workbookViewId="0">
      <selection activeCell="D21" sqref="D21"/>
    </sheetView>
  </sheetViews>
  <sheetFormatPr defaultRowHeight="15" x14ac:dyDescent="0.25"/>
  <cols>
    <col min="1" max="1" width="38.42578125" bestFit="1" customWidth="1"/>
    <col min="2" max="2" width="15.42578125" bestFit="1" customWidth="1"/>
    <col min="5" max="5" width="19.28515625" bestFit="1" customWidth="1"/>
    <col min="6" max="6" width="20.42578125" customWidth="1"/>
    <col min="7" max="7" width="14.28515625" bestFit="1" customWidth="1"/>
    <col min="8" max="8" width="21.42578125" bestFit="1" customWidth="1"/>
    <col min="9" max="9" width="31.28515625" customWidth="1"/>
    <col min="10" max="10" width="9.140625" customWidth="1"/>
    <col min="11" max="11" width="13.42578125" bestFit="1" customWidth="1"/>
    <col min="12" max="12" width="18" bestFit="1" customWidth="1"/>
    <col min="15" max="15" width="15" bestFit="1" customWidth="1"/>
    <col min="16" max="16" width="15.140625" bestFit="1" customWidth="1"/>
  </cols>
  <sheetData>
    <row r="1" spans="1:16" x14ac:dyDescent="0.25">
      <c r="A1" s="73" t="s">
        <v>79</v>
      </c>
      <c r="B1" s="73"/>
      <c r="E1" s="73" t="s">
        <v>119</v>
      </c>
      <c r="F1" s="73"/>
      <c r="G1" s="73"/>
      <c r="H1" s="73"/>
      <c r="I1" s="73"/>
      <c r="K1" s="73" t="s">
        <v>120</v>
      </c>
      <c r="L1" s="73"/>
      <c r="N1" s="73" t="s">
        <v>121</v>
      </c>
      <c r="O1" s="73"/>
      <c r="P1" s="73"/>
    </row>
    <row r="2" spans="1:16" x14ac:dyDescent="0.25">
      <c r="A2" s="24" t="s">
        <v>1</v>
      </c>
      <c r="B2" s="63">
        <f>'Mortgage Calculation'!B2</f>
        <v>170000</v>
      </c>
      <c r="E2" s="44" t="s">
        <v>96</v>
      </c>
      <c r="F2" s="19" t="s">
        <v>88</v>
      </c>
      <c r="G2" s="19" t="s">
        <v>85</v>
      </c>
      <c r="H2" s="19" t="s">
        <v>98</v>
      </c>
      <c r="I2" s="45" t="s">
        <v>86</v>
      </c>
      <c r="K2" s="1" t="s">
        <v>91</v>
      </c>
      <c r="L2" s="1" t="s">
        <v>99</v>
      </c>
      <c r="N2" s="1" t="s">
        <v>58</v>
      </c>
      <c r="O2" s="1" t="s">
        <v>4</v>
      </c>
      <c r="P2" s="1" t="s">
        <v>108</v>
      </c>
    </row>
    <row r="3" spans="1:16" x14ac:dyDescent="0.25">
      <c r="A3" s="11" t="s">
        <v>4</v>
      </c>
      <c r="B3" s="53">
        <f>('Mortgage Calculation'!B2-'Mortgage Calculation'!B6)+'Mortgage Calculation'!B9</f>
        <v>160000</v>
      </c>
      <c r="E3" s="43" t="s">
        <v>94</v>
      </c>
      <c r="F3" s="8" t="s">
        <v>89</v>
      </c>
      <c r="G3" s="8" t="s">
        <v>102</v>
      </c>
      <c r="H3" s="47">
        <v>80</v>
      </c>
      <c r="I3" s="48">
        <v>11</v>
      </c>
      <c r="K3">
        <v>1</v>
      </c>
      <c r="L3" t="s">
        <v>95</v>
      </c>
      <c r="N3">
        <v>1</v>
      </c>
      <c r="O3" s="4">
        <f>'Mortgage Calculation'!O15</f>
        <v>159933.03268666563</v>
      </c>
      <c r="P3" s="4">
        <f>Table5[[#This Row],[Loan Amount]]*$B$15</f>
        <v>1279.464261493325</v>
      </c>
    </row>
    <row r="4" spans="1:16" x14ac:dyDescent="0.25">
      <c r="A4" s="11" t="s">
        <v>92</v>
      </c>
      <c r="B4" s="64">
        <f>'Mortgage Calculation'!B3</f>
        <v>30</v>
      </c>
      <c r="E4" s="43" t="s">
        <v>94</v>
      </c>
      <c r="F4" s="8" t="s">
        <v>89</v>
      </c>
      <c r="G4" s="8" t="s">
        <v>100</v>
      </c>
      <c r="H4" s="47">
        <v>80</v>
      </c>
      <c r="I4" s="48">
        <f>B4</f>
        <v>30</v>
      </c>
      <c r="K4">
        <v>2</v>
      </c>
      <c r="L4" t="s">
        <v>95</v>
      </c>
      <c r="N4">
        <v>2</v>
      </c>
      <c r="O4" s="4">
        <f>'Mortgage Calculation'!O27</f>
        <v>156949.26070148539</v>
      </c>
      <c r="P4" s="4">
        <f>Table5[[#This Row],[Loan Amount]]*$B$15</f>
        <v>1255.5940856118832</v>
      </c>
    </row>
    <row r="5" spans="1:16" x14ac:dyDescent="0.25">
      <c r="A5" s="11" t="s">
        <v>80</v>
      </c>
      <c r="B5" s="64">
        <f>B3/B2</f>
        <v>0.94117647058823528</v>
      </c>
      <c r="E5" s="43" t="s">
        <v>94</v>
      </c>
      <c r="F5" s="8" t="s">
        <v>89</v>
      </c>
      <c r="G5" s="8" t="s">
        <v>101</v>
      </c>
      <c r="H5" s="47">
        <v>85</v>
      </c>
      <c r="I5" s="48">
        <f>B4</f>
        <v>30</v>
      </c>
      <c r="K5">
        <v>3</v>
      </c>
      <c r="L5" t="s">
        <v>95</v>
      </c>
      <c r="N5">
        <v>3</v>
      </c>
      <c r="O5" s="4">
        <f>'Mortgage Calculation'!O39</f>
        <v>153843.92524190809</v>
      </c>
      <c r="P5" s="4">
        <f>Table5[[#This Row],[Loan Amount]]*$B$15</f>
        <v>1230.7514019352648</v>
      </c>
    </row>
    <row r="6" spans="1:16" ht="15" customHeight="1" x14ac:dyDescent="0.25">
      <c r="E6" s="43" t="s">
        <v>94</v>
      </c>
      <c r="F6" s="8" t="s">
        <v>90</v>
      </c>
      <c r="G6" s="8" t="s">
        <v>102</v>
      </c>
      <c r="H6" s="47">
        <v>100</v>
      </c>
      <c r="I6" s="48">
        <v>11</v>
      </c>
      <c r="K6">
        <v>4</v>
      </c>
      <c r="L6" t="s">
        <v>95</v>
      </c>
      <c r="N6">
        <v>4</v>
      </c>
      <c r="O6" s="4">
        <f>'Mortgage Calculation'!O51</f>
        <v>150612.07362442408</v>
      </c>
      <c r="P6" s="4">
        <f>Table5[[#This Row],[Loan Amount]]*$B$15</f>
        <v>1204.8965889953927</v>
      </c>
    </row>
    <row r="7" spans="1:16" x14ac:dyDescent="0.25">
      <c r="A7" s="75" t="s">
        <v>110</v>
      </c>
      <c r="B7" s="76"/>
      <c r="E7" s="43" t="s">
        <v>94</v>
      </c>
      <c r="F7" s="8" t="s">
        <v>90</v>
      </c>
      <c r="G7" s="8" t="s">
        <v>100</v>
      </c>
      <c r="H7" s="47">
        <v>100</v>
      </c>
      <c r="I7" s="48">
        <f>B4</f>
        <v>30</v>
      </c>
      <c r="K7">
        <v>5</v>
      </c>
      <c r="L7" t="s">
        <v>95</v>
      </c>
      <c r="N7">
        <v>5</v>
      </c>
      <c r="O7" s="4">
        <f>'Mortgage Calculation'!O63</f>
        <v>147248.551385556</v>
      </c>
      <c r="P7" s="4">
        <f>Table5[[#This Row],[Loan Amount]]*$B$15</f>
        <v>1177.988411084448</v>
      </c>
    </row>
    <row r="8" spans="1:16" x14ac:dyDescent="0.25">
      <c r="A8" s="8" t="s">
        <v>113</v>
      </c>
      <c r="B8" s="65" t="str">
        <f>'Mortgage Calculation'!B22</f>
        <v>Yes</v>
      </c>
      <c r="E8" s="43" t="s">
        <v>94</v>
      </c>
      <c r="F8" s="8" t="s">
        <v>90</v>
      </c>
      <c r="G8" s="8" t="s">
        <v>101</v>
      </c>
      <c r="H8" s="47">
        <v>105</v>
      </c>
      <c r="I8" s="48">
        <f>B4</f>
        <v>30</v>
      </c>
      <c r="K8">
        <v>6</v>
      </c>
      <c r="L8" t="s">
        <v>95</v>
      </c>
      <c r="N8">
        <v>6</v>
      </c>
      <c r="O8" s="4">
        <f>'Mortgage Calculation'!O75</f>
        <v>143747.99406103141</v>
      </c>
      <c r="P8" s="4">
        <f>Table5[[#This Row],[Loan Amount]]*$B$15</f>
        <v>1149.9839524882514</v>
      </c>
    </row>
    <row r="9" spans="1:16" x14ac:dyDescent="0.25">
      <c r="A9" s="24" t="s">
        <v>81</v>
      </c>
      <c r="B9" s="66">
        <f>'Mortgage Calculation'!B23</f>
        <v>1.7500000000000002E-2</v>
      </c>
      <c r="E9" s="43" t="s">
        <v>95</v>
      </c>
      <c r="F9" s="8" t="s">
        <v>89</v>
      </c>
      <c r="G9" s="8" t="s">
        <v>102</v>
      </c>
      <c r="H9" s="47">
        <v>45</v>
      </c>
      <c r="I9" s="48">
        <v>11</v>
      </c>
      <c r="K9">
        <v>7</v>
      </c>
      <c r="L9" t="s">
        <v>95</v>
      </c>
      <c r="N9">
        <v>7</v>
      </c>
      <c r="O9" s="4">
        <f>'Mortgage Calculation'!O87</f>
        <v>140104.81863002642</v>
      </c>
      <c r="P9" s="4">
        <f>Table5[[#This Row],[Loan Amount]]*$B$15</f>
        <v>1120.8385490402113</v>
      </c>
    </row>
    <row r="10" spans="1:16" x14ac:dyDescent="0.25">
      <c r="A10" s="11" t="s">
        <v>82</v>
      </c>
      <c r="B10" s="53">
        <f>IF(B8="Yes",B3*B9,"0")</f>
        <v>2800.0000000000005</v>
      </c>
      <c r="E10" s="43" t="s">
        <v>95</v>
      </c>
      <c r="F10" s="8" t="s">
        <v>89</v>
      </c>
      <c r="G10" s="8" t="s">
        <v>103</v>
      </c>
      <c r="H10" s="47">
        <v>70</v>
      </c>
      <c r="I10" s="48">
        <f>B4</f>
        <v>30</v>
      </c>
      <c r="K10">
        <v>8</v>
      </c>
      <c r="L10" t="s">
        <v>95</v>
      </c>
      <c r="N10">
        <v>8</v>
      </c>
      <c r="O10" s="4">
        <f>'Mortgage Calculation'!O99</f>
        <v>136313.2146108349</v>
      </c>
      <c r="P10" s="4">
        <f>Table5[[#This Row],[Loan Amount]]*$B$15</f>
        <v>1090.5057168866792</v>
      </c>
    </row>
    <row r="11" spans="1:16" x14ac:dyDescent="0.25">
      <c r="A11" s="9" t="s">
        <v>93</v>
      </c>
      <c r="B11" s="60" t="str">
        <f>INDEX(L3:L32,MATCH(B4,K3:K32,0))</f>
        <v>&gt; 15</v>
      </c>
      <c r="E11" s="43" t="s">
        <v>95</v>
      </c>
      <c r="F11" s="8" t="s">
        <v>90</v>
      </c>
      <c r="G11" s="8" t="s">
        <v>104</v>
      </c>
      <c r="H11" s="47">
        <v>45</v>
      </c>
      <c r="I11" s="48">
        <v>11</v>
      </c>
      <c r="K11">
        <v>9</v>
      </c>
      <c r="L11" t="s">
        <v>95</v>
      </c>
      <c r="N11">
        <v>9</v>
      </c>
      <c r="O11" s="4">
        <f>'Mortgage Calculation'!O111</f>
        <v>132367.1347937606</v>
      </c>
      <c r="P11" s="4">
        <f>Table5[[#This Row],[Loan Amount]]*$B$15</f>
        <v>1058.9370783500849</v>
      </c>
    </row>
    <row r="12" spans="1:16" x14ac:dyDescent="0.25">
      <c r="A12" s="9" t="s">
        <v>97</v>
      </c>
      <c r="B12" s="60" t="str">
        <f>IF(B3&gt;625000,"More","Less")</f>
        <v>Less</v>
      </c>
      <c r="E12" s="43" t="s">
        <v>95</v>
      </c>
      <c r="F12" s="8" t="s">
        <v>90</v>
      </c>
      <c r="G12" s="8" t="s">
        <v>105</v>
      </c>
      <c r="H12" s="47">
        <v>70</v>
      </c>
      <c r="I12" s="48">
        <v>11</v>
      </c>
      <c r="K12">
        <v>10</v>
      </c>
      <c r="L12" t="s">
        <v>95</v>
      </c>
      <c r="N12">
        <v>10</v>
      </c>
      <c r="O12" s="4">
        <f>'Mortgage Calculation'!O123</f>
        <v>128260.28559645406</v>
      </c>
      <c r="P12" s="4">
        <f>Table5[[#This Row],[Loan Amount]]*$B$15</f>
        <v>1026.0822847716324</v>
      </c>
    </row>
    <row r="13" spans="1:16" x14ac:dyDescent="0.25">
      <c r="A13" s="9" t="s">
        <v>85</v>
      </c>
      <c r="B13" s="60" t="str">
        <f>IF(AND(B4&gt;15,B5&gt;0.9,B5&lt;=0.95),"90-95",IF(AND(B4&gt;15,B5&gt;0.95),"&gt;95",IF(AND(B4&lt;=15,B3&lt;=625000,B5&gt;0.9),"&gt;90",IF(AND(B4&gt;15,B5&lt;=0.9),"&lt;=90",IF(AND(B4&lt;=15,B3&lt;=625000,B5&lt;=0.9),"&lt;=90",IF(B5&lt;=0.78,"&lt;=78",IF(AND(B4&lt;=15,B5&gt;0.78,B5&lt;=0.9),"78-90",IF(AND(B4&lt;=15,B5&gt;0.9),"&gt;90"))))))))</f>
        <v>90-95</v>
      </c>
      <c r="E13" s="46" t="s">
        <v>95</v>
      </c>
      <c r="F13" s="22" t="s">
        <v>90</v>
      </c>
      <c r="G13" s="22" t="s">
        <v>103</v>
      </c>
      <c r="H13" s="49">
        <v>95</v>
      </c>
      <c r="I13" s="50">
        <f>B4</f>
        <v>30</v>
      </c>
      <c r="K13">
        <v>11</v>
      </c>
      <c r="L13" t="s">
        <v>95</v>
      </c>
      <c r="N13">
        <v>11</v>
      </c>
      <c r="O13" s="4">
        <f>'Mortgage Calculation'!O135</f>
        <v>123986.11702631036</v>
      </c>
      <c r="P13" s="4">
        <f>Table5[[#This Row],[Loan Amount]]*$B$15</f>
        <v>991.88893621048283</v>
      </c>
    </row>
    <row r="14" spans="1:16" x14ac:dyDescent="0.25">
      <c r="A14" s="9" t="s">
        <v>87</v>
      </c>
      <c r="B14" s="60" cm="1">
        <f t="array" ref="B14">INDEX(H3:H13,MATCH(1,(B11=E3:E13)*(B12=F3:F13)*(B13=G3:G13),0))</f>
        <v>80</v>
      </c>
      <c r="K14">
        <v>12</v>
      </c>
      <c r="L14" t="s">
        <v>95</v>
      </c>
      <c r="N14">
        <v>12</v>
      </c>
      <c r="O14" s="4">
        <f>'Mortgage Calculation'!O147</f>
        <v>119537.81223391971</v>
      </c>
      <c r="P14" s="4">
        <f>IF($B$16&gt;11,Table5[[#This Row],[Loan Amount]]*$B$15,"")</f>
        <v>956.30249787135779</v>
      </c>
    </row>
    <row r="15" spans="1:16" x14ac:dyDescent="0.25">
      <c r="A15" s="9" t="s">
        <v>106</v>
      </c>
      <c r="B15" s="67">
        <f>IF(B8="Yes",B14/10000,"0")</f>
        <v>8.0000000000000002E-3</v>
      </c>
      <c r="E15" s="73" t="s">
        <v>122</v>
      </c>
      <c r="F15" s="73"/>
      <c r="G15" s="73"/>
      <c r="K15">
        <v>13</v>
      </c>
      <c r="L15" t="s">
        <v>95</v>
      </c>
      <c r="N15">
        <v>13</v>
      </c>
      <c r="O15" s="4">
        <f>'Mortgage Calculation'!O159</f>
        <v>114908.27664090964</v>
      </c>
      <c r="P15" s="4">
        <f>IF($B$16&gt;11,Table5[[#This Row],[Loan Amount]]*$B$15,"")</f>
        <v>919.26621312727707</v>
      </c>
    </row>
    <row r="16" spans="1:16" x14ac:dyDescent="0.25">
      <c r="A16" s="9" t="s">
        <v>107</v>
      </c>
      <c r="B16" s="60" cm="1">
        <f t="array" ref="B16">INDEX(I3:I13,MATCH(1,(B11=E3:E13)*(B12=F3:F13)*(B13=G3:G13),0))</f>
        <v>30</v>
      </c>
      <c r="E16" s="1" t="s">
        <v>58</v>
      </c>
      <c r="F16" s="1" t="s">
        <v>4</v>
      </c>
      <c r="G16" s="1" t="s">
        <v>123</v>
      </c>
      <c r="K16">
        <v>14</v>
      </c>
      <c r="L16" t="s">
        <v>95</v>
      </c>
      <c r="N16">
        <v>14</v>
      </c>
      <c r="O16" s="4">
        <f>'Mortgage Calculation'!O171</f>
        <v>110090.12662483819</v>
      </c>
      <c r="P16" s="4">
        <f>IF($B$16&gt;11,Table5[[#This Row],[Loan Amount]]*$B$15,"")</f>
        <v>880.72101299870553</v>
      </c>
    </row>
    <row r="17" spans="1:16" x14ac:dyDescent="0.25">
      <c r="E17">
        <v>1</v>
      </c>
      <c r="F17" s="4">
        <f>'Mortgage Calculation'!O15</f>
        <v>159933.03268666563</v>
      </c>
      <c r="G17" s="4" t="str">
        <f>IF(AND($B$19="Yes",$B$23&lt;Table57[[#This Row],[Loan Amount]]),Table57[[#This Row],[Loan Amount]]*$B$21,"0")</f>
        <v>0</v>
      </c>
      <c r="H17" s="4"/>
      <c r="K17">
        <v>15</v>
      </c>
      <c r="L17" t="s">
        <v>95</v>
      </c>
      <c r="N17">
        <v>15</v>
      </c>
      <c r="O17" s="4">
        <f>'Mortgage Calculation'!O183</f>
        <v>105075.67774309299</v>
      </c>
      <c r="P17" s="4">
        <f>IF($B$16&gt;11,Table5[[#This Row],[Loan Amount]]*$B$15,"")</f>
        <v>840.60542194474397</v>
      </c>
    </row>
    <row r="18" spans="1:16" x14ac:dyDescent="0.25">
      <c r="A18" s="77" t="s">
        <v>111</v>
      </c>
      <c r="B18" s="77"/>
      <c r="E18">
        <v>2</v>
      </c>
      <c r="F18" s="4">
        <f>'Mortgage Calculation'!O27</f>
        <v>156949.26070148539</v>
      </c>
      <c r="G18" s="4" t="str">
        <f>IF(AND($B$19="Yes",$B$23&lt;Table57[[#This Row],[Loan Amount]]),Table57[[#This Row],[Loan Amount]]*$B$21,"0")</f>
        <v>0</v>
      </c>
      <c r="K18">
        <v>16</v>
      </c>
      <c r="L18" t="s">
        <v>94</v>
      </c>
      <c r="N18">
        <v>16</v>
      </c>
      <c r="O18" s="4">
        <f>'Mortgage Calculation'!O195</f>
        <v>99856.932477013092</v>
      </c>
      <c r="P18" s="4">
        <f>IF($B$16&gt;11,Table5[[#This Row],[Loan Amount]]*$B$15,"")</f>
        <v>798.85545981610471</v>
      </c>
    </row>
    <row r="19" spans="1:16" x14ac:dyDescent="0.25">
      <c r="A19" s="8" t="s">
        <v>118</v>
      </c>
      <c r="B19" s="60" t="str">
        <f>'Mortgage Calculation'!B27</f>
        <v>No</v>
      </c>
      <c r="E19">
        <v>3</v>
      </c>
      <c r="F19" s="4">
        <f>'Mortgage Calculation'!O39</f>
        <v>153843.92524190809</v>
      </c>
      <c r="G19" s="4" t="str">
        <f>IF(AND($B$19="Yes",$B$23&lt;Table57[[#This Row],[Loan Amount]]),Table57[[#This Row],[Loan Amount]]*$B$21,"0")</f>
        <v>0</v>
      </c>
      <c r="K19">
        <v>17</v>
      </c>
      <c r="L19" t="s">
        <v>94</v>
      </c>
      <c r="N19">
        <v>17</v>
      </c>
      <c r="O19" s="4">
        <f>'Mortgage Calculation'!O207</f>
        <v>94425.567476687764</v>
      </c>
      <c r="P19" s="4">
        <f>IF($B$16&gt;11,Table5[[#This Row],[Loan Amount]]*$B$15,"")</f>
        <v>755.40453981350208</v>
      </c>
    </row>
    <row r="20" spans="1:16" x14ac:dyDescent="0.25">
      <c r="A20" s="8" t="s">
        <v>131</v>
      </c>
      <c r="B20" s="60" t="str">
        <f>'Mortgage Calculation'!B28</f>
        <v>Annual</v>
      </c>
      <c r="E20">
        <v>4</v>
      </c>
      <c r="F20" s="4">
        <f>'Mortgage Calculation'!O51</f>
        <v>150612.07362442408</v>
      </c>
      <c r="G20" s="4" t="str">
        <f>IF(AND($B$19="Yes",$B$23&lt;Table57[[#This Row],[Loan Amount]]),Table57[[#This Row],[Loan Amount]]*$B$21,"0")</f>
        <v>0</v>
      </c>
      <c r="K20">
        <v>18</v>
      </c>
      <c r="L20" t="s">
        <v>94</v>
      </c>
      <c r="N20">
        <v>18</v>
      </c>
      <c r="O20" s="4">
        <f>'Mortgage Calculation'!O219</f>
        <v>88772.920286088643</v>
      </c>
      <c r="P20" s="4">
        <f>IF($B$16&gt;11,Table5[[#This Row],[Loan Amount]]*$B$15,"")</f>
        <v>710.18336228870919</v>
      </c>
    </row>
    <row r="21" spans="1:16" x14ac:dyDescent="0.25">
      <c r="A21" s="51" t="s">
        <v>112</v>
      </c>
      <c r="B21" s="61">
        <f>'Mortgage Calculation'!B29</f>
        <v>0.01</v>
      </c>
      <c r="E21">
        <v>5</v>
      </c>
      <c r="F21" s="4">
        <f>'Mortgage Calculation'!O63</f>
        <v>147248.551385556</v>
      </c>
      <c r="G21" s="4" t="str">
        <f>IF(AND($B$19="Yes",$B$23&lt;Table57[[#This Row],[Loan Amount]]),Table57[[#This Row],[Loan Amount]]*$B$21,"0")</f>
        <v>0</v>
      </c>
      <c r="K21">
        <v>19</v>
      </c>
      <c r="L21" t="s">
        <v>94</v>
      </c>
      <c r="N21">
        <v>19</v>
      </c>
      <c r="O21" s="4">
        <f>'Mortgage Calculation'!O231</f>
        <v>82889.975527363276</v>
      </c>
      <c r="P21" s="4">
        <f>IF($B$16&gt;11,Table5[[#This Row],[Loan Amount]]*$B$15,"")</f>
        <v>663.11980421890621</v>
      </c>
    </row>
    <row r="22" spans="1:16" x14ac:dyDescent="0.25">
      <c r="A22" s="9" t="s">
        <v>127</v>
      </c>
      <c r="B22" s="62">
        <f>'Mortgage Calculation'!B30</f>
        <v>0.22</v>
      </c>
      <c r="E22">
        <v>6</v>
      </c>
      <c r="F22" s="4">
        <f>'Mortgage Calculation'!O75</f>
        <v>143747.99406103141</v>
      </c>
      <c r="G22" s="4" t="str">
        <f>IF(AND($B$19="Yes",$B$23&lt;Table57[[#This Row],[Loan Amount]]),Table57[[#This Row],[Loan Amount]]*$B$21,"0")</f>
        <v>0</v>
      </c>
      <c r="K22">
        <v>20</v>
      </c>
      <c r="L22" t="s">
        <v>94</v>
      </c>
      <c r="N22">
        <v>20</v>
      </c>
      <c r="O22" s="4">
        <f>'Mortgage Calculation'!O243</f>
        <v>76767.350522255554</v>
      </c>
      <c r="P22" s="4">
        <f>IF($B$16&gt;11,Table5[[#This Row],[Loan Amount]]*$B$15,"")</f>
        <v>614.13880417804444</v>
      </c>
    </row>
    <row r="23" spans="1:16" x14ac:dyDescent="0.25">
      <c r="A23" s="51" t="s">
        <v>126</v>
      </c>
      <c r="B23" s="56" t="str">
        <f>IF(B19="Yes",B2*(1-B22),"0")</f>
        <v>0</v>
      </c>
      <c r="E23">
        <v>7</v>
      </c>
      <c r="F23" s="4">
        <f>'Mortgage Calculation'!O87</f>
        <v>140104.81863002642</v>
      </c>
      <c r="G23" s="4" t="str">
        <f>IF(AND($B$19="Yes",$B$23&lt;Table57[[#This Row],[Loan Amount]]),Table57[[#This Row],[Loan Amount]]*$B$21,"0")</f>
        <v>0</v>
      </c>
      <c r="K23">
        <v>21</v>
      </c>
      <c r="L23" t="s">
        <v>94</v>
      </c>
      <c r="N23">
        <v>21</v>
      </c>
      <c r="O23" s="4">
        <f>'Mortgage Calculation'!O255</f>
        <v>70395.280327720451</v>
      </c>
      <c r="P23" s="4">
        <f>IF($B$16&gt;11,Table5[[#This Row],[Loan Amount]]*$B$15,"")</f>
        <v>563.16224262176365</v>
      </c>
    </row>
    <row r="24" spans="1:16" x14ac:dyDescent="0.25">
      <c r="A24" s="9" t="s">
        <v>133</v>
      </c>
      <c r="B24" s="53" t="str">
        <f>IF(B20="Upfront",SUM(G17:G23),"0")</f>
        <v>0</v>
      </c>
      <c r="E24">
        <v>8</v>
      </c>
      <c r="F24" s="4">
        <f>'Mortgage Calculation'!O99</f>
        <v>136313.2146108349</v>
      </c>
      <c r="G24" s="4" t="str">
        <f>IF(AND($B$19="Yes",$B$23&lt;Table57[[#This Row],[Loan Amount]]),Table57[[#This Row],[Loan Amount]]*$B$21,"0")</f>
        <v>0</v>
      </c>
      <c r="K24">
        <v>22</v>
      </c>
      <c r="L24" t="s">
        <v>94</v>
      </c>
      <c r="N24">
        <v>22</v>
      </c>
      <c r="O24" s="4">
        <f>'Mortgage Calculation'!O267</f>
        <v>63763.602161866802</v>
      </c>
      <c r="P24" s="4">
        <f>IF($B$16&gt;11,Table5[[#This Row],[Loan Amount]]*$B$15,"")</f>
        <v>510.10881729493445</v>
      </c>
    </row>
    <row r="25" spans="1:16" x14ac:dyDescent="0.25">
      <c r="E25">
        <v>9</v>
      </c>
      <c r="F25" s="4">
        <f>'Mortgage Calculation'!O111</f>
        <v>132367.1347937606</v>
      </c>
      <c r="G25" s="4" t="str">
        <f>IF(AND($B$19="Yes",$B$23&lt;Table57[[#This Row],[Loan Amount]]),Table57[[#This Row],[Loan Amount]]*$B$21,"0")</f>
        <v>0</v>
      </c>
      <c r="K25">
        <v>23</v>
      </c>
      <c r="L25" t="s">
        <v>94</v>
      </c>
      <c r="N25">
        <v>23</v>
      </c>
      <c r="O25" s="4">
        <f>'Mortgage Calculation'!O279</f>
        <v>56861.739195388793</v>
      </c>
      <c r="P25" s="4">
        <f>IF($B$16&gt;11,Table5[[#This Row],[Loan Amount]]*$B$15,"")</f>
        <v>454.89391356311035</v>
      </c>
    </row>
    <row r="26" spans="1:16" x14ac:dyDescent="0.25">
      <c r="E26">
        <v>10</v>
      </c>
      <c r="F26" s="4">
        <f>'Mortgage Calculation'!O123</f>
        <v>128260.28559645406</v>
      </c>
      <c r="G26" s="4" t="str">
        <f>IF(AND($B$19="Yes",$B$23&lt;Table57[[#This Row],[Loan Amount]]),Table57[[#This Row],[Loan Amount]]*$B$21,"0")</f>
        <v>0</v>
      </c>
      <c r="K26">
        <v>24</v>
      </c>
      <c r="L26" t="s">
        <v>94</v>
      </c>
      <c r="N26">
        <v>24</v>
      </c>
      <c r="O26" s="4">
        <f>'Mortgage Calculation'!O291</f>
        <v>49678.683682635499</v>
      </c>
      <c r="P26" s="4">
        <f>IF($B$16&gt;11,Table5[[#This Row],[Loan Amount]]*$B$15,"")</f>
        <v>397.42946946108401</v>
      </c>
    </row>
    <row r="27" spans="1:16" x14ac:dyDescent="0.25">
      <c r="E27">
        <v>11</v>
      </c>
      <c r="F27" s="4">
        <f>'Mortgage Calculation'!O135</f>
        <v>123986.11702631036</v>
      </c>
      <c r="G27" s="4" t="str">
        <f>IF(AND($B$19="Yes",$B$23&lt;Table57[[#This Row],[Loan Amount]]),Table57[[#This Row],[Loan Amount]]*$B$21,"0")</f>
        <v>0</v>
      </c>
      <c r="K27">
        <v>25</v>
      </c>
      <c r="L27" t="s">
        <v>94</v>
      </c>
      <c r="N27">
        <v>25</v>
      </c>
      <c r="O27" s="4">
        <f>'Mortgage Calculation'!O303</f>
        <v>42202.979405414153</v>
      </c>
      <c r="P27" s="4">
        <f>IF($B$16&gt;11,Table5[[#This Row],[Loan Amount]]*$B$15,"")</f>
        <v>337.62383524331324</v>
      </c>
    </row>
    <row r="28" spans="1:16" x14ac:dyDescent="0.25">
      <c r="E28">
        <v>12</v>
      </c>
      <c r="F28" s="4">
        <f>'Mortgage Calculation'!O147</f>
        <v>119537.81223391971</v>
      </c>
      <c r="G28" s="4" t="str">
        <f>IF(AND($B$19="Yes",$B$23&lt;Table57[[#This Row],[Loan Amount]]),Table57[[#This Row],[Loan Amount]]*$B$21,"0")</f>
        <v>0</v>
      </c>
      <c r="K28">
        <v>26</v>
      </c>
      <c r="L28" t="s">
        <v>94</v>
      </c>
      <c r="N28">
        <v>26</v>
      </c>
      <c r="O28" s="4">
        <f>'Mortgage Calculation'!O315</f>
        <v>34422.703401526727</v>
      </c>
      <c r="P28" s="4">
        <f>IF($B$16&gt;11,Table5[[#This Row],[Loan Amount]]*$B$15,"")</f>
        <v>275.3816272122138</v>
      </c>
    </row>
    <row r="29" spans="1:16" x14ac:dyDescent="0.25">
      <c r="E29">
        <v>13</v>
      </c>
      <c r="F29" s="4">
        <f>'Mortgage Calculation'!O159</f>
        <v>114908.27664090964</v>
      </c>
      <c r="G29" s="4" t="str">
        <f>IF(AND($B$19="Yes",$B$23&lt;Table57[[#This Row],[Loan Amount]]),Table57[[#This Row],[Loan Amount]]*$B$21,"0")</f>
        <v>0</v>
      </c>
      <c r="K29">
        <v>27</v>
      </c>
      <c r="L29" t="s">
        <v>94</v>
      </c>
      <c r="N29">
        <v>27</v>
      </c>
      <c r="O29" s="4">
        <f>'Mortgage Calculation'!O327</f>
        <v>26325.446948899124</v>
      </c>
      <c r="P29" s="4">
        <f>IF($B$16&gt;11,Table5[[#This Row],[Loan Amount]]*$B$15,"")</f>
        <v>210.60357559119299</v>
      </c>
    </row>
    <row r="30" spans="1:16" x14ac:dyDescent="0.25">
      <c r="E30">
        <v>14</v>
      </c>
      <c r="F30" s="4">
        <f>'Mortgage Calculation'!O171</f>
        <v>110090.12662483819</v>
      </c>
      <c r="G30" s="4" t="str">
        <f>IF(AND($B$19="Yes",$B$23&lt;Table57[[#This Row],[Loan Amount]]),Table57[[#This Row],[Loan Amount]]*$B$21,"0")</f>
        <v>0</v>
      </c>
      <c r="K30">
        <v>28</v>
      </c>
      <c r="L30" t="s">
        <v>94</v>
      </c>
      <c r="N30">
        <v>28</v>
      </c>
      <c r="O30" s="4">
        <f>'Mortgage Calculation'!O339</f>
        <v>17898.295774974238</v>
      </c>
      <c r="P30" s="4">
        <f>IF($B$16&gt;11,Table5[[#This Row],[Loan Amount]]*$B$15,"")</f>
        <v>143.18636619979389</v>
      </c>
    </row>
    <row r="31" spans="1:16" x14ac:dyDescent="0.25">
      <c r="E31">
        <v>15</v>
      </c>
      <c r="F31" s="4">
        <f>'Mortgage Calculation'!O183</f>
        <v>105075.67774309299</v>
      </c>
      <c r="G31" s="4" t="str">
        <f>IF(AND($B$19="Yes",$B$23&lt;Table57[[#This Row],[Loan Amount]]),Table57[[#This Row],[Loan Amount]]*$B$21,"0")</f>
        <v>0</v>
      </c>
      <c r="K31">
        <v>29</v>
      </c>
      <c r="L31" t="s">
        <v>94</v>
      </c>
      <c r="N31">
        <v>29</v>
      </c>
      <c r="O31" s="4">
        <f>'Mortgage Calculation'!O351</f>
        <v>9127.8094598053394</v>
      </c>
      <c r="P31" s="4">
        <f>IF($B$16&gt;11,Table5[[#This Row],[Loan Amount]]*$B$15,"")</f>
        <v>73.022475678442717</v>
      </c>
    </row>
    <row r="32" spans="1:16" x14ac:dyDescent="0.25">
      <c r="E32">
        <v>16</v>
      </c>
      <c r="F32" s="4">
        <f>'Mortgage Calculation'!O195</f>
        <v>99856.932477013092</v>
      </c>
      <c r="G32" s="4" t="str">
        <f>IF(AND($B$19="Yes",$B$23&lt;Table57[[#This Row],[Loan Amount]]),Table57[[#This Row],[Loan Amount]]*$B$21,"0")</f>
        <v>0</v>
      </c>
      <c r="K32">
        <v>30</v>
      </c>
      <c r="L32" t="s">
        <v>94</v>
      </c>
      <c r="N32">
        <v>30</v>
      </c>
      <c r="O32" s="4">
        <f>'Mortgage Calculation'!O363</f>
        <v>2.5422993389280464</v>
      </c>
      <c r="P32" s="4">
        <f>IF($B$16&gt;11,Table5[[#This Row],[Loan Amount]]*$B$15,"")</f>
        <v>2.033839471142437E-2</v>
      </c>
    </row>
    <row r="33" spans="5:7" x14ac:dyDescent="0.25">
      <c r="E33">
        <v>17</v>
      </c>
      <c r="F33" s="4">
        <f>'Mortgage Calculation'!O207</f>
        <v>94425.567476687764</v>
      </c>
      <c r="G33" s="4" t="str">
        <f>IF(AND($B$19="Yes",$B$23&lt;Table57[[#This Row],[Loan Amount]]),Table57[[#This Row],[Loan Amount]]*$B$21,"0")</f>
        <v>0</v>
      </c>
    </row>
    <row r="34" spans="5:7" x14ac:dyDescent="0.25">
      <c r="E34">
        <v>18</v>
      </c>
      <c r="F34" s="4">
        <f>'Mortgage Calculation'!O219</f>
        <v>88772.920286088643</v>
      </c>
      <c r="G34" s="4" t="str">
        <f>IF(AND($B$19="Yes",$B$23&lt;Table57[[#This Row],[Loan Amount]]),Table57[[#This Row],[Loan Amount]]*$B$21,"0")</f>
        <v>0</v>
      </c>
    </row>
    <row r="35" spans="5:7" x14ac:dyDescent="0.25">
      <c r="E35">
        <v>19</v>
      </c>
      <c r="F35" s="4">
        <f>'Mortgage Calculation'!O231</f>
        <v>82889.975527363276</v>
      </c>
      <c r="G35" s="4" t="str">
        <f>IF(AND($B$19="Yes",$B$23&lt;Table57[[#This Row],[Loan Amount]]),Table57[[#This Row],[Loan Amount]]*$B$21,"0")</f>
        <v>0</v>
      </c>
    </row>
    <row r="36" spans="5:7" x14ac:dyDescent="0.25">
      <c r="E36">
        <v>20</v>
      </c>
      <c r="F36" s="4">
        <f>'Mortgage Calculation'!O243</f>
        <v>76767.350522255554</v>
      </c>
      <c r="G36" s="4" t="str">
        <f>IF(AND($B$19="Yes",$B$23&lt;Table57[[#This Row],[Loan Amount]]),Table57[[#This Row],[Loan Amount]]*$B$21,"0")</f>
        <v>0</v>
      </c>
    </row>
    <row r="37" spans="5:7" x14ac:dyDescent="0.25">
      <c r="E37">
        <v>21</v>
      </c>
      <c r="F37" s="4">
        <f>'Mortgage Calculation'!O255</f>
        <v>70395.280327720451</v>
      </c>
      <c r="G37" s="4" t="str">
        <f>IF(AND($B$19="Yes",$B$23&lt;Table57[[#This Row],[Loan Amount]]),Table57[[#This Row],[Loan Amount]]*$B$21,"0")</f>
        <v>0</v>
      </c>
    </row>
    <row r="38" spans="5:7" x14ac:dyDescent="0.25">
      <c r="E38">
        <v>22</v>
      </c>
      <c r="F38" s="4">
        <f>'Mortgage Calculation'!O267</f>
        <v>63763.602161866802</v>
      </c>
      <c r="G38" s="4" t="str">
        <f>IF(AND($B$19="Yes",$B$23&lt;Table57[[#This Row],[Loan Amount]]),Table57[[#This Row],[Loan Amount]]*$B$21,"0")</f>
        <v>0</v>
      </c>
    </row>
    <row r="39" spans="5:7" x14ac:dyDescent="0.25">
      <c r="E39">
        <v>23</v>
      </c>
      <c r="F39" s="4">
        <f>'Mortgage Calculation'!O279</f>
        <v>56861.739195388793</v>
      </c>
      <c r="G39" s="4" t="str">
        <f>IF(AND($B$19="Yes",$B$23&lt;Table57[[#This Row],[Loan Amount]]),Table57[[#This Row],[Loan Amount]]*$B$21,"0")</f>
        <v>0</v>
      </c>
    </row>
    <row r="40" spans="5:7" x14ac:dyDescent="0.25">
      <c r="E40">
        <v>24</v>
      </c>
      <c r="F40" s="4">
        <f>'Mortgage Calculation'!O291</f>
        <v>49678.683682635499</v>
      </c>
      <c r="G40" s="4" t="str">
        <f>IF(AND($B$19="Yes",$B$23&lt;Table57[[#This Row],[Loan Amount]]),Table57[[#This Row],[Loan Amount]]*$B$21,"0")</f>
        <v>0</v>
      </c>
    </row>
    <row r="41" spans="5:7" x14ac:dyDescent="0.25">
      <c r="E41">
        <v>25</v>
      </c>
      <c r="F41" s="4">
        <f>'Mortgage Calculation'!O303</f>
        <v>42202.979405414153</v>
      </c>
      <c r="G41" s="4" t="str">
        <f>IF(AND($B$19="Yes",$B$23&lt;Table57[[#This Row],[Loan Amount]]),Table57[[#This Row],[Loan Amount]]*$B$21,"0")</f>
        <v>0</v>
      </c>
    </row>
    <row r="42" spans="5:7" x14ac:dyDescent="0.25">
      <c r="E42">
        <v>26</v>
      </c>
      <c r="F42" s="4">
        <f>'Mortgage Calculation'!O315</f>
        <v>34422.703401526727</v>
      </c>
      <c r="G42" s="4" t="str">
        <f>IF(AND($B$19="Yes",$B$23&lt;Table57[[#This Row],[Loan Amount]]),Table57[[#This Row],[Loan Amount]]*$B$21,"0")</f>
        <v>0</v>
      </c>
    </row>
    <row r="43" spans="5:7" x14ac:dyDescent="0.25">
      <c r="E43">
        <v>27</v>
      </c>
      <c r="F43" s="4">
        <f>'Mortgage Calculation'!O327</f>
        <v>26325.446948899124</v>
      </c>
      <c r="G43" s="4" t="str">
        <f>IF(AND($B$19="Yes",$B$23&lt;Table57[[#This Row],[Loan Amount]]),Table57[[#This Row],[Loan Amount]]*$B$21,"0")</f>
        <v>0</v>
      </c>
    </row>
    <row r="44" spans="5:7" x14ac:dyDescent="0.25">
      <c r="E44">
        <v>28</v>
      </c>
      <c r="F44" s="4">
        <f>'Mortgage Calculation'!O339</f>
        <v>17898.295774974238</v>
      </c>
      <c r="G44" s="4" t="str">
        <f>IF(AND($B$19="Yes",$B$23&lt;Table57[[#This Row],[Loan Amount]]),Table57[[#This Row],[Loan Amount]]*$B$21,"0")</f>
        <v>0</v>
      </c>
    </row>
    <row r="45" spans="5:7" x14ac:dyDescent="0.25">
      <c r="E45">
        <v>29</v>
      </c>
      <c r="F45" s="4">
        <f>'Mortgage Calculation'!O351</f>
        <v>9127.8094598053394</v>
      </c>
      <c r="G45" s="4" t="str">
        <f>IF(AND($B$19="Yes",$B$23&lt;Table57[[#This Row],[Loan Amount]]),Table57[[#This Row],[Loan Amount]]*$B$21,"0")</f>
        <v>0</v>
      </c>
    </row>
    <row r="46" spans="5:7" x14ac:dyDescent="0.25">
      <c r="E46">
        <v>30</v>
      </c>
      <c r="F46" s="4">
        <f>'Mortgage Calculation'!O363</f>
        <v>2.5422993389280464</v>
      </c>
      <c r="G46" s="4" t="str">
        <f>IF(AND($B$19="Yes",$B$23&lt;Table57[[#This Row],[Loan Amount]]),Table57[[#This Row],[Loan Amount]]*$B$21,"0")</f>
        <v>0</v>
      </c>
    </row>
  </sheetData>
  <mergeCells count="7">
    <mergeCell ref="A18:B18"/>
    <mergeCell ref="E1:I1"/>
    <mergeCell ref="K1:L1"/>
    <mergeCell ref="N1:P1"/>
    <mergeCell ref="E15:G15"/>
    <mergeCell ref="A1:B1"/>
    <mergeCell ref="A7:B7"/>
  </mergeCells>
  <phoneticPr fontId="6" type="noConversion"/>
  <pageMargins left="0.7" right="0.7" top="0.75" bottom="0.75" header="0.3" footer="0.3"/>
  <ignoredErrors>
    <ignoredError sqref="G17" calculatedColumn="1"/>
  </ignoredErrors>
  <legacyDrawing r:id="rId1"/>
  <tableParts count="4">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98EB85-DBC5-4F3A-B292-6BAA8D2C6F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Mortgage Calculation</vt:lpstr>
      <vt:lpstr>Potential Profit Loss</vt:lpstr>
      <vt:lpstr>PMI MIP Calc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 McCue</dc:creator>
  <cp:lastModifiedBy>Clint McCue</cp:lastModifiedBy>
  <dcterms:created xsi:type="dcterms:W3CDTF">2022-03-15T15:59:02Z</dcterms:created>
  <dcterms:modified xsi:type="dcterms:W3CDTF">2022-04-02T05:33:15Z</dcterms:modified>
</cp:coreProperties>
</file>