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Documents\Finances\Financial Planning\"/>
    </mc:Choice>
  </mc:AlternateContent>
  <xr:revisionPtr revIDLastSave="0" documentId="13_ncr:1_{55365270-635F-444F-BAF2-4E9630F71F04}" xr6:coauthVersionLast="47" xr6:coauthVersionMax="47" xr10:uidLastSave="{00000000-0000-0000-0000-000000000000}"/>
  <bookViews>
    <workbookView xWindow="-120" yWindow="-120" windowWidth="29040" windowHeight="15840" tabRatio="590" xr2:uid="{28A82E58-1F48-4B38-B544-4E06C7F447BA}"/>
  </bookViews>
  <sheets>
    <sheet name="DCF Analysis (Sharpe Ratio)" sheetId="4" r:id="rId1"/>
    <sheet name="DCF Analysis (CCA)" sheetId="2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4" i="4" l="1"/>
  <c r="J13" i="4"/>
  <c r="J12" i="4"/>
  <c r="J11" i="4"/>
  <c r="J10" i="4"/>
  <c r="J9" i="4"/>
  <c r="J8" i="4"/>
  <c r="J7" i="4"/>
  <c r="J6" i="4"/>
  <c r="J5" i="4"/>
  <c r="J4" i="4"/>
  <c r="I14" i="4"/>
  <c r="I13" i="4"/>
  <c r="I12" i="4"/>
  <c r="I11" i="4"/>
  <c r="I10" i="4"/>
  <c r="I9" i="4"/>
  <c r="I8" i="4"/>
  <c r="I7" i="4"/>
  <c r="I6" i="4"/>
  <c r="I5" i="4"/>
  <c r="I4" i="4"/>
  <c r="B140" i="28"/>
  <c r="B81" i="28"/>
  <c r="B26" i="28" a="1"/>
  <c r="B26" i="28" s="1"/>
  <c r="B23" i="28" a="1"/>
  <c r="B23" i="28" s="1"/>
  <c r="B147" i="28"/>
  <c r="B146" i="28"/>
  <c r="B143" i="28"/>
  <c r="B141" i="28"/>
  <c r="B142" i="28" s="1"/>
  <c r="D136" i="28"/>
  <c r="C136" i="28"/>
  <c r="B136" i="28"/>
  <c r="D135" i="28"/>
  <c r="C135" i="28"/>
  <c r="B135" i="28"/>
  <c r="D133" i="28"/>
  <c r="C133" i="28"/>
  <c r="B133" i="28"/>
  <c r="D132" i="28"/>
  <c r="C132" i="28"/>
  <c r="B132" i="28"/>
  <c r="D131" i="28"/>
  <c r="C131" i="28"/>
  <c r="B131" i="28"/>
  <c r="D126" i="28"/>
  <c r="C126" i="28"/>
  <c r="B126" i="28"/>
  <c r="D125" i="28"/>
  <c r="C125" i="28"/>
  <c r="B125" i="28"/>
  <c r="D120" i="28"/>
  <c r="D97" i="28" s="1"/>
  <c r="C120" i="28"/>
  <c r="D121" i="28" s="1"/>
  <c r="B120" i="28"/>
  <c r="C121" i="28" s="1"/>
  <c r="B122" i="28" s="1"/>
  <c r="D114" i="28"/>
  <c r="D98" i="28" s="1"/>
  <c r="C114" i="28"/>
  <c r="C98" i="28" s="1"/>
  <c r="B114" i="28"/>
  <c r="B98" i="28" s="1"/>
  <c r="D110" i="28"/>
  <c r="C110" i="28"/>
  <c r="B110" i="28"/>
  <c r="D109" i="28"/>
  <c r="D111" i="28" s="1"/>
  <c r="C109" i="28"/>
  <c r="C111" i="28" s="1"/>
  <c r="B109" i="28"/>
  <c r="B111" i="28" s="1"/>
  <c r="B105" i="28"/>
  <c r="B103" i="28"/>
  <c r="B87" i="28"/>
  <c r="B86" i="28"/>
  <c r="B83" i="28"/>
  <c r="B82" i="28"/>
  <c r="B84" i="28"/>
  <c r="D77" i="28"/>
  <c r="C77" i="28"/>
  <c r="C78" i="28" s="1"/>
  <c r="B77" i="28"/>
  <c r="D76" i="28"/>
  <c r="C76" i="28"/>
  <c r="B76" i="28"/>
  <c r="D74" i="28"/>
  <c r="C74" i="28"/>
  <c r="B74" i="28"/>
  <c r="D73" i="28"/>
  <c r="C73" i="28"/>
  <c r="B73" i="28"/>
  <c r="D72" i="28"/>
  <c r="C72" i="28"/>
  <c r="B72" i="28"/>
  <c r="D67" i="28"/>
  <c r="C67" i="28"/>
  <c r="B67" i="28"/>
  <c r="D66" i="28"/>
  <c r="C66" i="28"/>
  <c r="B66" i="28"/>
  <c r="D61" i="28"/>
  <c r="D38" i="28" s="1"/>
  <c r="C61" i="28"/>
  <c r="D62" i="28" s="1"/>
  <c r="B61" i="28"/>
  <c r="D55" i="28"/>
  <c r="D39" i="28" s="1"/>
  <c r="C55" i="28"/>
  <c r="C39" i="28" s="1"/>
  <c r="B55" i="28"/>
  <c r="B39" i="28" s="1"/>
  <c r="D51" i="28"/>
  <c r="C51" i="28"/>
  <c r="B51" i="28"/>
  <c r="D50" i="28"/>
  <c r="D52" i="28" s="1"/>
  <c r="D56" i="28" s="1"/>
  <c r="D57" i="28" s="1"/>
  <c r="C50" i="28"/>
  <c r="C52" i="28" s="1"/>
  <c r="B50" i="28"/>
  <c r="B52" i="28" s="1"/>
  <c r="B46" i="28"/>
  <c r="B44" i="28"/>
  <c r="L24" i="28"/>
  <c r="K24" i="28"/>
  <c r="J24" i="28"/>
  <c r="L23" i="28"/>
  <c r="K23" i="28"/>
  <c r="J23" i="28"/>
  <c r="L22" i="28"/>
  <c r="K22" i="28"/>
  <c r="J22" i="28"/>
  <c r="L21" i="28"/>
  <c r="L25" i="28" s="1"/>
  <c r="K21" i="28"/>
  <c r="J21" i="28"/>
  <c r="L20" i="28"/>
  <c r="K20" i="28"/>
  <c r="J20" i="28"/>
  <c r="J8" i="28"/>
  <c r="H24" i="28" s="1"/>
  <c r="J7" i="28"/>
  <c r="I23" i="28" s="1"/>
  <c r="J6" i="28"/>
  <c r="H22" i="28" s="1"/>
  <c r="J5" i="28"/>
  <c r="I21" i="28" s="1"/>
  <c r="J4" i="28"/>
  <c r="I20" i="28" s="1"/>
  <c r="B26" i="4" a="1"/>
  <c r="B26" i="4" s="1"/>
  <c r="B23" i="4" a="1"/>
  <c r="B23" i="4" s="1"/>
  <c r="B141" i="4" s="1"/>
  <c r="I22" i="28" l="1"/>
  <c r="L26" i="28"/>
  <c r="K26" i="28"/>
  <c r="C62" i="28"/>
  <c r="B63" i="28" s="1"/>
  <c r="E61" i="28" s="1"/>
  <c r="E38" i="28" s="1"/>
  <c r="B75" i="28"/>
  <c r="C137" i="28"/>
  <c r="D137" i="28"/>
  <c r="D134" i="28"/>
  <c r="D138" i="28" s="1"/>
  <c r="K25" i="28"/>
  <c r="J26" i="28"/>
  <c r="B78" i="28"/>
  <c r="B38" i="28"/>
  <c r="B127" i="28"/>
  <c r="B137" i="28"/>
  <c r="C97" i="28"/>
  <c r="D68" i="28"/>
  <c r="B68" i="28"/>
  <c r="C75" i="28"/>
  <c r="C79" i="28" s="1"/>
  <c r="C127" i="28"/>
  <c r="C68" i="28"/>
  <c r="D78" i="28"/>
  <c r="D75" i="28"/>
  <c r="D79" i="28" s="1"/>
  <c r="B134" i="28"/>
  <c r="B144" i="28"/>
  <c r="D127" i="28"/>
  <c r="J25" i="28"/>
  <c r="C134" i="28"/>
  <c r="C138" i="28" s="1"/>
  <c r="B97" i="28"/>
  <c r="C38" i="28"/>
  <c r="B99" i="28"/>
  <c r="B115" i="28"/>
  <c r="B116" i="28" s="1"/>
  <c r="C99" i="28"/>
  <c r="C115" i="28"/>
  <c r="C116" i="28" s="1"/>
  <c r="E120" i="28"/>
  <c r="F61" i="28"/>
  <c r="E66" i="28"/>
  <c r="C56" i="28"/>
  <c r="C57" i="28" s="1"/>
  <c r="C40" i="28"/>
  <c r="B56" i="28"/>
  <c r="B57" i="28" s="1"/>
  <c r="B58" i="28" s="1"/>
  <c r="B40" i="28"/>
  <c r="I26" i="28"/>
  <c r="I25" i="28"/>
  <c r="D115" i="28"/>
  <c r="D116" i="28" s="1"/>
  <c r="D99" i="28"/>
  <c r="D40" i="28"/>
  <c r="H20" i="28"/>
  <c r="B148" i="28"/>
  <c r="B150" i="28" s="1"/>
  <c r="H21" i="28"/>
  <c r="I24" i="28"/>
  <c r="B88" i="28"/>
  <c r="B91" i="28" s="1"/>
  <c r="H23" i="28"/>
  <c r="B82" i="4"/>
  <c r="B138" i="28" l="1"/>
  <c r="B79" i="28"/>
  <c r="B128" i="28"/>
  <c r="B69" i="28"/>
  <c r="E67" i="28" s="1"/>
  <c r="H26" i="28"/>
  <c r="H25" i="28"/>
  <c r="G61" i="28"/>
  <c r="F66" i="28"/>
  <c r="F38" i="28"/>
  <c r="B90" i="28"/>
  <c r="B93" i="28" s="1"/>
  <c r="B43" i="28" s="1"/>
  <c r="B151" i="28"/>
  <c r="B153" i="28" s="1"/>
  <c r="B102" i="28" s="1"/>
  <c r="E125" i="28"/>
  <c r="F120" i="28"/>
  <c r="E97" i="28"/>
  <c r="B117" i="28"/>
  <c r="E126" i="28" l="1"/>
  <c r="F67" i="28"/>
  <c r="E55" i="28"/>
  <c r="E56" i="28" s="1"/>
  <c r="E40" i="28" s="1"/>
  <c r="E39" i="28"/>
  <c r="F100" i="28"/>
  <c r="G100" i="28"/>
  <c r="H100" i="28"/>
  <c r="I100" i="28" s="1"/>
  <c r="E100" i="28"/>
  <c r="E98" i="28"/>
  <c r="E114" i="28"/>
  <c r="E115" i="28" s="1"/>
  <c r="E99" i="28" s="1"/>
  <c r="H61" i="28"/>
  <c r="G38" i="28"/>
  <c r="G66" i="28"/>
  <c r="G67" i="28" s="1"/>
  <c r="F125" i="28"/>
  <c r="F126" i="28" s="1"/>
  <c r="G120" i="28"/>
  <c r="F97" i="28"/>
  <c r="E41" i="28"/>
  <c r="H41" i="28"/>
  <c r="I41" i="28" s="1"/>
  <c r="G41" i="28"/>
  <c r="F41" i="28"/>
  <c r="F39" i="28"/>
  <c r="F55" i="28"/>
  <c r="F56" i="28" s="1"/>
  <c r="F40" i="28" s="1"/>
  <c r="F42" i="28" s="1"/>
  <c r="E101" i="28" l="1"/>
  <c r="E42" i="28"/>
  <c r="G97" i="28"/>
  <c r="H120" i="28"/>
  <c r="G125" i="28"/>
  <c r="G126" i="28" s="1"/>
  <c r="F98" i="28"/>
  <c r="F114" i="28"/>
  <c r="F115" i="28" s="1"/>
  <c r="F99" i="28" s="1"/>
  <c r="F101" i="28" s="1"/>
  <c r="G39" i="28"/>
  <c r="G55" i="28"/>
  <c r="G56" i="28" s="1"/>
  <c r="G40" i="28" s="1"/>
  <c r="G42" i="28" s="1"/>
  <c r="H38" i="28"/>
  <c r="H66" i="28"/>
  <c r="H67" i="28" s="1"/>
  <c r="H39" i="28" l="1"/>
  <c r="H55" i="28"/>
  <c r="H56" i="28" s="1"/>
  <c r="H40" i="28" s="1"/>
  <c r="G98" i="28"/>
  <c r="G114" i="28"/>
  <c r="G115" i="28" s="1"/>
  <c r="G99" i="28" s="1"/>
  <c r="G101" i="28" s="1"/>
  <c r="H97" i="28"/>
  <c r="H125" i="28"/>
  <c r="H126" i="28" s="1"/>
  <c r="H98" i="28" l="1"/>
  <c r="H114" i="28"/>
  <c r="H115" i="28" s="1"/>
  <c r="H99" i="28" s="1"/>
  <c r="I40" i="28"/>
  <c r="I42" i="28" s="1"/>
  <c r="H42" i="28"/>
  <c r="B45" i="28" l="1"/>
  <c r="B47" i="28" s="1"/>
  <c r="B32" i="28" s="1"/>
  <c r="H101" i="28"/>
  <c r="I99" i="28"/>
  <c r="I101" i="28" s="1"/>
  <c r="B104" i="28" l="1"/>
  <c r="B106" i="28" s="1"/>
  <c r="B33" i="28" s="1"/>
  <c r="B34" i="28" s="1"/>
  <c r="B148" i="4" l="1"/>
  <c r="B147" i="4"/>
  <c r="B144" i="4"/>
  <c r="B142" i="4"/>
  <c r="B143" i="4" s="1"/>
  <c r="D137" i="4"/>
  <c r="C137" i="4"/>
  <c r="B137" i="4"/>
  <c r="D136" i="4"/>
  <c r="C136" i="4"/>
  <c r="B136" i="4"/>
  <c r="D134" i="4"/>
  <c r="C134" i="4"/>
  <c r="B134" i="4"/>
  <c r="D133" i="4"/>
  <c r="C133" i="4"/>
  <c r="B133" i="4"/>
  <c r="B135" i="4" s="1"/>
  <c r="D132" i="4"/>
  <c r="C132" i="4"/>
  <c r="B132" i="4"/>
  <c r="D127" i="4"/>
  <c r="C127" i="4"/>
  <c r="B127" i="4"/>
  <c r="D126" i="4"/>
  <c r="C126" i="4"/>
  <c r="B126" i="4"/>
  <c r="D121" i="4"/>
  <c r="D98" i="4" s="1"/>
  <c r="C121" i="4"/>
  <c r="C98" i="4" s="1"/>
  <c r="B121" i="4"/>
  <c r="C122" i="4" s="1"/>
  <c r="D115" i="4"/>
  <c r="D99" i="4" s="1"/>
  <c r="C115" i="4"/>
  <c r="C99" i="4" s="1"/>
  <c r="B115" i="4"/>
  <c r="B99" i="4" s="1"/>
  <c r="D112" i="4"/>
  <c r="D116" i="4" s="1"/>
  <c r="D117" i="4" s="1"/>
  <c r="D111" i="4"/>
  <c r="C111" i="4"/>
  <c r="B111" i="4"/>
  <c r="D110" i="4"/>
  <c r="C110" i="4"/>
  <c r="B110" i="4"/>
  <c r="B112" i="4" s="1"/>
  <c r="B106" i="4"/>
  <c r="B104" i="4"/>
  <c r="B45" i="4"/>
  <c r="B47" i="4"/>
  <c r="B88" i="4"/>
  <c r="B87" i="4"/>
  <c r="B83" i="4"/>
  <c r="B84" i="4"/>
  <c r="D78" i="4"/>
  <c r="D77" i="4"/>
  <c r="C78" i="4"/>
  <c r="C77" i="4"/>
  <c r="B78" i="4"/>
  <c r="B77" i="4"/>
  <c r="D74" i="4"/>
  <c r="D73" i="4"/>
  <c r="D75" i="4"/>
  <c r="C75" i="4"/>
  <c r="C74" i="4"/>
  <c r="C73" i="4"/>
  <c r="B75" i="4"/>
  <c r="B74" i="4"/>
  <c r="B73" i="4"/>
  <c r="D68" i="4"/>
  <c r="C68" i="4"/>
  <c r="B68" i="4"/>
  <c r="D67" i="4"/>
  <c r="C67" i="4"/>
  <c r="B67" i="4"/>
  <c r="D62" i="4"/>
  <c r="D39" i="4" s="1"/>
  <c r="C62" i="4"/>
  <c r="C39" i="4" s="1"/>
  <c r="B62" i="4"/>
  <c r="B39" i="4" s="1"/>
  <c r="D56" i="4"/>
  <c r="D40" i="4" s="1"/>
  <c r="C56" i="4"/>
  <c r="C40" i="4" s="1"/>
  <c r="B56" i="4"/>
  <c r="B40" i="4" s="1"/>
  <c r="B52" i="4"/>
  <c r="C52" i="4"/>
  <c r="D52" i="4"/>
  <c r="D51" i="4"/>
  <c r="C51" i="4"/>
  <c r="B51" i="4"/>
  <c r="K11" i="4"/>
  <c r="B138" i="4" l="1"/>
  <c r="B128" i="4"/>
  <c r="C138" i="4"/>
  <c r="C128" i="4"/>
  <c r="B129" i="4" s="1"/>
  <c r="D138" i="4"/>
  <c r="C135" i="4"/>
  <c r="D135" i="4"/>
  <c r="D139" i="4" s="1"/>
  <c r="B98" i="4"/>
  <c r="D122" i="4"/>
  <c r="B123" i="4" s="1"/>
  <c r="C112" i="4"/>
  <c r="D128" i="4"/>
  <c r="C139" i="4"/>
  <c r="K10" i="4"/>
  <c r="K9" i="4"/>
  <c r="K8" i="4"/>
  <c r="K7" i="4"/>
  <c r="K6" i="4"/>
  <c r="K5" i="4"/>
  <c r="K4" i="4"/>
  <c r="K14" i="4"/>
  <c r="K13" i="4"/>
  <c r="K12" i="4"/>
  <c r="B85" i="4"/>
  <c r="B145" i="4"/>
  <c r="B100" i="4"/>
  <c r="B116" i="4"/>
  <c r="B117" i="4" s="1"/>
  <c r="C116" i="4"/>
  <c r="C117" i="4" s="1"/>
  <c r="C100" i="4"/>
  <c r="B139" i="4"/>
  <c r="D100" i="4"/>
  <c r="B149" i="4"/>
  <c r="B152" i="4" s="1"/>
  <c r="B89" i="4"/>
  <c r="B92" i="4" s="1"/>
  <c r="B79" i="4"/>
  <c r="D79" i="4"/>
  <c r="C53" i="4"/>
  <c r="C57" i="4" s="1"/>
  <c r="C58" i="4" s="1"/>
  <c r="D53" i="4"/>
  <c r="D41" i="4" s="1"/>
  <c r="C69" i="4"/>
  <c r="D76" i="4"/>
  <c r="C76" i="4"/>
  <c r="B53" i="4"/>
  <c r="B41" i="4" s="1"/>
  <c r="D69" i="4"/>
  <c r="C79" i="4"/>
  <c r="D63" i="4"/>
  <c r="B69" i="4"/>
  <c r="B76" i="4"/>
  <c r="C63" i="4"/>
  <c r="B118" i="4" l="1"/>
  <c r="K16" i="4"/>
  <c r="K15" i="4"/>
  <c r="B151" i="4"/>
  <c r="B154" i="4" s="1"/>
  <c r="B103" i="4" s="1"/>
  <c r="B91" i="4"/>
  <c r="B80" i="4"/>
  <c r="D80" i="4"/>
  <c r="B70" i="4"/>
  <c r="C80" i="4"/>
  <c r="C41" i="4"/>
  <c r="B64" i="4"/>
  <c r="E121" i="4" s="1"/>
  <c r="E126" i="4" s="1"/>
  <c r="B57" i="4"/>
  <c r="B58" i="4" s="1"/>
  <c r="D57" i="4"/>
  <c r="D58" i="4" s="1"/>
  <c r="K17" i="4" l="1"/>
  <c r="B35" i="4" s="1"/>
  <c r="B94" i="4"/>
  <c r="B44" i="4" s="1"/>
  <c r="H42" i="4" s="1"/>
  <c r="I42" i="4" s="1"/>
  <c r="E127" i="4"/>
  <c r="E115" i="4" s="1"/>
  <c r="E98" i="4"/>
  <c r="F121" i="4"/>
  <c r="F126" i="4" s="1"/>
  <c r="F127" i="4" s="1"/>
  <c r="H101" i="4"/>
  <c r="I101" i="4" s="1"/>
  <c r="G101" i="4"/>
  <c r="F101" i="4"/>
  <c r="E101" i="4"/>
  <c r="E62" i="4"/>
  <c r="E39" i="4" s="1"/>
  <c r="B59" i="4"/>
  <c r="E42" i="4" l="1"/>
  <c r="F42" i="4"/>
  <c r="E99" i="4"/>
  <c r="G42" i="4"/>
  <c r="F98" i="4"/>
  <c r="G121" i="4"/>
  <c r="H121" i="4" s="1"/>
  <c r="E116" i="4"/>
  <c r="E100" i="4" s="1"/>
  <c r="E102" i="4" s="1"/>
  <c r="F62" i="4"/>
  <c r="F67" i="4" s="1"/>
  <c r="F68" i="4" s="1"/>
  <c r="F56" i="4" s="1"/>
  <c r="F57" i="4" s="1"/>
  <c r="F41" i="4" s="1"/>
  <c r="E67" i="4"/>
  <c r="E68" i="4" s="1"/>
  <c r="E40" i="4" s="1"/>
  <c r="F99" i="4"/>
  <c r="F115" i="4"/>
  <c r="F116" i="4" s="1"/>
  <c r="F100" i="4" s="1"/>
  <c r="F102" i="4" s="1"/>
  <c r="F43" i="4" l="1"/>
  <c r="G98" i="4"/>
  <c r="G126" i="4"/>
  <c r="G127" i="4" s="1"/>
  <c r="G115" i="4" s="1"/>
  <c r="G116" i="4" s="1"/>
  <c r="G100" i="4" s="1"/>
  <c r="G102" i="4" s="1"/>
  <c r="E56" i="4"/>
  <c r="E57" i="4" s="1"/>
  <c r="E41" i="4" s="1"/>
  <c r="E43" i="4" s="1"/>
  <c r="G62" i="4"/>
  <c r="H62" i="4" s="1"/>
  <c r="F40" i="4"/>
  <c r="F39" i="4"/>
  <c r="H98" i="4"/>
  <c r="H126" i="4"/>
  <c r="H127" i="4" s="1"/>
  <c r="G39" i="4" l="1"/>
  <c r="G99" i="4"/>
  <c r="G67" i="4"/>
  <c r="G68" i="4" s="1"/>
  <c r="G40" i="4" s="1"/>
  <c r="H99" i="4"/>
  <c r="H115" i="4"/>
  <c r="H116" i="4" s="1"/>
  <c r="H100" i="4" s="1"/>
  <c r="H39" i="4"/>
  <c r="H67" i="4"/>
  <c r="H68" i="4" s="1"/>
  <c r="G56" i="4" l="1"/>
  <c r="G57" i="4" s="1"/>
  <c r="G41" i="4" s="1"/>
  <c r="G43" i="4" s="1"/>
  <c r="H102" i="4"/>
  <c r="I100" i="4"/>
  <c r="I102" i="4" s="1"/>
  <c r="H56" i="4"/>
  <c r="H57" i="4" s="1"/>
  <c r="H41" i="4" s="1"/>
  <c r="H40" i="4"/>
  <c r="B105" i="4" l="1"/>
  <c r="B107" i="4" s="1"/>
  <c r="B33" i="4" s="1"/>
  <c r="I41" i="4"/>
  <c r="I43" i="4" s="1"/>
  <c r="H43" i="4"/>
  <c r="B46" i="4" l="1"/>
  <c r="B48" i="4" s="1"/>
  <c r="B32" i="4" l="1"/>
  <c r="B34"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A23" authorId="0" shapeId="0" xr:uid="{55F997D1-2038-4740-B847-CF398C7F9039}">
      <text>
        <r>
          <rPr>
            <b/>
            <sz val="9"/>
            <color indexed="81"/>
            <rFont val="Tahoma"/>
            <family val="2"/>
          </rPr>
          <t>Used to determine the risk free rate in the DCF calculations</t>
        </r>
      </text>
    </comment>
    <comment ref="A29" authorId="0" shapeId="0" xr:uid="{239DDAC2-92D3-49F5-A066-0420F22E18C7}">
      <text>
        <r>
          <rPr>
            <b/>
            <sz val="9"/>
            <color indexed="81"/>
            <rFont val="Tahoma"/>
            <family val="2"/>
          </rPr>
          <t>Perpetual growth is typically the current or historical rate of inflation</t>
        </r>
      </text>
    </comment>
    <comment ref="A30" authorId="0" shapeId="0" xr:uid="{05323A3D-5337-4D61-B97E-DCB7B9E19E40}">
      <text>
        <r>
          <rPr>
            <b/>
            <sz val="9"/>
            <color indexed="81"/>
            <rFont val="Tahoma"/>
            <family val="2"/>
          </rPr>
          <t>Can be estimated using the yearly average return of index funds, $SPY is a good indicator of expected return</t>
        </r>
      </text>
    </comment>
    <comment ref="A35" authorId="0" shapeId="0" xr:uid="{8E057E55-78E2-4FB6-B804-1F7BEBE26119}">
      <text>
        <r>
          <rPr>
            <b/>
            <sz val="9"/>
            <color indexed="81"/>
            <rFont val="Tahoma"/>
            <family val="2"/>
          </rPr>
          <t>Sharpe Ratio Near or above 1 considered "good"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A23" authorId="0" shapeId="0" xr:uid="{C5871C63-A0BC-4AD8-9352-F10D220B2248}">
      <text>
        <r>
          <rPr>
            <b/>
            <sz val="9"/>
            <color indexed="81"/>
            <rFont val="Tahoma"/>
            <family val="2"/>
          </rPr>
          <t>Used to determine the risk free rate in the DCF calculations</t>
        </r>
      </text>
    </comment>
    <comment ref="H27" authorId="0" shapeId="0" xr:uid="{0124A15E-DB41-4ED4-B154-16E7D6090169}">
      <text>
        <r>
          <rPr>
            <b/>
            <sz val="9"/>
            <color indexed="81"/>
            <rFont val="Tahoma"/>
            <family val="2"/>
          </rPr>
          <t>If Ev/Rev of Co. is &gt; Median &amp; Average: Overvalued. 
If Ev/Rev of Co. is in between Median &amp; Average: Fair Value.
If Ev/Rev of Co. is &lt; Median &amp; Average: Undervalued.</t>
        </r>
      </text>
    </comment>
    <comment ref="I27" authorId="0" shapeId="0" xr:uid="{1FBF3133-DEE9-4C7C-A9DD-11287F2CA369}">
      <text>
        <r>
          <rPr>
            <b/>
            <sz val="9"/>
            <color indexed="81"/>
            <rFont val="Tahoma"/>
            <family val="2"/>
          </rPr>
          <t>If Ev/Gross Profit of Co. is &gt; Median &amp; Average: Overvalued. 
If Ev/Gross Profit of Co. is in between Median &amp; Average: Fair Value.
If Ev/Gross Profit of Co. is &lt; Median &amp; Average: Undervalued.</t>
        </r>
      </text>
    </comment>
    <comment ref="J27" authorId="0" shapeId="0" xr:uid="{44FC7F92-0E15-47A9-9F6C-DD8AF4951C11}">
      <text>
        <r>
          <rPr>
            <b/>
            <sz val="9"/>
            <color indexed="81"/>
            <rFont val="Tahoma"/>
            <family val="2"/>
          </rPr>
          <t>If P/B of Co. is &gt; Median &amp; Average: Overvalued. 
If P/B of Co. is in between Median &amp; Average: Fair Value.
If P/B of Co. is &lt; Median &amp; Average: Undervalued.</t>
        </r>
      </text>
    </comment>
    <comment ref="K27" authorId="0" shapeId="0" xr:uid="{A681DBE4-A801-4B52-8A99-D63A08DF27A5}">
      <text>
        <r>
          <rPr>
            <b/>
            <sz val="9"/>
            <color indexed="81"/>
            <rFont val="Tahoma"/>
            <family val="2"/>
          </rPr>
          <t>If Ev/Rev of Co. is &gt; Median &amp; Average: Above Average
If Ev/Rev of Co. is in between Median &amp; Average: Average
If Ev/Rev of Co. is &lt; Median &amp; Average: Below Average</t>
        </r>
      </text>
    </comment>
    <comment ref="L27" authorId="0" shapeId="0" xr:uid="{F114DDC0-C5A2-44B3-A8EC-E12622773955}">
      <text>
        <r>
          <rPr>
            <b/>
            <sz val="9"/>
            <color indexed="81"/>
            <rFont val="Tahoma"/>
            <family val="2"/>
          </rPr>
          <t>If Efficiency of Co. is &gt; Median &amp; Average: Above Average
If Efficiency of Co. is in between Median &amp; Average: Average
If Efficiency of Co. is &lt; Median &amp; Average: Below Average</t>
        </r>
      </text>
    </comment>
    <comment ref="G28" authorId="0" shapeId="0" xr:uid="{7845CD48-939C-4E1E-BCAA-E0F632998283}">
      <text>
        <r>
          <rPr>
            <b/>
            <sz val="9"/>
            <color indexed="81"/>
            <rFont val="Tahoma"/>
            <family val="2"/>
          </rPr>
          <t>Includes companies whose metrics are too out of the ordinary when compared to other companies in the same sector.
Remove metrics that are deemed outliers from average and median calculations.</t>
        </r>
      </text>
    </comment>
    <comment ref="A29" authorId="0" shapeId="0" xr:uid="{A4839478-C142-4BC5-BC3B-9C1EB8EA002C}">
      <text>
        <r>
          <rPr>
            <b/>
            <sz val="9"/>
            <color indexed="81"/>
            <rFont val="Tahoma"/>
            <family val="2"/>
          </rPr>
          <t>Perpetual growth is typically the current or historical rate of inflation</t>
        </r>
      </text>
    </comment>
    <comment ref="A30" authorId="0" shapeId="0" xr:uid="{496389A7-C47B-499F-BE2F-2D913C48ABFF}">
      <text>
        <r>
          <rPr>
            <b/>
            <sz val="9"/>
            <color indexed="81"/>
            <rFont val="Tahoma"/>
            <family val="2"/>
          </rPr>
          <t>Can be estimated using the yearly average return of index funds, $SPY is a good indicator of expected return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A94B88-21E2-4A98-9EB9-34135C65370B}" keepAlive="1" name="Query - 2021-12-20-AccountStatement" description="Connection to the '2021-12-20-AccountStatement' query in the workbook." type="5" refreshedVersion="0" background="1">
    <dbPr connection="Provider=Microsoft.Mashup.OleDb.1;Data Source=$Workbook$;Location=2021-12-20-AccountStatement;Extended Properties=&quot;&quot;" command="SELECT * FROM [2021-12-20-AccountState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
    <bk>
      <extLst>
        <ext uri="{3e2802c4-a4d2-4d8b-9148-e3be6c30e623}">
          <xlrd:rvb i="2"/>
        </ext>
      </extLst>
    </bk>
    <bk>
      <extLst>
        <ext uri="{3e2802c4-a4d2-4d8b-9148-e3be6c30e623}">
          <xlrd:rvb i="5"/>
        </ext>
      </extLst>
    </bk>
    <bk>
      <extLst>
        <ext uri="{3e2802c4-a4d2-4d8b-9148-e3be6c30e623}">
          <xlrd:rvb i="8"/>
        </ext>
      </extLst>
    </bk>
  </future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<sst xmlns="http://schemas.openxmlformats.org/spreadsheetml/2006/main" count="360" uniqueCount="118">
  <si>
    <t>Price</t>
  </si>
  <si>
    <t>Gross Profit</t>
  </si>
  <si>
    <t>Pretax Income</t>
  </si>
  <si>
    <t>Tax Provision</t>
  </si>
  <si>
    <t>-</t>
  </si>
  <si>
    <t>Interest Expense</t>
  </si>
  <si>
    <t>Total Revenue</t>
  </si>
  <si>
    <t>Total Debt</t>
  </si>
  <si>
    <t>Discounted Free Cash Flow Valuation</t>
  </si>
  <si>
    <t>Free Cash Flow</t>
  </si>
  <si>
    <t>Discount Factor</t>
  </si>
  <si>
    <t>Pv of Future Cash Flow</t>
  </si>
  <si>
    <t>Required Return</t>
  </si>
  <si>
    <t>Perpetual Growth</t>
  </si>
  <si>
    <t>Today's Value</t>
  </si>
  <si>
    <t>Shares Out</t>
  </si>
  <si>
    <t>Fair Value of Equity</t>
  </si>
  <si>
    <t>2017A</t>
  </si>
  <si>
    <t>2018A</t>
  </si>
  <si>
    <t>2019A</t>
  </si>
  <si>
    <t>2020P</t>
  </si>
  <si>
    <t>2021P</t>
  </si>
  <si>
    <t>2022P</t>
  </si>
  <si>
    <t>Projected Model</t>
  </si>
  <si>
    <t>Historical Data</t>
  </si>
  <si>
    <t>Operating Cash Flow</t>
  </si>
  <si>
    <t>Capital Expenditure</t>
  </si>
  <si>
    <t>Free Cash Flow to Equity</t>
  </si>
  <si>
    <t>Calculating Free Cash Flow</t>
  </si>
  <si>
    <t>Net Income</t>
  </si>
  <si>
    <t xml:space="preserve">Free Cash Flow to Equity </t>
  </si>
  <si>
    <t>Revenue</t>
  </si>
  <si>
    <t>Revenue Growth Rate</t>
  </si>
  <si>
    <t>Calculating Revenue Growth Rate</t>
  </si>
  <si>
    <t>Average Growth Rate</t>
  </si>
  <si>
    <t>Net Income Margins</t>
  </si>
  <si>
    <t>Average Net Income Margins</t>
  </si>
  <si>
    <t>Calculating Free Cash Flow Rate</t>
  </si>
  <si>
    <t>Free Cash Flow Rate</t>
  </si>
  <si>
    <t>Average Free Cash Flow Rate</t>
  </si>
  <si>
    <t>WACC</t>
  </si>
  <si>
    <t>Short/Current Long Term Debt</t>
  </si>
  <si>
    <t>Long Term Debt</t>
  </si>
  <si>
    <t>Effective Tax Rate</t>
  </si>
  <si>
    <t>Cost of Debt</t>
  </si>
  <si>
    <t>Tax Adjusted Cost of Debt</t>
  </si>
  <si>
    <t>Risk Free Rate (^TNX)</t>
  </si>
  <si>
    <t>Beta</t>
  </si>
  <si>
    <t>Expected Return of Market (SP500)</t>
  </si>
  <si>
    <t>Beta (Current Stock)</t>
  </si>
  <si>
    <t>Cost of Equity</t>
  </si>
  <si>
    <t>Market Cap</t>
  </si>
  <si>
    <t>Total Capital</t>
  </si>
  <si>
    <t>Debt Percent of Capital</t>
  </si>
  <si>
    <t>Equity Percent of Capital</t>
  </si>
  <si>
    <t>Terminal Value</t>
  </si>
  <si>
    <t>2023P</t>
  </si>
  <si>
    <t>Outstanding Shares</t>
  </si>
  <si>
    <t>Cash Flow Statement</t>
  </si>
  <si>
    <t>Income Statement</t>
  </si>
  <si>
    <t>Stock Summary</t>
  </si>
  <si>
    <t>Balance Sheet</t>
  </si>
  <si>
    <t>Expected Return Of Market</t>
  </si>
  <si>
    <t>Market Variables</t>
  </si>
  <si>
    <t xml:space="preserve">Total Debt </t>
  </si>
  <si>
    <t>Expected Fair Value</t>
  </si>
  <si>
    <t>Company Name</t>
  </si>
  <si>
    <t xml:space="preserve">Market Cap </t>
  </si>
  <si>
    <t>Market Data</t>
  </si>
  <si>
    <t>Financial Data</t>
  </si>
  <si>
    <t>P/E</t>
  </si>
  <si>
    <t>Valuation</t>
  </si>
  <si>
    <t>US Bank</t>
  </si>
  <si>
    <t>Wells Fargo</t>
  </si>
  <si>
    <t>JP Morgan Chase</t>
  </si>
  <si>
    <t>Citigroup</t>
  </si>
  <si>
    <t>Bank of America</t>
  </si>
  <si>
    <t>Earnings (Net Income)</t>
  </si>
  <si>
    <t>EV/Revenue</t>
  </si>
  <si>
    <t>EV</t>
  </si>
  <si>
    <t>Book Value</t>
  </si>
  <si>
    <t>EV/Gross Profit</t>
  </si>
  <si>
    <t>P/B</t>
  </si>
  <si>
    <t>ROA</t>
  </si>
  <si>
    <t>ROE</t>
  </si>
  <si>
    <t>Operating Cost</t>
  </si>
  <si>
    <t>Efficiency</t>
  </si>
  <si>
    <t>Average</t>
  </si>
  <si>
    <t>Median</t>
  </si>
  <si>
    <t>Overvalued</t>
  </si>
  <si>
    <t>Fair Value</t>
  </si>
  <si>
    <t>Exclusions</t>
  </si>
  <si>
    <t>Undervalued</t>
  </si>
  <si>
    <t>Above Average</t>
  </si>
  <si>
    <t>Adjusted Beta Expected Fair Value</t>
  </si>
  <si>
    <t>Adjusted DCF Valuation</t>
  </si>
  <si>
    <t xml:space="preserve">Adjusted Beta </t>
  </si>
  <si>
    <t>Average Fair Value</t>
  </si>
  <si>
    <t>Sharpe Risk/Reward Ratio</t>
  </si>
  <si>
    <t>Historical Returns</t>
  </si>
  <si>
    <t>Standard Deviation</t>
  </si>
  <si>
    <t>Year</t>
  </si>
  <si>
    <t>Beginning Price</t>
  </si>
  <si>
    <t>Ending Price</t>
  </si>
  <si>
    <t>$ Gain or Loss</t>
  </si>
  <si>
    <t>% Gain or Loss</t>
  </si>
  <si>
    <t>Excess Return</t>
  </si>
  <si>
    <t>Average Return</t>
  </si>
  <si>
    <t>Sharpe Ratio</t>
  </si>
  <si>
    <t>Treasury Yield</t>
  </si>
  <si>
    <t xml:space="preserve">Stock </t>
  </si>
  <si>
    <t>JP Morgan</t>
  </si>
  <si>
    <t>Calculating Sharpe Ratio</t>
  </si>
  <si>
    <t>Company Comparison Analysis (Within Sector)</t>
  </si>
  <si>
    <r>
      <rPr>
        <b/>
        <sz val="11"/>
        <rFont val="Calibri"/>
        <family val="2"/>
        <scheme val="minor"/>
      </rPr>
      <t>Discount Cash Flow</t>
    </r>
    <r>
      <rPr>
        <sz val="11"/>
        <rFont val="Calibri"/>
        <family val="2"/>
        <scheme val="minor"/>
      </rPr>
      <t xml:space="preserve">: All cells marked as input cells with the peach color need user input, yahoo finance is a great site for financial data.                                  </t>
    </r>
  </si>
  <si>
    <r>
      <rPr>
        <b/>
        <sz val="11"/>
        <rFont val="Calibri"/>
        <family val="2"/>
        <scheme val="minor"/>
      </rPr>
      <t>Company Comparison</t>
    </r>
    <r>
      <rPr>
        <sz val="11"/>
        <rFont val="Calibri"/>
        <family val="2"/>
        <scheme val="minor"/>
      </rPr>
      <t>: Same as DCF, input cells are colored peach, valuation needs to be manually calculated, each cell has a note attached to help with valuation. This is a qualitative measure of a companies value as it pertains to other companies in it's sector.</t>
    </r>
  </si>
  <si>
    <r>
      <rPr>
        <b/>
        <sz val="11"/>
        <color theme="1"/>
        <rFont val="Calibri"/>
        <family val="2"/>
        <scheme val="minor"/>
      </rPr>
      <t>Sharpe Ratio</t>
    </r>
    <r>
      <rPr>
        <sz val="11"/>
        <color theme="1"/>
        <rFont val="Calibri"/>
        <family val="2"/>
        <scheme val="minor"/>
      </rPr>
      <t xml:space="preserve">: Using historical returns, finds the standard deviation and sharpe ratio. Cells marked as input cells require user input. </t>
    </r>
  </si>
  <si>
    <t xml:space="preserve">Sharpe Ratio: Investopedia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</si>
</sst>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5" formatCode="_([$$-409]* #,##0.00_);_([$$-409]* \(#,##0.00\);_([$$-409]* &quot;-&quot;??_);_(@_)"/>
    <numFmt numFmtId="166" formatCode="#,##0.000"/>
    <numFmt numFmtId="167" formatCode="0.0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9"/>
      <color indexed="81"/>
      <name val="Tahoma"/>
      <family val="2"/>
    </font>
    <font>
      <sz val="11"/>
      <color rgb="FF3F3F3F"/>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B9C"/>
      </patternFill>
    </fill>
    <fill>
      <patternFill patternType="solid">
        <fgColor rgb="FFFFCC99"/>
      </patternFill>
    </fill>
    <fill>
      <patternFill patternType="solid">
        <fgColor rgb="FFF2F2F2"/>
      </patternFill>
    </fill>
    <fill>
      <patternFill patternType="solid">
        <fgColor theme="6" tint="0.59999389629810485"/>
        <bgColor indexed="65"/>
      </patternFill>
    </fill>
    <fill>
      <patternFill patternType="solid">
        <fgColor theme="7" tint="0.5999938962981048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rgb="FFE0E4E9"/>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000000"/>
      </left>
      <right/>
      <top style="thin">
        <color rgb="FF000000"/>
      </top>
      <bottom/>
      <diagonal/>
    </border>
    <border>
      <left/>
      <right/>
      <top/>
      <bottom style="thin">
        <color rgb="FF000000"/>
      </bottom>
      <diagonal/>
    </border>
  </borders>
  <cellStyleXfs count="9">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 fillId="7" borderId="0" applyNumberFormat="0" applyBorder="0" applyAlignment="0" applyProtection="0"/>
    <xf numFmtId="0" fontId="6" fillId="8" borderId="16" applyNumberFormat="0" applyAlignment="0" applyProtection="0"/>
    <xf numFmtId="0" fontId="7" fillId="9" borderId="17" applyNumberFormat="0" applyAlignment="0" applyProtection="0"/>
    <xf numFmtId="0" fontId="1" fillId="10" borderId="0" applyNumberFormat="0" applyBorder="0" applyAlignment="0" applyProtection="0"/>
    <xf numFmtId="0" fontId="11" fillId="0" borderId="0" applyNumberFormat="0" applyFill="0" applyBorder="0" applyAlignment="0" applyProtection="0"/>
  </cellStyleXfs>
  <cellXfs count="153">
    <xf numFmtId="0" fontId="0" fillId="0" borderId="0" xfId="0"/>
    <xf numFmtId="44" fontId="0" fillId="0" borderId="0" xfId="1" applyFont="1"/>
    <xf numFmtId="0" fontId="0" fillId="0" borderId="0" xfId="0" applyFill="1"/>
    <xf numFmtId="10" fontId="0" fillId="2" borderId="1" xfId="0" applyNumberFormat="1" applyFill="1" applyBorder="1"/>
    <xf numFmtId="3" fontId="0" fillId="0" borderId="0" xfId="0" applyNumberFormat="1"/>
    <xf numFmtId="3" fontId="0" fillId="0" borderId="5" xfId="0" applyNumberFormat="1" applyBorder="1" applyAlignment="1">
      <alignment horizontal="center" vertical="center" wrapText="1"/>
    </xf>
    <xf numFmtId="0" fontId="0" fillId="0" borderId="0" xfId="0" applyAlignment="1">
      <alignment horizontal="left" vertical="center"/>
    </xf>
    <xf numFmtId="0" fontId="0" fillId="0" borderId="0" xfId="0" applyAlignment="1">
      <alignment horizontal="center"/>
    </xf>
    <xf numFmtId="0" fontId="2" fillId="0" borderId="0" xfId="0" applyFont="1"/>
    <xf numFmtId="0" fontId="0" fillId="0" borderId="0" xfId="0" applyFont="1"/>
    <xf numFmtId="9" fontId="0" fillId="0" borderId="0" xfId="3" applyFont="1"/>
    <xf numFmtId="3" fontId="0" fillId="0" borderId="0" xfId="0" applyNumberFormat="1" applyBorder="1" applyAlignment="1">
      <alignment horizontal="center" vertical="center" wrapText="1"/>
    </xf>
    <xf numFmtId="0" fontId="2" fillId="0" borderId="6" xfId="0" applyFont="1" applyBorder="1"/>
    <xf numFmtId="0" fontId="0" fillId="0" borderId="1" xfId="0" applyFill="1" applyBorder="1"/>
    <xf numFmtId="0" fontId="0" fillId="0" borderId="0" xfId="0" applyFill="1" applyBorder="1"/>
    <xf numFmtId="3" fontId="0" fillId="0" borderId="0" xfId="0" applyNumberFormat="1" applyFill="1" applyBorder="1" applyAlignment="1">
      <alignment horizontal="center" vertical="center" wrapText="1"/>
    </xf>
    <xf numFmtId="0" fontId="0" fillId="0" borderId="0" xfId="0" applyFill="1" applyBorder="1" applyAlignment="1">
      <alignment horizontal="center"/>
    </xf>
    <xf numFmtId="0" fontId="0" fillId="0" borderId="0" xfId="0" applyAlignment="1">
      <alignment horizontal="center" vertical="center"/>
    </xf>
    <xf numFmtId="44" fontId="0" fillId="5" borderId="1" xfId="1" applyFont="1" applyFill="1" applyBorder="1" applyAlignment="1">
      <alignment horizontal="center" vertical="center" wrapText="1"/>
    </xf>
    <xf numFmtId="0" fontId="2" fillId="0" borderId="8" xfId="0" applyFont="1" applyBorder="1"/>
    <xf numFmtId="0" fontId="0" fillId="0" borderId="9" xfId="0" applyFont="1" applyBorder="1"/>
    <xf numFmtId="0" fontId="0" fillId="0" borderId="2" xfId="0" applyBorder="1"/>
    <xf numFmtId="0" fontId="0" fillId="0" borderId="9" xfId="0" applyBorder="1"/>
    <xf numFmtId="0" fontId="0" fillId="0" borderId="4" xfId="0" applyBorder="1"/>
    <xf numFmtId="0" fontId="2" fillId="0" borderId="2" xfId="0" applyFont="1" applyBorder="1"/>
    <xf numFmtId="0" fontId="0" fillId="0" borderId="9" xfId="0" applyFont="1" applyFill="1" applyBorder="1"/>
    <xf numFmtId="0" fontId="2" fillId="0" borderId="7" xfId="0" applyFont="1" applyBorder="1"/>
    <xf numFmtId="0" fontId="0" fillId="0" borderId="9" xfId="0" applyFill="1" applyBorder="1"/>
    <xf numFmtId="0" fontId="0" fillId="0" borderId="0" xfId="0" applyBorder="1"/>
    <xf numFmtId="0" fontId="0" fillId="5" borderId="1" xfId="0" applyFill="1" applyBorder="1"/>
    <xf numFmtId="0" fontId="0" fillId="0" borderId="1" xfId="0" applyBorder="1"/>
    <xf numFmtId="3" fontId="0" fillId="0" borderId="0" xfId="0" applyNumberFormat="1" applyAlignment="1">
      <alignment horizontal="center"/>
    </xf>
    <xf numFmtId="44" fontId="0" fillId="0" borderId="0" xfId="1" applyFont="1" applyAlignment="1">
      <alignment horizontal="center"/>
    </xf>
    <xf numFmtId="44" fontId="0" fillId="5" borderId="1" xfId="0" applyNumberFormat="1" applyFill="1" applyBorder="1" applyAlignment="1">
      <alignment horizontal="center"/>
    </xf>
    <xf numFmtId="44" fontId="0" fillId="5" borderId="1" xfId="1" applyFont="1" applyFill="1" applyBorder="1" applyAlignment="1">
      <alignment horizontal="center"/>
    </xf>
    <xf numFmtId="9" fontId="0" fillId="0" borderId="0" xfId="3" applyFont="1" applyAlignment="1">
      <alignment horizontal="center"/>
    </xf>
    <xf numFmtId="0" fontId="0" fillId="0" borderId="11" xfId="0" applyBorder="1"/>
    <xf numFmtId="0" fontId="0" fillId="0" borderId="11" xfId="0" applyFont="1" applyBorder="1"/>
    <xf numFmtId="10" fontId="0" fillId="0" borderId="0" xfId="3" applyNumberFormat="1" applyFont="1" applyFill="1" applyBorder="1" applyAlignment="1">
      <alignment horizontal="center"/>
    </xf>
    <xf numFmtId="0" fontId="0" fillId="0" borderId="11" xfId="0" applyFont="1" applyFill="1" applyBorder="1"/>
    <xf numFmtId="44" fontId="0" fillId="0" borderId="1" xfId="1" applyFont="1" applyBorder="1" applyAlignment="1">
      <alignment horizontal="center"/>
    </xf>
    <xf numFmtId="44" fontId="0" fillId="0" borderId="1" xfId="1" applyFont="1" applyFill="1" applyBorder="1" applyAlignment="1">
      <alignment horizontal="center"/>
    </xf>
    <xf numFmtId="0" fontId="0" fillId="0" borderId="10" xfId="0" applyFont="1" applyBorder="1"/>
    <xf numFmtId="44" fontId="0" fillId="5" borderId="3" xfId="1" applyFont="1" applyFill="1" applyBorder="1" applyAlignment="1">
      <alignment horizontal="center"/>
    </xf>
    <xf numFmtId="44" fontId="0" fillId="5" borderId="3" xfId="0" applyNumberFormat="1" applyFill="1" applyBorder="1" applyAlignment="1">
      <alignment horizontal="center"/>
    </xf>
    <xf numFmtId="44" fontId="0" fillId="0" borderId="1" xfId="0" applyNumberFormat="1" applyBorder="1" applyAlignment="1">
      <alignment horizontal="center"/>
    </xf>
    <xf numFmtId="10" fontId="0" fillId="0" borderId="1" xfId="3" applyNumberFormat="1" applyFont="1" applyBorder="1" applyAlignment="1">
      <alignment horizontal="center"/>
    </xf>
    <xf numFmtId="10" fontId="0" fillId="0" borderId="1" xfId="3" applyNumberFormat="1" applyFont="1" applyFill="1" applyBorder="1" applyAlignment="1">
      <alignment horizontal="center"/>
    </xf>
    <xf numFmtId="9" fontId="0" fillId="0" borderId="0" xfId="3" applyFont="1" applyBorder="1" applyAlignment="1">
      <alignment horizontal="center"/>
    </xf>
    <xf numFmtId="0" fontId="0" fillId="0" borderId="1" xfId="0" applyBorder="1" applyAlignment="1">
      <alignment horizontal="center"/>
    </xf>
    <xf numFmtId="10" fontId="0" fillId="0" borderId="1" xfId="0" applyNumberFormat="1" applyFill="1" applyBorder="1" applyAlignment="1">
      <alignment horizontal="center"/>
    </xf>
    <xf numFmtId="44" fontId="0" fillId="0" borderId="3" xfId="1" applyFont="1" applyBorder="1" applyAlignment="1">
      <alignment horizontal="center"/>
    </xf>
    <xf numFmtId="10" fontId="0" fillId="0" borderId="3" xfId="3" applyNumberFormat="1" applyFont="1" applyBorder="1" applyAlignment="1">
      <alignment horizontal="center"/>
    </xf>
    <xf numFmtId="4" fontId="0" fillId="0" borderId="3" xfId="0" applyNumberFormat="1" applyBorder="1" applyAlignment="1">
      <alignment horizontal="center"/>
    </xf>
    <xf numFmtId="9" fontId="0" fillId="0" borderId="3" xfId="3" applyFont="1" applyFill="1" applyBorder="1" applyAlignment="1">
      <alignment horizontal="center"/>
    </xf>
    <xf numFmtId="44" fontId="0" fillId="0" borderId="3" xfId="0" applyNumberFormat="1" applyFill="1" applyBorder="1" applyAlignment="1">
      <alignment horizontal="center"/>
    </xf>
    <xf numFmtId="10" fontId="0" fillId="0" borderId="13" xfId="3" applyNumberFormat="1" applyFont="1" applyBorder="1" applyAlignment="1">
      <alignment horizontal="center"/>
    </xf>
    <xf numFmtId="44" fontId="0" fillId="5" borderId="8" xfId="1" applyFont="1" applyFill="1" applyBorder="1" applyAlignment="1">
      <alignment horizontal="center"/>
    </xf>
    <xf numFmtId="44" fontId="0" fillId="5" borderId="2" xfId="0" applyNumberFormat="1" applyFill="1" applyBorder="1" applyAlignment="1">
      <alignment horizontal="center"/>
    </xf>
    <xf numFmtId="44" fontId="0" fillId="5" borderId="2" xfId="1" applyFont="1" applyFill="1" applyBorder="1" applyAlignment="1">
      <alignment horizontal="center" vertical="center" wrapText="1"/>
    </xf>
    <xf numFmtId="0" fontId="0" fillId="0" borderId="0" xfId="0" applyBorder="1" applyAlignment="1">
      <alignment horizontal="center"/>
    </xf>
    <xf numFmtId="3" fontId="0" fillId="0" borderId="0" xfId="0" applyNumberFormat="1" applyBorder="1" applyAlignment="1">
      <alignment horizontal="center"/>
    </xf>
    <xf numFmtId="44" fontId="0" fillId="5" borderId="8" xfId="0" applyNumberFormat="1" applyFill="1" applyBorder="1" applyAlignment="1">
      <alignment horizontal="center"/>
    </xf>
    <xf numFmtId="0" fontId="0" fillId="0" borderId="0" xfId="0" applyBorder="1" applyAlignment="1">
      <alignment horizontal="center" vertical="center"/>
    </xf>
    <xf numFmtId="44" fontId="0" fillId="5" borderId="2" xfId="1" applyFont="1" applyFill="1" applyBorder="1" applyAlignment="1">
      <alignment horizontal="center"/>
    </xf>
    <xf numFmtId="166" fontId="0" fillId="5" borderId="1" xfId="0" applyNumberFormat="1" applyFill="1" applyBorder="1" applyAlignment="1">
      <alignment horizontal="center"/>
    </xf>
    <xf numFmtId="167" fontId="0" fillId="5" borderId="1" xfId="0" applyNumberFormat="1" applyFill="1" applyBorder="1" applyAlignment="1">
      <alignment horizontal="center"/>
    </xf>
    <xf numFmtId="167" fontId="0" fillId="5" borderId="1" xfId="0" applyNumberFormat="1" applyFill="1" applyBorder="1" applyAlignment="1">
      <alignment horizontal="center" vertical="center"/>
    </xf>
    <xf numFmtId="166" fontId="0" fillId="5" borderId="1" xfId="0" applyNumberFormat="1" applyFill="1" applyBorder="1" applyAlignment="1">
      <alignment horizontal="center" vertical="center" wrapText="1"/>
    </xf>
    <xf numFmtId="44" fontId="0" fillId="0" borderId="1" xfId="0" applyNumberFormat="1" applyFont="1" applyBorder="1" applyAlignment="1"/>
    <xf numFmtId="44" fontId="0" fillId="0" borderId="1" xfId="1" applyFont="1" applyBorder="1" applyAlignment="1"/>
    <xf numFmtId="44" fontId="0" fillId="0" borderId="4" xfId="0" applyNumberFormat="1" applyFont="1" applyBorder="1" applyAlignment="1"/>
    <xf numFmtId="44" fontId="0" fillId="5" borderId="4" xfId="0" applyNumberFormat="1" applyFill="1" applyBorder="1" applyAlignment="1">
      <alignment horizontal="center"/>
    </xf>
    <xf numFmtId="0" fontId="2" fillId="0" borderId="13" xfId="0" applyFont="1" applyBorder="1" applyAlignment="1">
      <alignment horizontal="center"/>
    </xf>
    <xf numFmtId="14" fontId="2" fillId="0" borderId="12" xfId="0" applyNumberFormat="1" applyFont="1" applyBorder="1"/>
    <xf numFmtId="0" fontId="2" fillId="0" borderId="3" xfId="0" applyFont="1" applyBorder="1"/>
    <xf numFmtId="3" fontId="0" fillId="0" borderId="1" xfId="2" applyNumberFormat="1" applyFont="1" applyBorder="1" applyAlignment="1">
      <alignment horizontal="center"/>
    </xf>
    <xf numFmtId="0" fontId="2" fillId="0" borderId="1" xfId="0" applyFont="1" applyBorder="1"/>
    <xf numFmtId="9" fontId="3" fillId="0" borderId="3" xfId="3" applyFont="1" applyFill="1" applyBorder="1" applyAlignment="1">
      <alignment horizontal="center"/>
    </xf>
    <xf numFmtId="44" fontId="0" fillId="0" borderId="0" xfId="1" applyFont="1" applyFill="1" applyBorder="1"/>
    <xf numFmtId="44" fontId="2" fillId="4" borderId="1" xfId="0" applyNumberFormat="1" applyFont="1" applyFill="1" applyBorder="1"/>
    <xf numFmtId="44" fontId="0" fillId="0" borderId="1" xfId="0" applyNumberFormat="1" applyBorder="1"/>
    <xf numFmtId="0" fontId="2" fillId="0" borderId="0" xfId="0" applyFont="1" applyFill="1" applyBorder="1"/>
    <xf numFmtId="0" fontId="2" fillId="0" borderId="1" xfId="0" applyFont="1" applyFill="1" applyBorder="1"/>
    <xf numFmtId="0" fontId="2" fillId="0" borderId="1" xfId="0" applyFont="1" applyBorder="1" applyAlignment="1">
      <alignment horizontal="center"/>
    </xf>
    <xf numFmtId="0" fontId="2" fillId="0" borderId="4" xfId="0" applyFont="1" applyBorder="1"/>
    <xf numFmtId="0" fontId="0" fillId="5" borderId="1" xfId="0" applyFill="1" applyBorder="1" applyAlignment="1">
      <alignment horizontal="center"/>
    </xf>
    <xf numFmtId="0" fontId="2" fillId="4" borderId="1" xfId="0" applyFont="1" applyFill="1" applyBorder="1"/>
    <xf numFmtId="10" fontId="0" fillId="0" borderId="0" xfId="3" applyNumberFormat="1" applyFont="1" applyFill="1" applyBorder="1"/>
    <xf numFmtId="43" fontId="0" fillId="0" borderId="0" xfId="2" applyFont="1" applyFill="1" applyBorder="1"/>
    <xf numFmtId="43" fontId="2" fillId="0" borderId="0" xfId="0" applyNumberFormat="1" applyFont="1" applyFill="1" applyBorder="1"/>
    <xf numFmtId="9" fontId="2" fillId="0" borderId="0" xfId="3" applyFont="1" applyFill="1" applyBorder="1"/>
    <xf numFmtId="9" fontId="0" fillId="0" borderId="0" xfId="3" applyFont="1" applyFill="1" applyBorder="1"/>
    <xf numFmtId="43" fontId="0" fillId="0" borderId="0" xfId="0" applyNumberFormat="1" applyFill="1" applyBorder="1"/>
    <xf numFmtId="2" fontId="0" fillId="0" borderId="0" xfId="0" applyNumberFormat="1" applyFill="1" applyBorder="1"/>
    <xf numFmtId="0" fontId="2" fillId="0" borderId="0" xfId="0" applyFont="1" applyFill="1" applyBorder="1" applyAlignment="1"/>
    <xf numFmtId="44" fontId="2" fillId="0" borderId="1" xfId="1" applyFont="1" applyFill="1" applyBorder="1" applyAlignment="1">
      <alignment horizontal="center"/>
    </xf>
    <xf numFmtId="10" fontId="0" fillId="0" borderId="1" xfId="0" applyNumberFormat="1" applyFill="1" applyBorder="1"/>
    <xf numFmtId="0" fontId="2" fillId="0" borderId="1" xfId="0" applyFont="1"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44" fontId="0" fillId="0" borderId="1" xfId="1" applyFont="1" applyBorder="1" applyAlignment="1">
      <alignment horizontal="center"/>
    </xf>
    <xf numFmtId="0" fontId="2" fillId="0" borderId="13" xfId="0" applyFont="1" applyBorder="1" applyAlignment="1">
      <alignment horizontal="center"/>
    </xf>
    <xf numFmtId="0" fontId="2" fillId="0" borderId="1" xfId="0" applyFont="1" applyBorder="1" applyAlignment="1">
      <alignment horizontal="center"/>
    </xf>
    <xf numFmtId="0" fontId="2" fillId="0" borderId="13"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xf>
    <xf numFmtId="0" fontId="2" fillId="3" borderId="2" xfId="0" applyFont="1" applyFill="1" applyBorder="1" applyAlignment="1">
      <alignment horizontal="center"/>
    </xf>
    <xf numFmtId="10" fontId="0" fillId="0" borderId="3" xfId="3" applyNumberFormat="1" applyFont="1" applyFill="1" applyBorder="1" applyAlignment="1">
      <alignment horizontal="center"/>
    </xf>
    <xf numFmtId="0" fontId="2" fillId="0" borderId="7" xfId="0" applyFont="1" applyFill="1" applyBorder="1"/>
    <xf numFmtId="44" fontId="0" fillId="0" borderId="1" xfId="0" applyNumberFormat="1" applyFont="1" applyFill="1" applyBorder="1"/>
    <xf numFmtId="3" fontId="0" fillId="0" borderId="0" xfId="0" applyNumberFormat="1" applyAlignment="1">
      <alignment horizontal="center" vertical="center" wrapText="1"/>
    </xf>
    <xf numFmtId="44" fontId="2" fillId="0" borderId="1" xfId="0" applyNumberFormat="1" applyFont="1" applyBorder="1"/>
    <xf numFmtId="44" fontId="0" fillId="0" borderId="4" xfId="0" applyNumberFormat="1" applyBorder="1"/>
    <xf numFmtId="0" fontId="0" fillId="0" borderId="10" xfId="0" applyBorder="1"/>
    <xf numFmtId="10" fontId="0" fillId="0" borderId="1" xfId="0" applyNumberFormat="1" applyBorder="1" applyAlignment="1">
      <alignment horizontal="center"/>
    </xf>
    <xf numFmtId="44" fontId="0" fillId="0" borderId="3" xfId="0" applyNumberFormat="1" applyBorder="1" applyAlignment="1">
      <alignment horizontal="center"/>
    </xf>
    <xf numFmtId="0" fontId="7" fillId="9" borderId="18" xfId="6" applyBorder="1"/>
    <xf numFmtId="165" fontId="7" fillId="9" borderId="17" xfId="6" applyNumberFormat="1" applyAlignment="1"/>
    <xf numFmtId="10" fontId="6" fillId="8" borderId="1" xfId="5" applyNumberFormat="1" applyBorder="1"/>
    <xf numFmtId="9" fontId="6" fillId="8" borderId="1" xfId="5" applyNumberFormat="1" applyBorder="1"/>
    <xf numFmtId="9" fontId="0" fillId="0" borderId="1" xfId="3" applyFont="1" applyFill="1" applyBorder="1"/>
    <xf numFmtId="10" fontId="4" fillId="6" borderId="11" xfId="3" applyNumberFormat="1" applyFont="1" applyFill="1" applyBorder="1" applyAlignment="1">
      <alignment horizontal="right" vertical="center" wrapText="1"/>
    </xf>
    <xf numFmtId="0" fontId="0" fillId="0" borderId="1" xfId="0" applyFont="1" applyFill="1" applyBorder="1" applyAlignment="1"/>
    <xf numFmtId="43" fontId="2" fillId="4" borderId="1" xfId="2" applyNumberFormat="1" applyFont="1" applyFill="1" applyBorder="1"/>
    <xf numFmtId="44" fontId="6" fillId="8" borderId="1" xfId="5" applyNumberFormat="1" applyBorder="1"/>
    <xf numFmtId="0" fontId="6" fillId="8" borderId="1" xfId="5" applyBorder="1" applyAlignment="1">
      <alignment horizontal="center"/>
    </xf>
    <xf numFmtId="3" fontId="6" fillId="8" borderId="1" xfId="5" applyNumberFormat="1" applyBorder="1" applyAlignment="1">
      <alignment horizontal="center"/>
    </xf>
    <xf numFmtId="44" fontId="6" fillId="8" borderId="1" xfId="5" applyNumberFormat="1" applyBorder="1" applyAlignment="1">
      <alignment horizontal="center"/>
    </xf>
    <xf numFmtId="0" fontId="2" fillId="0" borderId="11" xfId="0" applyFont="1" applyBorder="1"/>
    <xf numFmtId="0" fontId="2" fillId="6" borderId="15" xfId="0" applyFont="1" applyFill="1" applyBorder="1" applyAlignment="1">
      <alignment horizontal="right" vertical="center"/>
    </xf>
    <xf numFmtId="0" fontId="2" fillId="6" borderId="14" xfId="0" applyFont="1" applyFill="1" applyBorder="1" applyAlignment="1">
      <alignment horizontal="right" vertical="center"/>
    </xf>
    <xf numFmtId="0" fontId="2" fillId="6" borderId="19" xfId="0" applyFont="1" applyFill="1" applyBorder="1" applyAlignment="1">
      <alignment horizontal="right" vertical="center"/>
    </xf>
    <xf numFmtId="0" fontId="2" fillId="6" borderId="13" xfId="0" applyFont="1" applyFill="1" applyBorder="1" applyAlignment="1">
      <alignment horizontal="right" vertical="center"/>
    </xf>
    <xf numFmtId="8" fontId="0" fillId="6" borderId="20" xfId="1" applyNumberFormat="1" applyFont="1" applyFill="1" applyBorder="1" applyAlignment="1">
      <alignment horizontal="right" vertical="center" wrapText="1"/>
    </xf>
    <xf numFmtId="0" fontId="6" fillId="8" borderId="1" xfId="5" applyBorder="1" applyAlignment="1">
      <alignment horizontal="right" vertical="center" wrapText="1"/>
    </xf>
    <xf numFmtId="165" fontId="7" fillId="9" borderId="18" xfId="6" applyNumberFormat="1" applyBorder="1" applyAlignment="1"/>
    <xf numFmtId="44" fontId="6" fillId="8" borderId="3" xfId="5" applyNumberFormat="1" applyBorder="1"/>
    <xf numFmtId="0" fontId="6" fillId="8" borderId="4" xfId="5" applyBorder="1"/>
    <xf numFmtId="44" fontId="6" fillId="8" borderId="1" xfId="5" applyNumberFormat="1" applyBorder="1" applyAlignment="1">
      <alignment horizontal="center" vertical="center" wrapText="1"/>
    </xf>
    <xf numFmtId="43" fontId="7" fillId="9" borderId="17" xfId="6" applyNumberFormat="1"/>
    <xf numFmtId="9" fontId="7" fillId="9" borderId="17" xfId="6" applyNumberFormat="1"/>
    <xf numFmtId="0" fontId="1" fillId="10" borderId="1" xfId="7" applyBorder="1"/>
    <xf numFmtId="9" fontId="1" fillId="10" borderId="17" xfId="7" applyNumberFormat="1" applyBorder="1"/>
    <xf numFmtId="43" fontId="2" fillId="10" borderId="18" xfId="7" applyNumberFormat="1" applyFont="1" applyBorder="1"/>
    <xf numFmtId="43" fontId="2" fillId="10" borderId="17" xfId="7" applyNumberFormat="1" applyFont="1" applyBorder="1"/>
    <xf numFmtId="43" fontId="9" fillId="9" borderId="17" xfId="6" applyNumberFormat="1" applyFont="1"/>
    <xf numFmtId="9" fontId="9" fillId="9" borderId="17" xfId="6" applyNumberFormat="1" applyFont="1"/>
    <xf numFmtId="0" fontId="0" fillId="0" borderId="0" xfId="0" applyAlignment="1">
      <alignment vertical="top" wrapText="1"/>
    </xf>
    <xf numFmtId="0" fontId="3" fillId="7" borderId="1" xfId="4" applyFont="1" applyBorder="1" applyAlignment="1">
      <alignment horizontal="center" vertical="top" wrapText="1"/>
    </xf>
    <xf numFmtId="0" fontId="0" fillId="0" borderId="0" xfId="0" applyBorder="1" applyAlignment="1">
      <alignment vertical="top" wrapText="1"/>
    </xf>
    <xf numFmtId="0" fontId="0" fillId="11" borderId="1" xfId="0" applyFill="1" applyBorder="1" applyAlignment="1">
      <alignment horizontal="center" vertical="top" wrapText="1"/>
    </xf>
    <xf numFmtId="43" fontId="12" fillId="0" borderId="1" xfId="8" applyNumberFormat="1" applyFont="1" applyFill="1" applyBorder="1" applyAlignment="1">
      <alignment horizontal="center"/>
    </xf>
  </cellXfs>
  <cellStyles count="9">
    <cellStyle name="40% - Accent3" xfId="7" builtinId="39"/>
    <cellStyle name="Comma" xfId="2" builtinId="3"/>
    <cellStyle name="Currency" xfId="1" builtinId="4"/>
    <cellStyle name="Hyperlink" xfId="8" builtinId="8"/>
    <cellStyle name="Input" xfId="5" builtinId="20"/>
    <cellStyle name="Neutral" xfId="4" builtinId="28"/>
    <cellStyle name="Normal" xfId="0" builtinId="0"/>
    <cellStyle name="Output" xfId="6"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https://www.bing.com/financeapi/forcetrigger?t=a33knm&amp;q=10+Y+TSY+YLD+NDX&amp;form=skydnc</v>
    <v>Learn more on Bing</v>
  </rv>
  <rv s="1">
    <v>en-US</v>
    <v>a33knm</v>
    <v>268435456</v>
    <v>1</v>
    <v>Powered by Refinitiv</v>
    <v>0</v>
    <v>10 Y TSY YLD NDX</v>
    <v>2</v>
    <v>3</v>
    <v>Finance</v>
    <v>4</v>
    <v>20.65</v>
    <v>11.28</v>
    <v>-0.65</v>
    <v>-3.1753999999999998E-2</v>
    <v>US</v>
    <v>20.14</v>
    <v>Index</v>
    <v>0</v>
    <v>19.53</v>
    <v>10 Y TSY YLD NDX</v>
    <v>20.02</v>
    <v>20.47</v>
    <v>19.82</v>
    <v>TNX</v>
    <v>10 Y TSY YLD NDX</v>
  </rv>
  <rv s="2">
    <v>1</v>
  </rv>
  <rv s="0">
    <v>https://www.bing.com/financeapi/forcetrigger?t=a1xerw&amp;q=XNYS%3aMCS&amp;form=skydnc</v>
    <v>Learn more on Bing</v>
  </rv>
  <rv s="3">
    <v>en-US</v>
    <v>a1xerw</v>
    <v>268435456</v>
    <v>1</v>
    <v>Powered by Refinitiv</v>
    <v>5</v>
    <v>THE MARCUS CORPORATION (XNYS:MCS)</v>
    <v>6</v>
    <v>7</v>
    <v>Finance</v>
    <v>8</v>
    <v>22.87</v>
    <v>14.42</v>
    <v>1.7069000000000001</v>
    <v>0.15</v>
    <v>0</v>
    <v>8.6560000000000005E-3</v>
    <v>0</v>
    <v>USD</v>
    <v>The Marcus Corporation is engaged primarily in two business segments: movie theatres, and hotels and resorts. The Company’s theatre operations include approximately 88 movie theatre locations with 1,091 screens in Wisconsin, Illinois, Iowa, Minnesota, Missouri, Nebraska, North Dakota, Ohio, Arkansas, Colorado, Georgia, Kentucky, Louisiana, New York, Pennsylvania, Texas and Virginia, including one movie theatre with six screens in Wisconsin owned by a third party and managed by the Company. The Company’s hotels and resorts operations include approximately eight wholly owned or majority-owned and operated hotels and resorts in Wisconsin, Illinois, Nebraska and Oklahoma. It also manages approximately 10 hotels, resorts and other properties for third parties in Wisconsin, California, Minnesota, Nevada, Nebraska, Illinois and Texas. The Company owns or manages approximately 5,100 hotel and resort rooms.</v>
    <v>7500</v>
    <v>New York Stock Exchange</v>
    <v>XNYS</v>
    <v>XNYS</v>
    <v>100 E Wisconsin Ave Ste 1900, MILWAUKEE, WI, 53202-4132 US</v>
    <v>17.715</v>
    <v>Hotels &amp; Entertainment Services</v>
    <v>Stock</v>
    <v>44645.958333344533</v>
    <v>3</v>
    <v>17.21</v>
    <v>549371400</v>
    <v>THE MARCUS CORPORATION</v>
    <v>THE MARCUS CORPORATION</v>
    <v>17.37</v>
    <v>0</v>
    <v>17.329999999999998</v>
    <v>17.48</v>
    <v>17.48</v>
    <v>31428570</v>
    <v>MCS</v>
    <v>THE MARCUS CORPORATION (XNYS:MCS)</v>
    <v>126140</v>
    <v>169237</v>
    <v>1992</v>
  </rv>
  <rv s="2">
    <v>4</v>
  </rv>
  <rv s="0">
    <v>https://www.bing.com/financeapi/forcetrigger?t=a1o4sm&amp;q=XNYS%3aBAC&amp;form=skydnc</v>
    <v>Learn more on Bing</v>
  </rv>
  <rv s="3">
    <v>en-US</v>
    <v>a1o4sm</v>
    <v>268435456</v>
    <v>1</v>
    <v>Powered by Refinitiv</v>
    <v>5</v>
    <v>BANK OF AMERICA CORPORATION (XNYS:BAC)</v>
    <v>6</v>
    <v>7</v>
    <v>Finance</v>
    <v>8</v>
    <v>50.11</v>
    <v>36.51</v>
    <v>1.4023000000000001</v>
    <v>0.66</v>
    <v>-1.601E-3</v>
    <v>1.5323999999999999E-2</v>
    <v>-7.0000000000000007E-2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208000</v>
    <v>New York Stock Exchange</v>
    <v>XNYS</v>
    <v>XNYS</v>
    <v>Bank of America Corporate Center, 100 N Tryon St, CHARLOTTE, NC, 28255-0001 US</v>
    <v>44.26</v>
    <v>Banking Services</v>
    <v>Stock</v>
    <v>44645.999988147654</v>
    <v>6</v>
    <v>43.33</v>
    <v>352676100000</v>
    <v>BANK OF AMERICA CORPORATION</v>
    <v>BANK OF AMERICA CORPORATION</v>
    <v>43.48</v>
    <v>12.082800000000001</v>
    <v>43.07</v>
    <v>43.73</v>
    <v>43.66</v>
    <v>8064855000</v>
    <v>BAC</v>
    <v>BANK OF AMERICA CORPORATION (XNYS:BAC)</v>
    <v>38968128</v>
    <v>59579382</v>
    <v>1998</v>
  </rv>
  <rv s="2">
    <v>7</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1</v>
      <v>2</v>
      <v>1</v>
      <v>1</v>
      <v>1</v>
      <v>3</v>
      <v>1</v>
      <v>1</v>
      <v>1</v>
      <v>4</v>
    </spb>
    <spb s="4">
      <v>from previous close</v>
      <v>from previous close</v>
    </spb>
    <spb s="0">
      <v>1</v>
      <v>Name</v>
      <v>LearnMoreOnLink</v>
    </spb>
    <spb s="5">
      <v>1</v>
      <v>1</v>
      <v>1</v>
      <v>1</v>
    </spb>
    <spb s="6">
      <v>1</v>
      <v>5</v>
      <v>5</v>
      <v>1</v>
      <v>2</v>
      <v>1</v>
      <v>1</v>
      <v>1</v>
      <v>6</v>
      <v>6</v>
      <v>3</v>
      <v>7</v>
      <v>1</v>
      <v>1</v>
      <v>1</v>
      <v>6</v>
      <v>8</v>
      <v>9</v>
      <v>4</v>
      <v>6</v>
      <v>1</v>
      <v>1</v>
      <v>3</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14" formatCode="0.00%"/>
    </x:dxf>
    <x:dxf>
      <x:numFmt numFmtId="2" formatCode="0.00"/>
    </x:dxf>
    <x:dxf>
      <x:numFmt numFmtId="4" formatCode="#,##0.00"/>
    </x:dxf>
    <x:dxf>
      <x:numFmt numFmtId="3" formatCode="#,##0"/>
    </x:dxf>
    <x:dxf>
      <x:numFmt numFmtId="164" formatCode="_([$$-409]* #,##0_);_([$$-409]* \(#,##0\);_([$$-409]* &quot;-&quot;_);_(@_)"/>
    </x:dxf>
    <x:dxf>
      <x:numFmt numFmtId="27" formatCode="m/d/yyyy\ h:mm"/>
    </x:dxf>
    <x:dxf>
      <x:numFmt numFmtId="1" formatCode="0"/>
    </x:dxf>
  </dxfs>
  <richProperties>
    <rPr n="IsTitleField" t="b"/>
  </richProperties>
  <richStyles>
    <rSty dxfid="0"/>
    <rSty>
      <rpv i="0">1</rpv>
    </rSty>
    <rSty dxfid="1"/>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nvestopedia.com/terms/s/sharperatio.as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D7122-95C3-44F5-8A73-AC0FB875CF31}">
  <dimension ref="A1:W154"/>
  <sheetViews>
    <sheetView tabSelected="1" zoomScaleNormal="100" workbookViewId="0">
      <selection activeCell="C33" sqref="C33"/>
    </sheetView>
  </sheetViews>
  <sheetFormatPr defaultRowHeight="15" x14ac:dyDescent="0.25"/>
  <cols>
    <col min="1" max="1" width="40" bestFit="1" customWidth="1"/>
    <col min="2" max="2" width="18.7109375" customWidth="1"/>
    <col min="3" max="3" width="16.85546875" customWidth="1"/>
    <col min="4" max="4" width="17.5703125" customWidth="1"/>
    <col min="5" max="5" width="16.28515625" customWidth="1"/>
    <col min="6" max="6" width="18" bestFit="1" customWidth="1"/>
    <col min="7" max="7" width="19.7109375" customWidth="1"/>
    <col min="8" max="8" width="21.5703125" customWidth="1"/>
    <col min="9" max="9" width="24.28515625" customWidth="1"/>
    <col min="10" max="10" width="20.7109375" customWidth="1"/>
    <col min="11" max="11" width="13.5703125" customWidth="1"/>
    <col min="12" max="12" width="9.7109375" customWidth="1"/>
    <col min="13" max="13" width="19" customWidth="1"/>
    <col min="14" max="15" width="12.85546875" customWidth="1"/>
    <col min="16" max="16" width="11.7109375" customWidth="1"/>
    <col min="17" max="17" width="9.42578125" customWidth="1"/>
    <col min="18" max="18" width="11.42578125" customWidth="1"/>
    <col min="19" max="20" width="11" customWidth="1"/>
    <col min="21" max="21" width="10.140625" customWidth="1"/>
  </cols>
  <sheetData>
    <row r="1" spans="1:23" x14ac:dyDescent="0.25">
      <c r="A1" s="24" t="s">
        <v>59</v>
      </c>
      <c r="B1" s="100">
        <v>2017</v>
      </c>
      <c r="C1" s="100">
        <v>2018</v>
      </c>
      <c r="D1" s="100">
        <v>2019</v>
      </c>
      <c r="F1" s="103" t="s">
        <v>112</v>
      </c>
      <c r="G1" s="103"/>
      <c r="H1" s="103"/>
      <c r="I1" s="103"/>
      <c r="J1" s="103"/>
      <c r="K1" s="103"/>
      <c r="L1" s="14"/>
      <c r="M1" s="14"/>
      <c r="N1" s="95"/>
      <c r="O1" s="95"/>
      <c r="P1" s="95"/>
      <c r="Q1" s="95"/>
      <c r="R1" s="95"/>
      <c r="S1" s="95"/>
      <c r="T1" s="95"/>
      <c r="U1" s="95"/>
      <c r="V1" s="2"/>
      <c r="W1" s="2"/>
    </row>
    <row r="2" spans="1:23" x14ac:dyDescent="0.25">
      <c r="A2" s="30" t="s">
        <v>6</v>
      </c>
      <c r="B2" s="125">
        <v>622714000</v>
      </c>
      <c r="C2" s="125">
        <v>707120000</v>
      </c>
      <c r="D2" s="125">
        <v>820863000</v>
      </c>
      <c r="F2" s="103" t="s">
        <v>99</v>
      </c>
      <c r="G2" s="103"/>
      <c r="H2" s="103"/>
      <c r="I2" s="103"/>
      <c r="J2" s="103"/>
      <c r="K2" s="103"/>
      <c r="L2" s="14"/>
      <c r="M2" s="14"/>
      <c r="N2" s="82"/>
      <c r="O2" s="82"/>
      <c r="P2" s="82"/>
      <c r="Q2" s="82"/>
      <c r="R2" s="82"/>
      <c r="S2" s="82"/>
      <c r="T2" s="82"/>
      <c r="U2" s="82"/>
      <c r="V2" s="82"/>
      <c r="W2" s="82"/>
    </row>
    <row r="3" spans="1:23" x14ac:dyDescent="0.25">
      <c r="A3" s="30" t="s">
        <v>29</v>
      </c>
      <c r="B3" s="125">
        <v>64996000</v>
      </c>
      <c r="C3" s="125">
        <v>53391000</v>
      </c>
      <c r="D3" s="125">
        <v>42017000</v>
      </c>
      <c r="F3" s="84" t="s">
        <v>101</v>
      </c>
      <c r="G3" s="84" t="s">
        <v>102</v>
      </c>
      <c r="H3" s="84" t="s">
        <v>103</v>
      </c>
      <c r="I3" s="84" t="s">
        <v>104</v>
      </c>
      <c r="J3" s="73" t="s">
        <v>105</v>
      </c>
      <c r="K3" s="13" t="s">
        <v>106</v>
      </c>
      <c r="L3" s="14"/>
      <c r="M3" s="14"/>
      <c r="N3" s="88"/>
      <c r="O3" s="88"/>
      <c r="P3" s="79"/>
      <c r="Q3" s="89"/>
      <c r="R3" s="89"/>
      <c r="S3" s="89"/>
      <c r="T3" s="89"/>
      <c r="U3" s="92"/>
      <c r="V3" s="2"/>
      <c r="W3" s="2"/>
    </row>
    <row r="4" spans="1:23" x14ac:dyDescent="0.25">
      <c r="A4" s="30" t="s">
        <v>5</v>
      </c>
      <c r="B4" s="125">
        <v>12100000</v>
      </c>
      <c r="C4" s="125">
        <v>13079000</v>
      </c>
      <c r="D4" s="125">
        <v>11791000</v>
      </c>
      <c r="F4" s="129">
        <v>2010</v>
      </c>
      <c r="G4" s="135">
        <v>12.82</v>
      </c>
      <c r="H4" s="135">
        <v>13.27</v>
      </c>
      <c r="I4" s="134">
        <f>H4-G4</f>
        <v>0.44999999999999929</v>
      </c>
      <c r="J4" s="122">
        <f>(H4-G4)/G4</f>
        <v>3.5101404056162189E-2</v>
      </c>
      <c r="K4" s="97">
        <f>J4-$B$82</f>
        <v>1.5281404056162188E-2</v>
      </c>
      <c r="L4" s="14"/>
      <c r="M4" s="14"/>
      <c r="N4" s="88"/>
      <c r="O4" s="88"/>
      <c r="P4" s="79"/>
      <c r="Q4" s="89"/>
      <c r="R4" s="89"/>
      <c r="S4" s="89"/>
      <c r="T4" s="89"/>
      <c r="U4" s="92"/>
      <c r="V4" s="2"/>
      <c r="W4" s="2"/>
    </row>
    <row r="5" spans="1:23" x14ac:dyDescent="0.25">
      <c r="A5" s="13" t="s">
        <v>2</v>
      </c>
      <c r="B5" s="125">
        <v>68110000</v>
      </c>
      <c r="C5" s="125">
        <v>66592000</v>
      </c>
      <c r="D5" s="125">
        <v>54435000</v>
      </c>
      <c r="F5" s="130">
        <v>2011</v>
      </c>
      <c r="G5" s="135">
        <v>13.27</v>
      </c>
      <c r="H5" s="135">
        <v>12.61</v>
      </c>
      <c r="I5" s="134">
        <f>H5-G5</f>
        <v>-0.66000000000000014</v>
      </c>
      <c r="J5" s="122">
        <f>(H5-G5)/G5</f>
        <v>-4.9736247174076875E-2</v>
      </c>
      <c r="K5" s="97">
        <f>J5-$B$82</f>
        <v>-6.955624717407688E-2</v>
      </c>
      <c r="L5" s="14"/>
      <c r="M5" s="14"/>
      <c r="N5" s="88"/>
      <c r="O5" s="88"/>
      <c r="P5" s="79"/>
      <c r="Q5" s="89"/>
      <c r="R5" s="89"/>
      <c r="S5" s="89"/>
      <c r="T5" s="89"/>
      <c r="U5" s="92"/>
      <c r="V5" s="2"/>
      <c r="W5" s="2"/>
    </row>
    <row r="6" spans="1:23" x14ac:dyDescent="0.25">
      <c r="A6" s="13" t="s">
        <v>3</v>
      </c>
      <c r="B6" s="125">
        <v>3625000</v>
      </c>
      <c r="C6" s="125">
        <v>13127000</v>
      </c>
      <c r="D6" s="125">
        <v>13320000</v>
      </c>
      <c r="F6" s="131">
        <v>2012</v>
      </c>
      <c r="G6" s="135">
        <v>12.61</v>
      </c>
      <c r="H6" s="135">
        <v>12.47</v>
      </c>
      <c r="I6" s="134">
        <f>H6-G6</f>
        <v>-0.13999999999999879</v>
      </c>
      <c r="J6" s="122">
        <f>(H6-G6)/G6</f>
        <v>-1.1102299762093482E-2</v>
      </c>
      <c r="K6" s="97">
        <f>J6-$B$82</f>
        <v>-3.0922299762093482E-2</v>
      </c>
      <c r="L6" s="14"/>
      <c r="M6" s="14"/>
      <c r="N6" s="88"/>
      <c r="O6" s="88"/>
      <c r="P6" s="79"/>
      <c r="Q6" s="89"/>
      <c r="R6" s="89"/>
      <c r="S6" s="89"/>
      <c r="T6" s="89"/>
      <c r="U6" s="92"/>
      <c r="V6" s="2"/>
      <c r="W6" s="2"/>
    </row>
    <row r="7" spans="1:23" x14ac:dyDescent="0.25">
      <c r="A7" s="14"/>
      <c r="F7" s="131">
        <v>2013</v>
      </c>
      <c r="G7" s="135">
        <v>12.47</v>
      </c>
      <c r="H7" s="135">
        <v>13.44</v>
      </c>
      <c r="I7" s="134">
        <f>H7-G7</f>
        <v>0.96999999999999886</v>
      </c>
      <c r="J7" s="122">
        <f>(H7-G7)/G7</f>
        <v>7.7786688051323077E-2</v>
      </c>
      <c r="K7" s="97">
        <f>J7-$B$82</f>
        <v>5.7966688051323073E-2</v>
      </c>
      <c r="L7" s="14"/>
      <c r="M7" s="14"/>
      <c r="N7" s="88"/>
      <c r="O7" s="88"/>
      <c r="P7" s="79"/>
      <c r="Q7" s="89"/>
      <c r="R7" s="89"/>
      <c r="S7" s="89"/>
      <c r="T7" s="89"/>
      <c r="U7" s="92"/>
      <c r="V7" s="2"/>
      <c r="W7" s="2"/>
    </row>
    <row r="8" spans="1:23" ht="15.75" thickBot="1" x14ac:dyDescent="0.3">
      <c r="A8" s="26" t="s">
        <v>61</v>
      </c>
      <c r="F8" s="131">
        <v>2014</v>
      </c>
      <c r="G8" s="135">
        <v>13.44</v>
      </c>
      <c r="H8" s="135">
        <v>18.510000000000002</v>
      </c>
      <c r="I8" s="134">
        <f t="shared" ref="I8:I14" si="0">H8-G8</f>
        <v>5.0700000000000021</v>
      </c>
      <c r="J8" s="122">
        <f>(H8-G8)/G8</f>
        <v>0.37723214285714302</v>
      </c>
      <c r="K8" s="97">
        <f>J8-$B$82</f>
        <v>0.35741214285714301</v>
      </c>
      <c r="L8" s="14"/>
      <c r="M8" s="14"/>
      <c r="N8" s="14"/>
      <c r="O8" s="14"/>
      <c r="P8" s="82"/>
      <c r="Q8" s="90"/>
      <c r="R8" s="90"/>
      <c r="S8" s="90"/>
      <c r="T8" s="90"/>
      <c r="U8" s="91"/>
      <c r="V8" s="2"/>
      <c r="W8" s="2"/>
    </row>
    <row r="9" spans="1:23" x14ac:dyDescent="0.25">
      <c r="A9" s="23" t="s">
        <v>41</v>
      </c>
      <c r="B9" s="137">
        <v>12016000</v>
      </c>
      <c r="C9" s="125">
        <v>9957000</v>
      </c>
      <c r="D9" s="125">
        <v>9910000</v>
      </c>
      <c r="F9" s="131">
        <v>2015</v>
      </c>
      <c r="G9" s="135">
        <v>18.510000000000002</v>
      </c>
      <c r="H9" s="135">
        <v>18.97</v>
      </c>
      <c r="I9" s="134">
        <f t="shared" si="0"/>
        <v>0.4599999999999973</v>
      </c>
      <c r="J9" s="122">
        <f>(H9-G9)/G9</f>
        <v>2.4851431658562791E-2</v>
      </c>
      <c r="K9" s="97">
        <f>J9-$B$82</f>
        <v>5.0314316585627905E-3</v>
      </c>
      <c r="L9" s="95"/>
      <c r="M9" s="95"/>
      <c r="N9" s="14"/>
      <c r="O9" s="14"/>
      <c r="P9" s="82"/>
      <c r="Q9" s="90"/>
      <c r="R9" s="90"/>
      <c r="S9" s="90"/>
      <c r="T9" s="90"/>
      <c r="U9" s="91"/>
      <c r="V9" s="2"/>
      <c r="W9" s="2"/>
    </row>
    <row r="10" spans="1:23" x14ac:dyDescent="0.25">
      <c r="A10" s="30" t="s">
        <v>42</v>
      </c>
      <c r="B10" s="137">
        <v>289813000</v>
      </c>
      <c r="C10" s="125">
        <v>228863000</v>
      </c>
      <c r="D10" s="125">
        <v>206432000</v>
      </c>
      <c r="F10" s="131">
        <v>2016</v>
      </c>
      <c r="G10" s="135">
        <v>18.97</v>
      </c>
      <c r="H10" s="135">
        <v>31.5</v>
      </c>
      <c r="I10" s="134">
        <f t="shared" si="0"/>
        <v>12.530000000000001</v>
      </c>
      <c r="J10" s="122">
        <f>(H10-G10)/G10</f>
        <v>0.66051660516605171</v>
      </c>
      <c r="K10" s="97">
        <f>J10-$B$82</f>
        <v>0.64069660516605176</v>
      </c>
      <c r="L10" s="82"/>
      <c r="M10" s="82"/>
      <c r="N10" s="14"/>
      <c r="O10" s="14"/>
      <c r="P10" s="82"/>
      <c r="Q10" s="82"/>
      <c r="R10" s="82"/>
      <c r="S10" s="82"/>
      <c r="T10" s="82"/>
      <c r="U10" s="82"/>
      <c r="V10" s="2"/>
      <c r="W10" s="2"/>
    </row>
    <row r="11" spans="1:23" x14ac:dyDescent="0.25">
      <c r="A11" s="13" t="s">
        <v>64</v>
      </c>
      <c r="B11" s="79"/>
      <c r="C11" s="79"/>
      <c r="D11" s="125">
        <v>485161000</v>
      </c>
      <c r="F11" s="131">
        <v>2017</v>
      </c>
      <c r="G11" s="135">
        <v>31.5</v>
      </c>
      <c r="H11" s="135">
        <v>27.35</v>
      </c>
      <c r="I11" s="134">
        <f t="shared" si="0"/>
        <v>-4.1499999999999986</v>
      </c>
      <c r="J11" s="122">
        <f>(H11-G11)/G11</f>
        <v>-0.13174603174603169</v>
      </c>
      <c r="K11" s="97">
        <f>J11-$B$82</f>
        <v>-0.1515660317460317</v>
      </c>
      <c r="L11" s="38"/>
      <c r="M11" s="79"/>
      <c r="N11" s="14"/>
      <c r="O11" s="14"/>
      <c r="P11" s="82"/>
      <c r="Q11" s="93"/>
      <c r="R11" s="93"/>
      <c r="S11" s="94"/>
      <c r="T11" s="93"/>
      <c r="U11" s="94"/>
      <c r="V11" s="2"/>
      <c r="W11" s="2"/>
    </row>
    <row r="12" spans="1:23" x14ac:dyDescent="0.25">
      <c r="F12" s="131">
        <v>2018</v>
      </c>
      <c r="G12" s="135">
        <v>27.35</v>
      </c>
      <c r="H12" s="135">
        <v>39.5</v>
      </c>
      <c r="I12" s="134">
        <f t="shared" si="0"/>
        <v>12.149999999999999</v>
      </c>
      <c r="J12" s="122">
        <f>(H12-G12)/G12</f>
        <v>0.44424131627056668</v>
      </c>
      <c r="K12" s="97">
        <f>J12-$B$82</f>
        <v>0.42442131627056667</v>
      </c>
      <c r="L12" s="88"/>
      <c r="M12" s="79"/>
      <c r="N12" s="14"/>
      <c r="O12" s="14"/>
      <c r="P12" s="82"/>
      <c r="Q12" s="14"/>
      <c r="R12" s="14"/>
      <c r="S12" s="16"/>
      <c r="T12" s="14"/>
      <c r="U12" s="16"/>
      <c r="V12" s="2"/>
      <c r="W12" s="2"/>
    </row>
    <row r="13" spans="1:23" ht="15.75" thickBot="1" x14ac:dyDescent="0.3">
      <c r="A13" s="26" t="s">
        <v>58</v>
      </c>
      <c r="F13" s="132">
        <v>2019</v>
      </c>
      <c r="G13" s="135">
        <v>39.5</v>
      </c>
      <c r="H13" s="135">
        <v>31.77</v>
      </c>
      <c r="I13" s="134">
        <f t="shared" si="0"/>
        <v>-7.73</v>
      </c>
      <c r="J13" s="122">
        <f>(H13-G13)/G13</f>
        <v>-0.19569620253164557</v>
      </c>
      <c r="K13" s="97">
        <f>J13-$B$82</f>
        <v>-0.21551620253164558</v>
      </c>
      <c r="L13" s="88"/>
      <c r="M13" s="79"/>
      <c r="N13" s="2"/>
      <c r="O13" s="2"/>
      <c r="P13" s="2"/>
      <c r="Q13" s="2"/>
      <c r="R13" s="2"/>
      <c r="S13" s="2"/>
      <c r="T13" s="2"/>
      <c r="U13" s="2"/>
      <c r="V13" s="2"/>
      <c r="W13" s="2"/>
    </row>
    <row r="14" spans="1:23" x14ac:dyDescent="0.25">
      <c r="A14" s="23" t="s">
        <v>25</v>
      </c>
      <c r="B14" s="125">
        <v>109036000</v>
      </c>
      <c r="C14" s="125">
        <v>137389000</v>
      </c>
      <c r="D14" s="125">
        <v>141479000</v>
      </c>
      <c r="F14" s="133">
        <v>2020</v>
      </c>
      <c r="G14" s="135">
        <v>31.77</v>
      </c>
      <c r="H14" s="135">
        <v>13.48</v>
      </c>
      <c r="I14" s="134">
        <f t="shared" si="0"/>
        <v>-18.29</v>
      </c>
      <c r="J14" s="122">
        <f>(H14-G14)/G14</f>
        <v>-0.5757003462385899</v>
      </c>
      <c r="K14" s="97">
        <f>J14-$B$82</f>
        <v>-0.59552034623858985</v>
      </c>
      <c r="L14" s="88"/>
      <c r="M14" s="79"/>
    </row>
    <row r="15" spans="1:23" x14ac:dyDescent="0.25">
      <c r="A15" s="30" t="s">
        <v>26</v>
      </c>
      <c r="B15" s="125">
        <v>-114804000</v>
      </c>
      <c r="C15" s="125">
        <v>-58660000</v>
      </c>
      <c r="D15" s="125">
        <v>-64086000</v>
      </c>
      <c r="G15" s="79"/>
      <c r="H15" s="79"/>
      <c r="J15" s="96" t="s">
        <v>100</v>
      </c>
      <c r="K15" s="121">
        <f>STDEV(K4:K14)</f>
        <v>0.3368126333003143</v>
      </c>
      <c r="L15" s="14"/>
      <c r="M15" s="14"/>
    </row>
    <row r="16" spans="1:23" x14ac:dyDescent="0.25">
      <c r="H16" s="14"/>
      <c r="I16" s="14"/>
      <c r="J16" s="98" t="s">
        <v>107</v>
      </c>
      <c r="K16" s="3">
        <f>AVERAGE(K4:K14)</f>
        <v>3.9793496418852013E-2</v>
      </c>
      <c r="L16" s="14"/>
      <c r="M16" s="14"/>
    </row>
    <row r="17" spans="1:13" ht="15.75" thickBot="1" x14ac:dyDescent="0.3">
      <c r="A17" s="26" t="s">
        <v>60</v>
      </c>
      <c r="B17" s="8"/>
      <c r="H17" s="95"/>
      <c r="I17" s="95"/>
      <c r="J17" s="98" t="s">
        <v>108</v>
      </c>
      <c r="K17" s="123">
        <f>(K16-B82)/K15</f>
        <v>5.9301506072199264E-2</v>
      </c>
      <c r="L17" s="14"/>
      <c r="M17" s="14"/>
    </row>
    <row r="18" spans="1:13" x14ac:dyDescent="0.25">
      <c r="A18" s="23" t="s">
        <v>47</v>
      </c>
      <c r="B18" s="126">
        <v>0.5</v>
      </c>
      <c r="D18" s="149" t="s">
        <v>114</v>
      </c>
      <c r="E18" s="149"/>
      <c r="H18" s="89"/>
      <c r="I18" s="89"/>
      <c r="J18" s="89"/>
      <c r="K18" s="92"/>
      <c r="L18" s="14"/>
      <c r="M18" s="14"/>
    </row>
    <row r="19" spans="1:13" x14ac:dyDescent="0.25">
      <c r="A19" s="30" t="s">
        <v>57</v>
      </c>
      <c r="B19" s="127">
        <v>31064292</v>
      </c>
      <c r="C19" s="8"/>
      <c r="D19" s="149"/>
      <c r="E19" s="149"/>
      <c r="F19" s="14"/>
      <c r="G19" s="89"/>
      <c r="H19" s="89"/>
      <c r="I19" s="89"/>
      <c r="J19" s="89"/>
      <c r="K19" s="92"/>
      <c r="L19" s="14"/>
      <c r="M19" s="14"/>
    </row>
    <row r="20" spans="1:13" x14ac:dyDescent="0.25">
      <c r="A20" s="30" t="s">
        <v>51</v>
      </c>
      <c r="B20" s="128">
        <v>1000000000</v>
      </c>
      <c r="D20" s="149"/>
      <c r="E20" s="149"/>
      <c r="F20" s="14"/>
      <c r="G20" s="89"/>
      <c r="H20" s="89"/>
      <c r="I20" s="89"/>
      <c r="J20" s="89"/>
      <c r="K20" s="92"/>
      <c r="L20" s="14"/>
      <c r="M20" s="14"/>
    </row>
    <row r="21" spans="1:13" x14ac:dyDescent="0.25">
      <c r="A21" s="28"/>
      <c r="D21" s="149"/>
      <c r="E21" s="149"/>
      <c r="F21" s="14"/>
      <c r="G21" s="89"/>
      <c r="H21" s="89"/>
      <c r="I21" s="89"/>
      <c r="J21" s="89"/>
      <c r="K21" s="92"/>
      <c r="L21" s="14"/>
      <c r="M21" s="14"/>
    </row>
    <row r="22" spans="1:13" ht="15.75" customHeight="1" thickBot="1" x14ac:dyDescent="0.3">
      <c r="A22" s="26" t="s">
        <v>109</v>
      </c>
      <c r="B22" s="24" t="s">
        <v>0</v>
      </c>
      <c r="D22" s="151" t="s">
        <v>116</v>
      </c>
      <c r="E22" s="151"/>
      <c r="F22" s="14"/>
      <c r="H22" s="89"/>
      <c r="I22" s="89"/>
      <c r="J22" s="89"/>
      <c r="K22" s="92"/>
      <c r="L22" s="14"/>
      <c r="M22" s="14"/>
    </row>
    <row r="23" spans="1:13" x14ac:dyDescent="0.25">
      <c r="A23" s="138" t="e" vm="1">
        <v>#VALUE!</v>
      </c>
      <c r="B23" s="117" cm="1">
        <f t="array" ref="B23">_FV(A23,"Price")/10</f>
        <v>1.982</v>
      </c>
      <c r="D23" s="151"/>
      <c r="E23" s="151"/>
      <c r="F23" s="14"/>
      <c r="H23" s="89"/>
      <c r="I23" s="89"/>
      <c r="J23" s="89"/>
      <c r="K23" s="92"/>
      <c r="L23" s="14"/>
      <c r="M23" s="14"/>
    </row>
    <row r="24" spans="1:13" x14ac:dyDescent="0.25">
      <c r="A24" s="28"/>
      <c r="D24" s="151"/>
      <c r="E24" s="151"/>
      <c r="F24" s="14"/>
      <c r="H24" s="89"/>
      <c r="I24" s="89"/>
      <c r="J24" s="89"/>
      <c r="K24" s="92"/>
      <c r="L24" s="14"/>
      <c r="M24" s="14"/>
    </row>
    <row r="25" spans="1:13" ht="15.75" thickBot="1" x14ac:dyDescent="0.3">
      <c r="A25" s="109" t="s">
        <v>110</v>
      </c>
      <c r="B25" s="13" t="s">
        <v>0</v>
      </c>
      <c r="D25" s="151"/>
      <c r="E25" s="151"/>
      <c r="F25" s="14"/>
      <c r="H25" s="89"/>
      <c r="I25" s="89"/>
      <c r="J25" s="89"/>
      <c r="K25" s="92"/>
      <c r="L25" s="14"/>
      <c r="M25" s="14"/>
    </row>
    <row r="26" spans="1:13" x14ac:dyDescent="0.25">
      <c r="A26" s="138" t="e" vm="2">
        <v>#VALUE!</v>
      </c>
      <c r="B26" s="136" cm="1">
        <f t="array" ref="B26">_FV(A26,"Price")</f>
        <v>17.48</v>
      </c>
      <c r="D26" s="152" t="s">
        <v>117</v>
      </c>
      <c r="E26" s="152"/>
      <c r="F26" s="14"/>
      <c r="G26" s="89"/>
      <c r="H26" s="89"/>
      <c r="I26" s="89"/>
      <c r="J26" s="89"/>
      <c r="K26" s="92"/>
      <c r="L26" s="14"/>
      <c r="M26" s="14"/>
    </row>
    <row r="27" spans="1:13" x14ac:dyDescent="0.25">
      <c r="D27" s="89"/>
      <c r="E27" s="150"/>
      <c r="F27" s="82"/>
      <c r="G27" s="90"/>
      <c r="H27" s="90"/>
      <c r="I27" s="90"/>
      <c r="J27" s="90"/>
      <c r="K27" s="91"/>
      <c r="L27" s="14"/>
      <c r="M27" s="14"/>
    </row>
    <row r="28" spans="1:13" ht="15.75" thickBot="1" x14ac:dyDescent="0.3">
      <c r="A28" s="26" t="s">
        <v>63</v>
      </c>
      <c r="D28" s="89"/>
      <c r="E28" s="150"/>
      <c r="F28" s="82"/>
      <c r="G28" s="90"/>
      <c r="H28" s="90"/>
      <c r="I28" s="90"/>
      <c r="J28" s="90"/>
      <c r="K28" s="91"/>
      <c r="L28" s="14"/>
      <c r="M28" s="14"/>
    </row>
    <row r="29" spans="1:13" x14ac:dyDescent="0.25">
      <c r="A29" s="23" t="s">
        <v>13</v>
      </c>
      <c r="B29" s="119">
        <v>0.02</v>
      </c>
      <c r="D29" s="89"/>
      <c r="F29" s="82"/>
      <c r="G29" s="82"/>
      <c r="H29" s="82"/>
      <c r="I29" s="82"/>
      <c r="J29" s="82"/>
      <c r="K29" s="82"/>
      <c r="L29" s="14"/>
      <c r="M29" s="14"/>
    </row>
    <row r="30" spans="1:13" x14ac:dyDescent="0.25">
      <c r="A30" s="30" t="s">
        <v>62</v>
      </c>
      <c r="B30" s="120">
        <v>0.1</v>
      </c>
      <c r="F30" s="82"/>
      <c r="G30" s="93"/>
      <c r="H30" s="93"/>
      <c r="I30" s="94"/>
      <c r="J30" s="93"/>
      <c r="K30" s="94"/>
      <c r="L30" s="14"/>
      <c r="M30" s="14"/>
    </row>
    <row r="31" spans="1:13" x14ac:dyDescent="0.25">
      <c r="F31" s="82"/>
      <c r="G31" s="14"/>
      <c r="H31" s="14"/>
      <c r="I31" s="16"/>
      <c r="J31" s="14"/>
      <c r="K31" s="16"/>
      <c r="L31" s="14"/>
      <c r="M31" s="14"/>
    </row>
    <row r="32" spans="1:13" x14ac:dyDescent="0.25">
      <c r="A32" s="24" t="s">
        <v>65</v>
      </c>
      <c r="B32" s="110">
        <f>B48</f>
        <v>97.528186921412896</v>
      </c>
    </row>
    <row r="33" spans="1:9" x14ac:dyDescent="0.25">
      <c r="A33" s="77" t="s">
        <v>94</v>
      </c>
      <c r="B33" s="110">
        <f>B107</f>
        <v>69.24282555013248</v>
      </c>
    </row>
    <row r="34" spans="1:9" x14ac:dyDescent="0.25">
      <c r="A34" s="77" t="s">
        <v>97</v>
      </c>
      <c r="B34" s="80">
        <f>AVERAGE(B32:B33)</f>
        <v>83.385506235772681</v>
      </c>
    </row>
    <row r="35" spans="1:9" x14ac:dyDescent="0.25">
      <c r="A35" s="77" t="s">
        <v>98</v>
      </c>
      <c r="B35" s="124">
        <f>K17</f>
        <v>5.9301506072199264E-2</v>
      </c>
    </row>
    <row r="37" spans="1:9" ht="15.75" thickBot="1" x14ac:dyDescent="0.3">
      <c r="A37" s="12" t="s">
        <v>8</v>
      </c>
      <c r="B37" s="104" t="s">
        <v>24</v>
      </c>
      <c r="C37" s="105"/>
      <c r="D37" s="106"/>
      <c r="E37" s="107" t="s">
        <v>23</v>
      </c>
      <c r="F37" s="107"/>
      <c r="G37" s="107"/>
      <c r="H37" s="107"/>
      <c r="I37" s="107"/>
    </row>
    <row r="38" spans="1:9" x14ac:dyDescent="0.25">
      <c r="A38" s="22"/>
      <c r="B38" s="73" t="s">
        <v>17</v>
      </c>
      <c r="C38" s="74" t="s">
        <v>18</v>
      </c>
      <c r="D38" s="74" t="s">
        <v>19</v>
      </c>
      <c r="E38" s="74" t="s">
        <v>20</v>
      </c>
      <c r="F38" s="74" t="s">
        <v>21</v>
      </c>
      <c r="G38" s="74" t="s">
        <v>22</v>
      </c>
      <c r="H38" s="74" t="s">
        <v>56</v>
      </c>
      <c r="I38" s="75" t="s">
        <v>55</v>
      </c>
    </row>
    <row r="39" spans="1:9" x14ac:dyDescent="0.25">
      <c r="A39" s="22" t="s">
        <v>6</v>
      </c>
      <c r="B39" s="71">
        <f t="shared" ref="B39:H39" si="1">B62</f>
        <v>622714000</v>
      </c>
      <c r="C39" s="71">
        <f t="shared" si="1"/>
        <v>707120000</v>
      </c>
      <c r="D39" s="71">
        <f t="shared" si="1"/>
        <v>820863000</v>
      </c>
      <c r="E39" s="72">
        <f t="shared" si="1"/>
        <v>926726016.55871701</v>
      </c>
      <c r="F39" s="72">
        <f t="shared" si="1"/>
        <v>1046241711.1829714</v>
      </c>
      <c r="G39" s="72">
        <f t="shared" si="1"/>
        <v>1181170808.4810386</v>
      </c>
      <c r="H39" s="72">
        <f t="shared" si="1"/>
        <v>1333501105.8106799</v>
      </c>
      <c r="I39" s="7"/>
    </row>
    <row r="40" spans="1:9" x14ac:dyDescent="0.25">
      <c r="A40" s="22" t="s">
        <v>29</v>
      </c>
      <c r="B40" s="69">
        <f>B56</f>
        <v>64996000</v>
      </c>
      <c r="C40" s="69">
        <f>C56</f>
        <v>53391000</v>
      </c>
      <c r="D40" s="69">
        <f>D56</f>
        <v>42017000</v>
      </c>
      <c r="E40" s="33">
        <f>E68</f>
        <v>71378477.055400327</v>
      </c>
      <c r="F40" s="33">
        <f>F68</f>
        <v>80583838.849575296</v>
      </c>
      <c r="G40" s="33">
        <f>G68</f>
        <v>90976374.834870741</v>
      </c>
      <c r="H40" s="34">
        <f>H68</f>
        <v>102709189.53792834</v>
      </c>
      <c r="I40" s="7"/>
    </row>
    <row r="41" spans="1:9" x14ac:dyDescent="0.25">
      <c r="A41" s="22" t="s">
        <v>9</v>
      </c>
      <c r="B41" s="70">
        <f>B53</f>
        <v>-5768000</v>
      </c>
      <c r="C41" s="70">
        <f>C53</f>
        <v>78729000</v>
      </c>
      <c r="D41" s="70">
        <f>D53</f>
        <v>77393000</v>
      </c>
      <c r="E41" s="64">
        <f>E57</f>
        <v>76797896.74860771</v>
      </c>
      <c r="F41" s="64">
        <f>F57</f>
        <v>86702176.774839237</v>
      </c>
      <c r="G41" s="64">
        <f>G57</f>
        <v>97883767.339393392</v>
      </c>
      <c r="H41" s="64">
        <f>H57</f>
        <v>110507397.4490217</v>
      </c>
      <c r="I41" s="58">
        <f>(H41*(1+B45))/(B44-B45)</f>
        <v>3336156971.694562</v>
      </c>
    </row>
    <row r="42" spans="1:9" x14ac:dyDescent="0.25">
      <c r="A42" s="22" t="s">
        <v>10</v>
      </c>
      <c r="B42" s="4"/>
      <c r="C42" s="4"/>
      <c r="D42" s="4"/>
      <c r="E42" s="65">
        <f>(1+B44)^1</f>
        <v>1.0537866432408152</v>
      </c>
      <c r="F42" s="66">
        <f>(1+B44)^2</f>
        <v>1.1104662894727451</v>
      </c>
      <c r="G42" s="67">
        <f>(1+B44)^3</f>
        <v>1.1701945436155674</v>
      </c>
      <c r="H42" s="68">
        <f>(1+B44)^4</f>
        <v>1.2331353800553664</v>
      </c>
      <c r="I42" s="68">
        <f>H42</f>
        <v>1.2331353800553664</v>
      </c>
    </row>
    <row r="43" spans="1:9" x14ac:dyDescent="0.25">
      <c r="A43" s="22" t="s">
        <v>11</v>
      </c>
      <c r="E43" s="33">
        <f>E41/E42</f>
        <v>72878032.039221406</v>
      </c>
      <c r="F43" s="33">
        <f>F41/F42</f>
        <v>78077270.41944322</v>
      </c>
      <c r="G43" s="33">
        <f>G41/G42</f>
        <v>83647430.996354222</v>
      </c>
      <c r="H43" s="33">
        <f>H41/H42</f>
        <v>89614975.968056351</v>
      </c>
      <c r="I43" s="33">
        <f>I41/I42</f>
        <v>2705426367.3342762</v>
      </c>
    </row>
    <row r="44" spans="1:9" ht="15.75" thickBot="1" x14ac:dyDescent="0.3">
      <c r="A44" s="22" t="s">
        <v>12</v>
      </c>
      <c r="B44" s="46">
        <f>B94</f>
        <v>5.3786643240815071E-2</v>
      </c>
      <c r="C44" s="4"/>
      <c r="D44" s="4"/>
      <c r="E44" s="4"/>
      <c r="G44" s="6"/>
      <c r="H44" s="5"/>
      <c r="I44" s="5"/>
    </row>
    <row r="45" spans="1:9" x14ac:dyDescent="0.25">
      <c r="A45" s="22" t="s">
        <v>13</v>
      </c>
      <c r="B45" s="46">
        <f>B29</f>
        <v>0.02</v>
      </c>
    </row>
    <row r="46" spans="1:9" x14ac:dyDescent="0.25">
      <c r="A46" s="22" t="s">
        <v>14</v>
      </c>
      <c r="B46" s="40">
        <f>SUM(E43:I43)</f>
        <v>3029644076.7573514</v>
      </c>
      <c r="C46" s="4"/>
      <c r="D46" s="4"/>
      <c r="E46" s="4"/>
    </row>
    <row r="47" spans="1:9" x14ac:dyDescent="0.25">
      <c r="A47" s="22" t="s">
        <v>15</v>
      </c>
      <c r="B47" s="76">
        <f>B19</f>
        <v>31064292</v>
      </c>
      <c r="G47" s="6"/>
    </row>
    <row r="48" spans="1:9" ht="15.75" thickBot="1" x14ac:dyDescent="0.3">
      <c r="A48" s="23" t="s">
        <v>16</v>
      </c>
      <c r="B48" s="96">
        <f>B46/B47</f>
        <v>97.528186921412896</v>
      </c>
      <c r="C48" s="4"/>
      <c r="D48" s="4"/>
      <c r="E48" s="4"/>
      <c r="G48" s="5"/>
    </row>
    <row r="49" spans="1:8" ht="15.75" thickBot="1" x14ac:dyDescent="0.3">
      <c r="G49" s="5"/>
    </row>
    <row r="50" spans="1:8" ht="15.75" thickBot="1" x14ac:dyDescent="0.3">
      <c r="A50" s="19" t="s">
        <v>28</v>
      </c>
      <c r="B50" s="4"/>
      <c r="C50" s="4"/>
      <c r="D50" s="4"/>
      <c r="E50" s="4"/>
      <c r="G50" s="5"/>
    </row>
    <row r="51" spans="1:8" x14ac:dyDescent="0.25">
      <c r="A51" s="21" t="s">
        <v>25</v>
      </c>
      <c r="B51" s="40">
        <f>B14</f>
        <v>109036000</v>
      </c>
      <c r="C51" s="40">
        <f>C14</f>
        <v>137389000</v>
      </c>
      <c r="D51" s="40">
        <f>D14</f>
        <v>141479000</v>
      </c>
      <c r="G51" s="6"/>
    </row>
    <row r="52" spans="1:8" ht="15.75" thickBot="1" x14ac:dyDescent="0.3">
      <c r="A52" s="22" t="s">
        <v>26</v>
      </c>
      <c r="B52" s="40">
        <f>B15</f>
        <v>-114804000</v>
      </c>
      <c r="C52" s="40">
        <f>C15</f>
        <v>-58660000</v>
      </c>
      <c r="D52" s="40">
        <f>D15</f>
        <v>-64086000</v>
      </c>
      <c r="E52" s="4"/>
      <c r="G52" s="5"/>
    </row>
    <row r="53" spans="1:8" ht="15.75" thickBot="1" x14ac:dyDescent="0.3">
      <c r="A53" s="23" t="s">
        <v>27</v>
      </c>
      <c r="B53" s="41">
        <f>SUM(B51:B52)</f>
        <v>-5768000</v>
      </c>
      <c r="C53" s="41">
        <f>SUM(C51:C52)</f>
        <v>78729000</v>
      </c>
      <c r="D53" s="41">
        <f>SUM(D51:D52)</f>
        <v>77393000</v>
      </c>
      <c r="G53" s="5"/>
    </row>
    <row r="54" spans="1:8" ht="15.75" thickBot="1" x14ac:dyDescent="0.3">
      <c r="B54" s="4"/>
      <c r="C54" s="4"/>
      <c r="D54" s="4"/>
      <c r="E54" s="4"/>
      <c r="G54" s="5"/>
    </row>
    <row r="55" spans="1:8" ht="15.75" thickBot="1" x14ac:dyDescent="0.3">
      <c r="A55" s="12" t="s">
        <v>37</v>
      </c>
      <c r="G55" s="6"/>
    </row>
    <row r="56" spans="1:8" x14ac:dyDescent="0.25">
      <c r="A56" s="42" t="s">
        <v>29</v>
      </c>
      <c r="B56" s="40">
        <f>B3</f>
        <v>64996000</v>
      </c>
      <c r="C56" s="40">
        <f>C3</f>
        <v>53391000</v>
      </c>
      <c r="D56" s="40">
        <f>D3</f>
        <v>42017000</v>
      </c>
      <c r="E56" s="43">
        <f>E68</f>
        <v>71378477.055400327</v>
      </c>
      <c r="F56" s="33">
        <f>F68</f>
        <v>80583838.849575296</v>
      </c>
      <c r="G56" s="18">
        <f>G68</f>
        <v>90976374.834870741</v>
      </c>
      <c r="H56" s="33">
        <f>H68</f>
        <v>102709189.53792834</v>
      </c>
    </row>
    <row r="57" spans="1:8" x14ac:dyDescent="0.25">
      <c r="A57" s="42" t="s">
        <v>30</v>
      </c>
      <c r="B57" s="45">
        <f>B53</f>
        <v>-5768000</v>
      </c>
      <c r="C57" s="45">
        <f>C53</f>
        <v>78729000</v>
      </c>
      <c r="D57" s="45">
        <f>D53</f>
        <v>77393000</v>
      </c>
      <c r="E57" s="44">
        <f>E56*$B$59</f>
        <v>76797896.74860771</v>
      </c>
      <c r="F57" s="33">
        <f>F56*$B$59</f>
        <v>86702176.774839237</v>
      </c>
      <c r="G57" s="18">
        <f>G56*$B$59</f>
        <v>97883767.339393392</v>
      </c>
      <c r="H57" s="18">
        <f>H56*$B$59</f>
        <v>110507397.4490217</v>
      </c>
    </row>
    <row r="58" spans="1:8" ht="15.75" thickBot="1" x14ac:dyDescent="0.3">
      <c r="A58" s="42" t="s">
        <v>38</v>
      </c>
      <c r="B58" s="46">
        <f>B57/B56</f>
        <v>-8.874392270293556E-2</v>
      </c>
      <c r="C58" s="46">
        <f>C57/C56</f>
        <v>1.4745743664662583</v>
      </c>
      <c r="D58" s="46">
        <f>D57/D56</f>
        <v>1.8419449270533355</v>
      </c>
      <c r="E58" s="31"/>
      <c r="F58" s="7"/>
      <c r="G58" s="5"/>
      <c r="H58" s="7"/>
    </row>
    <row r="59" spans="1:8" x14ac:dyDescent="0.25">
      <c r="A59" s="39" t="s">
        <v>39</v>
      </c>
      <c r="B59" s="47">
        <f>AVERAGE(B58:D58)</f>
        <v>1.0759251236055527</v>
      </c>
      <c r="C59" s="48"/>
      <c r="D59" s="48"/>
      <c r="E59" s="31"/>
      <c r="F59" s="7"/>
      <c r="G59" s="11"/>
      <c r="H59" s="7"/>
    </row>
    <row r="60" spans="1:8" x14ac:dyDescent="0.25">
      <c r="A60" s="9"/>
      <c r="B60" s="10"/>
      <c r="C60" s="10"/>
      <c r="D60" s="10"/>
      <c r="E60" s="4"/>
      <c r="G60" s="11"/>
    </row>
    <row r="61" spans="1:8" ht="15.75" thickBot="1" x14ac:dyDescent="0.3">
      <c r="A61" s="12" t="s">
        <v>33</v>
      </c>
      <c r="G61" s="6"/>
    </row>
    <row r="62" spans="1:8" x14ac:dyDescent="0.25">
      <c r="A62" s="20" t="s">
        <v>6</v>
      </c>
      <c r="B62" s="40">
        <f>B2</f>
        <v>622714000</v>
      </c>
      <c r="C62" s="40">
        <f>C2</f>
        <v>707120000</v>
      </c>
      <c r="D62" s="40">
        <f>D2</f>
        <v>820863000</v>
      </c>
      <c r="E62" s="57">
        <f>D62*(1+$B$64)</f>
        <v>926726016.55871701</v>
      </c>
      <c r="F62" s="58">
        <f>E62*(1+$B$64)</f>
        <v>1046241711.1829714</v>
      </c>
      <c r="G62" s="59">
        <f>F62*(1+$B$64)</f>
        <v>1181170808.4810386</v>
      </c>
      <c r="H62" s="58">
        <f>G62*(1+$B$64)</f>
        <v>1333501105.8106799</v>
      </c>
    </row>
    <row r="63" spans="1:8" x14ac:dyDescent="0.25">
      <c r="A63" s="20" t="s">
        <v>32</v>
      </c>
      <c r="B63" s="49" t="s">
        <v>4</v>
      </c>
      <c r="C63" s="46">
        <f>1-(B62/C62)</f>
        <v>0.11936587849304225</v>
      </c>
      <c r="D63" s="56">
        <f>1-(C62/D62)</f>
        <v>0.13856514424453292</v>
      </c>
      <c r="E63" s="16"/>
      <c r="F63" s="16"/>
      <c r="G63" s="15"/>
      <c r="H63" s="60"/>
    </row>
    <row r="64" spans="1:8" x14ac:dyDescent="0.25">
      <c r="A64" s="37" t="s">
        <v>34</v>
      </c>
      <c r="B64" s="47">
        <f>AVERAGE(C63:D63)</f>
        <v>0.12896551136878759</v>
      </c>
      <c r="C64" s="31"/>
      <c r="D64" s="31"/>
      <c r="E64" s="61"/>
      <c r="F64" s="60"/>
      <c r="G64" s="11"/>
      <c r="H64" s="60"/>
    </row>
    <row r="65" spans="1:8" x14ac:dyDescent="0.25">
      <c r="B65" s="35"/>
      <c r="C65" s="7"/>
      <c r="D65" s="7"/>
      <c r="E65" s="7"/>
      <c r="F65" s="7"/>
      <c r="G65" s="17"/>
      <c r="H65" s="7"/>
    </row>
    <row r="66" spans="1:8" ht="15.75" thickBot="1" x14ac:dyDescent="0.3">
      <c r="A66" s="12" t="s">
        <v>35</v>
      </c>
      <c r="B66" s="7"/>
      <c r="C66" s="7"/>
      <c r="D66" s="7"/>
      <c r="E66" s="7"/>
      <c r="F66" s="7"/>
      <c r="G66" s="11"/>
      <c r="H66" s="7"/>
    </row>
    <row r="67" spans="1:8" x14ac:dyDescent="0.25">
      <c r="A67" s="22" t="s">
        <v>6</v>
      </c>
      <c r="B67" s="40">
        <f>B2</f>
        <v>622714000</v>
      </c>
      <c r="C67" s="40">
        <f>C2</f>
        <v>707120000</v>
      </c>
      <c r="D67" s="40">
        <f>D2</f>
        <v>820863000</v>
      </c>
      <c r="E67" s="44">
        <f>E62</f>
        <v>926726016.55871701</v>
      </c>
      <c r="F67" s="33">
        <f>F62</f>
        <v>1046241711.1829714</v>
      </c>
      <c r="G67" s="18">
        <f>G62</f>
        <v>1181170808.4810386</v>
      </c>
      <c r="H67" s="33">
        <f>H62</f>
        <v>1333501105.8106799</v>
      </c>
    </row>
    <row r="68" spans="1:8" x14ac:dyDescent="0.25">
      <c r="A68" s="22" t="s">
        <v>29</v>
      </c>
      <c r="B68" s="40">
        <f>B3</f>
        <v>64996000</v>
      </c>
      <c r="C68" s="40">
        <f>C3</f>
        <v>53391000</v>
      </c>
      <c r="D68" s="40">
        <f>D3</f>
        <v>42017000</v>
      </c>
      <c r="E68" s="62">
        <f>E67*$B$70</f>
        <v>71378477.055400327</v>
      </c>
      <c r="F68" s="58">
        <f>F67*$B$70</f>
        <v>80583838.849575296</v>
      </c>
      <c r="G68" s="58">
        <f>G67*$B$70</f>
        <v>90976374.834870741</v>
      </c>
      <c r="H68" s="58">
        <f>H67*$B$70</f>
        <v>102709189.53792834</v>
      </c>
    </row>
    <row r="69" spans="1:8" x14ac:dyDescent="0.25">
      <c r="A69" s="22" t="s">
        <v>35</v>
      </c>
      <c r="B69" s="46">
        <f>B68/B67</f>
        <v>0.10437536332891183</v>
      </c>
      <c r="C69" s="46">
        <f>C68/C67</f>
        <v>7.5504864803710825E-2</v>
      </c>
      <c r="D69" s="56">
        <f>D68/D67</f>
        <v>5.1186373365592064E-2</v>
      </c>
      <c r="E69" s="60"/>
      <c r="F69" s="60"/>
      <c r="G69" s="63"/>
      <c r="H69" s="60"/>
    </row>
    <row r="70" spans="1:8" x14ac:dyDescent="0.25">
      <c r="A70" s="36" t="s">
        <v>36</v>
      </c>
      <c r="B70" s="50">
        <f>AVERAGE(B69:D69)</f>
        <v>7.7022200499404905E-2</v>
      </c>
      <c r="C70" s="31"/>
      <c r="D70" s="31"/>
      <c r="E70" s="61"/>
      <c r="F70" s="60"/>
      <c r="G70" s="11"/>
      <c r="H70" s="60"/>
    </row>
    <row r="71" spans="1:8" ht="15.75" thickBot="1" x14ac:dyDescent="0.3">
      <c r="G71" s="5"/>
    </row>
    <row r="72" spans="1:8" ht="15.75" thickBot="1" x14ac:dyDescent="0.3">
      <c r="A72" s="26" t="s">
        <v>40</v>
      </c>
      <c r="B72" s="1"/>
      <c r="C72" s="4"/>
      <c r="D72" s="4"/>
      <c r="E72" s="4"/>
      <c r="G72" s="5"/>
    </row>
    <row r="73" spans="1:8" x14ac:dyDescent="0.25">
      <c r="A73" s="20" t="s">
        <v>5</v>
      </c>
      <c r="B73" s="51">
        <f>B4</f>
        <v>12100000</v>
      </c>
      <c r="C73" s="40">
        <f>C4</f>
        <v>13079000</v>
      </c>
      <c r="D73" s="40">
        <f>D4</f>
        <v>11791000</v>
      </c>
      <c r="E73" s="4"/>
      <c r="G73" s="11"/>
    </row>
    <row r="74" spans="1:8" x14ac:dyDescent="0.25">
      <c r="A74" s="25" t="s">
        <v>41</v>
      </c>
      <c r="B74" s="51">
        <f>B9</f>
        <v>12016000</v>
      </c>
      <c r="C74" s="40">
        <f>C9</f>
        <v>9957000</v>
      </c>
      <c r="D74" s="40">
        <f>D9</f>
        <v>9910000</v>
      </c>
      <c r="E74" s="4"/>
      <c r="G74" s="11"/>
    </row>
    <row r="75" spans="1:8" x14ac:dyDescent="0.25">
      <c r="A75" s="25" t="s">
        <v>42</v>
      </c>
      <c r="B75" s="51">
        <f>B10</f>
        <v>289813000</v>
      </c>
      <c r="C75" s="40">
        <f>C10</f>
        <v>228863000</v>
      </c>
      <c r="D75" s="40">
        <f>D10</f>
        <v>206432000</v>
      </c>
      <c r="E75" s="4"/>
      <c r="G75" s="11"/>
    </row>
    <row r="76" spans="1:8" x14ac:dyDescent="0.25">
      <c r="A76" s="25" t="s">
        <v>44</v>
      </c>
      <c r="B76" s="52">
        <f>B73/(B74+B75)</f>
        <v>4.0088924523488466E-2</v>
      </c>
      <c r="C76" s="46">
        <f>C73/(C74+C75)</f>
        <v>5.476509505066577E-2</v>
      </c>
      <c r="D76" s="46">
        <f>D73/(D74+D75)</f>
        <v>5.4501668654260385E-2</v>
      </c>
      <c r="E76" s="4"/>
      <c r="G76" s="11"/>
    </row>
    <row r="77" spans="1:8" x14ac:dyDescent="0.25">
      <c r="A77" s="22" t="s">
        <v>2</v>
      </c>
      <c r="B77" s="51">
        <f>B5</f>
        <v>68110000</v>
      </c>
      <c r="C77" s="40">
        <f>C5</f>
        <v>66592000</v>
      </c>
      <c r="D77" s="40">
        <f>D5</f>
        <v>54435000</v>
      </c>
      <c r="G77" s="6"/>
    </row>
    <row r="78" spans="1:8" ht="15.75" thickBot="1" x14ac:dyDescent="0.3">
      <c r="A78" s="22" t="s">
        <v>3</v>
      </c>
      <c r="B78" s="51">
        <f>B6</f>
        <v>3625000</v>
      </c>
      <c r="C78" s="40">
        <f>C6</f>
        <v>13127000</v>
      </c>
      <c r="D78" s="40">
        <f>D6</f>
        <v>13320000</v>
      </c>
      <c r="E78" s="4"/>
      <c r="G78" s="5"/>
    </row>
    <row r="79" spans="1:8" ht="15.75" thickBot="1" x14ac:dyDescent="0.3">
      <c r="A79" s="27" t="s">
        <v>43</v>
      </c>
      <c r="B79" s="52">
        <f>B78/B77</f>
        <v>5.3222727940096901E-2</v>
      </c>
      <c r="C79" s="46">
        <f>C78/C77</f>
        <v>0.19712578087457952</v>
      </c>
      <c r="D79" s="46">
        <f>D78/D77</f>
        <v>0.24469550840451915</v>
      </c>
      <c r="G79" s="5"/>
    </row>
    <row r="80" spans="1:8" ht="15.75" thickBot="1" x14ac:dyDescent="0.3">
      <c r="A80" s="27" t="s">
        <v>45</v>
      </c>
      <c r="B80" s="52">
        <f>B76*(1-B79)</f>
        <v>3.7955282600163759E-2</v>
      </c>
      <c r="C80" s="46">
        <f>C76*(1-C79)</f>
        <v>4.3969482924132705E-2</v>
      </c>
      <c r="D80" s="47">
        <f>D76*(1-D79)</f>
        <v>4.1165355134011497E-2</v>
      </c>
      <c r="E80" s="4"/>
      <c r="G80" s="5"/>
    </row>
    <row r="81" spans="1:9" x14ac:dyDescent="0.25">
      <c r="A81" s="22"/>
      <c r="B81" s="35"/>
      <c r="C81" s="7"/>
      <c r="D81" s="7"/>
      <c r="G81" s="6"/>
    </row>
    <row r="82" spans="1:9" ht="15.75" thickBot="1" x14ac:dyDescent="0.3">
      <c r="A82" s="22" t="s">
        <v>46</v>
      </c>
      <c r="B82" s="52">
        <f>B23/100</f>
        <v>1.9820000000000001E-2</v>
      </c>
      <c r="C82" s="31"/>
      <c r="D82" s="31"/>
      <c r="E82" s="4"/>
      <c r="G82" s="5"/>
    </row>
    <row r="83" spans="1:9" ht="15.75" thickBot="1" x14ac:dyDescent="0.3">
      <c r="A83" s="22" t="s">
        <v>49</v>
      </c>
      <c r="B83" s="53">
        <f>B18</f>
        <v>0.5</v>
      </c>
      <c r="C83" s="7"/>
      <c r="D83" s="7"/>
      <c r="G83" s="5"/>
    </row>
    <row r="84" spans="1:9" ht="15.75" thickBot="1" x14ac:dyDescent="0.3">
      <c r="A84" s="22" t="s">
        <v>48</v>
      </c>
      <c r="B84" s="78">
        <f>B30</f>
        <v>0.1</v>
      </c>
      <c r="C84" s="31"/>
      <c r="D84" s="31"/>
      <c r="E84" s="4"/>
      <c r="G84" s="5"/>
    </row>
    <row r="85" spans="1:9" x14ac:dyDescent="0.25">
      <c r="A85" s="22" t="s">
        <v>50</v>
      </c>
      <c r="B85" s="108">
        <f>B82+B83*(B84-B82)</f>
        <v>5.9910000000000005E-2</v>
      </c>
      <c r="C85" s="7"/>
      <c r="D85" s="7"/>
      <c r="G85" s="6"/>
    </row>
    <row r="86" spans="1:9" ht="15.75" thickBot="1" x14ac:dyDescent="0.3">
      <c r="A86" s="22"/>
      <c r="B86" s="7"/>
      <c r="C86" s="31"/>
      <c r="D86" s="31"/>
      <c r="E86" s="4"/>
      <c r="G86" s="5"/>
    </row>
    <row r="87" spans="1:9" ht="15.75" thickBot="1" x14ac:dyDescent="0.3">
      <c r="A87" s="22" t="s">
        <v>7</v>
      </c>
      <c r="B87" s="51">
        <f>D11</f>
        <v>485161000</v>
      </c>
      <c r="C87" s="32"/>
      <c r="D87" s="32"/>
      <c r="G87" s="5"/>
    </row>
    <row r="88" spans="1:9" ht="15.75" thickBot="1" x14ac:dyDescent="0.3">
      <c r="A88" s="22" t="s">
        <v>51</v>
      </c>
      <c r="B88" s="51">
        <f>B20</f>
        <v>1000000000</v>
      </c>
      <c r="C88" s="32"/>
      <c r="D88" s="32"/>
      <c r="E88" s="4"/>
      <c r="G88" s="5"/>
    </row>
    <row r="89" spans="1:9" x14ac:dyDescent="0.25">
      <c r="A89" s="22" t="s">
        <v>52</v>
      </c>
      <c r="B89" s="55">
        <f>SUM(B87:B88)</f>
        <v>1485161000</v>
      </c>
      <c r="C89" s="7"/>
      <c r="D89" s="7"/>
      <c r="G89" s="6"/>
    </row>
    <row r="90" spans="1:9" ht="15.75" thickBot="1" x14ac:dyDescent="0.3">
      <c r="A90" s="22"/>
      <c r="B90" s="31"/>
      <c r="C90" s="31"/>
      <c r="D90" s="31"/>
      <c r="E90" s="4"/>
      <c r="G90" s="5"/>
    </row>
    <row r="91" spans="1:9" ht="15.75" thickBot="1" x14ac:dyDescent="0.3">
      <c r="A91" s="22" t="s">
        <v>53</v>
      </c>
      <c r="B91" s="52">
        <f>B87/B89</f>
        <v>0.32667232710797012</v>
      </c>
      <c r="C91" s="7"/>
      <c r="D91" s="7"/>
      <c r="F91" s="5"/>
    </row>
    <row r="92" spans="1:9" ht="15.75" thickBot="1" x14ac:dyDescent="0.3">
      <c r="A92" s="22" t="s">
        <v>54</v>
      </c>
      <c r="B92" s="52">
        <f>B88/B89</f>
        <v>0.67332767289202988</v>
      </c>
      <c r="C92" s="4"/>
      <c r="D92" s="4"/>
      <c r="E92" s="4"/>
      <c r="G92" s="5"/>
    </row>
    <row r="93" spans="1:9" x14ac:dyDescent="0.25">
      <c r="A93" s="22"/>
      <c r="B93" s="7"/>
      <c r="G93" s="6"/>
    </row>
    <row r="94" spans="1:9" ht="15.75" thickBot="1" x14ac:dyDescent="0.3">
      <c r="A94" s="23" t="s">
        <v>40</v>
      </c>
      <c r="B94" s="52">
        <f>B91*D80+B92*B85</f>
        <v>5.3786643240815071E-2</v>
      </c>
      <c r="C94" s="7"/>
      <c r="D94" s="7"/>
      <c r="E94" s="7"/>
      <c r="G94" s="5"/>
    </row>
    <row r="96" spans="1:9" ht="15.75" thickBot="1" x14ac:dyDescent="0.3">
      <c r="A96" s="12" t="s">
        <v>95</v>
      </c>
      <c r="B96" s="104" t="s">
        <v>24</v>
      </c>
      <c r="C96" s="105"/>
      <c r="D96" s="106"/>
      <c r="E96" s="107" t="s">
        <v>23</v>
      </c>
      <c r="F96" s="107"/>
      <c r="G96" s="107"/>
      <c r="H96" s="107"/>
      <c r="I96" s="107"/>
    </row>
    <row r="97" spans="1:9" x14ac:dyDescent="0.25">
      <c r="A97" s="22"/>
      <c r="B97" s="73" t="s">
        <v>17</v>
      </c>
      <c r="C97" s="74" t="s">
        <v>18</v>
      </c>
      <c r="D97" s="74" t="s">
        <v>19</v>
      </c>
      <c r="E97" s="74" t="s">
        <v>20</v>
      </c>
      <c r="F97" s="74" t="s">
        <v>21</v>
      </c>
      <c r="G97" s="74" t="s">
        <v>22</v>
      </c>
      <c r="H97" s="74" t="s">
        <v>56</v>
      </c>
      <c r="I97" s="75" t="s">
        <v>55</v>
      </c>
    </row>
    <row r="98" spans="1:9" x14ac:dyDescent="0.25">
      <c r="A98" s="22" t="s">
        <v>6</v>
      </c>
      <c r="B98" s="71">
        <f t="shared" ref="B98:H98" si="2">B121</f>
        <v>622714000</v>
      </c>
      <c r="C98" s="71">
        <f t="shared" si="2"/>
        <v>707120000</v>
      </c>
      <c r="D98" s="71">
        <f t="shared" si="2"/>
        <v>820863000</v>
      </c>
      <c r="E98" s="72">
        <f t="shared" si="2"/>
        <v>926726016.55871701</v>
      </c>
      <c r="F98" s="72">
        <f t="shared" si="2"/>
        <v>1046241711.1829714</v>
      </c>
      <c r="G98" s="72">
        <f t="shared" si="2"/>
        <v>1181170808.4810386</v>
      </c>
      <c r="H98" s="72">
        <f t="shared" si="2"/>
        <v>1333501105.8106799</v>
      </c>
      <c r="I98" s="7"/>
    </row>
    <row r="99" spans="1:9" x14ac:dyDescent="0.25">
      <c r="A99" s="22" t="s">
        <v>29</v>
      </c>
      <c r="B99" s="69">
        <f>B115</f>
        <v>64996000</v>
      </c>
      <c r="C99" s="69">
        <f>C115</f>
        <v>53391000</v>
      </c>
      <c r="D99" s="69">
        <f>D115</f>
        <v>42017000</v>
      </c>
      <c r="E99" s="33">
        <f>E127</f>
        <v>71378477.055400327</v>
      </c>
      <c r="F99" s="33">
        <f>F127</f>
        <v>80583838.849575296</v>
      </c>
      <c r="G99" s="33">
        <f>G127</f>
        <v>90976374.834870741</v>
      </c>
      <c r="H99" s="34">
        <f>H127</f>
        <v>102709189.53792834</v>
      </c>
      <c r="I99" s="7"/>
    </row>
    <row r="100" spans="1:9" x14ac:dyDescent="0.25">
      <c r="A100" s="22" t="s">
        <v>9</v>
      </c>
      <c r="B100" s="70">
        <f>B112</f>
        <v>-5768000</v>
      </c>
      <c r="C100" s="70">
        <f>C112</f>
        <v>78729000</v>
      </c>
      <c r="D100" s="70">
        <f>D112</f>
        <v>77393000</v>
      </c>
      <c r="E100" s="64">
        <f>E116</f>
        <v>76797896.74860771</v>
      </c>
      <c r="F100" s="64">
        <f>F116</f>
        <v>86702176.774839237</v>
      </c>
      <c r="G100" s="64">
        <f>G116</f>
        <v>97883767.339393392</v>
      </c>
      <c r="H100" s="64">
        <f>H116</f>
        <v>110507397.4490217</v>
      </c>
      <c r="I100" s="58">
        <f>(H100*(1+B104))/(B103-B104)</f>
        <v>2383866547.0023284</v>
      </c>
    </row>
    <row r="101" spans="1:9" x14ac:dyDescent="0.25">
      <c r="A101" s="22" t="s">
        <v>10</v>
      </c>
      <c r="B101" s="4"/>
      <c r="C101" s="4"/>
      <c r="D101" s="4"/>
      <c r="E101" s="65">
        <f>(1+B103)^1</f>
        <v>1.0672834964439357</v>
      </c>
      <c r="F101" s="66">
        <f>(1+B103)^2</f>
        <v>1.1390940617815926</v>
      </c>
      <c r="G101" s="67">
        <f>(1+B103)^3</f>
        <v>1.2157362930367825</v>
      </c>
      <c r="H101" s="68">
        <f>(1+B103)^4</f>
        <v>1.2975352815860866</v>
      </c>
      <c r="I101" s="68">
        <f>H101</f>
        <v>1.2975352815860866</v>
      </c>
    </row>
    <row r="102" spans="1:9" x14ac:dyDescent="0.25">
      <c r="A102" s="22" t="s">
        <v>11</v>
      </c>
      <c r="E102" s="33">
        <f>E100/E101</f>
        <v>71956417.39471224</v>
      </c>
      <c r="F102" s="33">
        <f>F100/F101</f>
        <v>76115028.322800025</v>
      </c>
      <c r="G102" s="33">
        <f>G100/G101</f>
        <v>80513979.799755707</v>
      </c>
      <c r="H102" s="33">
        <f>H100/H101</f>
        <v>85167161.939472824</v>
      </c>
      <c r="I102" s="33">
        <f>I100/I101</f>
        <v>1837226764.3376353</v>
      </c>
    </row>
    <row r="103" spans="1:9" ht="15.75" thickBot="1" x14ac:dyDescent="0.3">
      <c r="A103" s="22" t="s">
        <v>12</v>
      </c>
      <c r="B103" s="46">
        <f>B154</f>
        <v>6.7283496443935817E-2</v>
      </c>
      <c r="C103" s="4"/>
      <c r="D103" s="4"/>
      <c r="E103" s="4"/>
      <c r="G103" s="6"/>
      <c r="H103" s="5"/>
      <c r="I103" s="5"/>
    </row>
    <row r="104" spans="1:9" x14ac:dyDescent="0.25">
      <c r="A104" s="22" t="s">
        <v>13</v>
      </c>
      <c r="B104" s="46">
        <f>B29</f>
        <v>0.02</v>
      </c>
    </row>
    <row r="105" spans="1:9" x14ac:dyDescent="0.25">
      <c r="A105" s="22" t="s">
        <v>14</v>
      </c>
      <c r="B105" s="40">
        <f>SUM(E102:I102)</f>
        <v>2150979351.7943759</v>
      </c>
      <c r="C105" s="4"/>
      <c r="D105" s="4"/>
      <c r="E105" s="4"/>
    </row>
    <row r="106" spans="1:9" x14ac:dyDescent="0.25">
      <c r="A106" s="22" t="s">
        <v>15</v>
      </c>
      <c r="B106" s="76">
        <f>B19</f>
        <v>31064292</v>
      </c>
      <c r="G106" s="6"/>
    </row>
    <row r="107" spans="1:9" ht="15.75" thickBot="1" x14ac:dyDescent="0.3">
      <c r="A107" s="23" t="s">
        <v>16</v>
      </c>
      <c r="B107" s="96">
        <f>B105/B106</f>
        <v>69.24282555013248</v>
      </c>
      <c r="C107" s="4"/>
      <c r="D107" s="4"/>
      <c r="E107" s="4"/>
      <c r="G107" s="5"/>
    </row>
    <row r="108" spans="1:9" ht="15.75" thickBot="1" x14ac:dyDescent="0.3">
      <c r="G108" s="5"/>
    </row>
    <row r="109" spans="1:9" ht="15.75" thickBot="1" x14ac:dyDescent="0.3">
      <c r="A109" s="19" t="s">
        <v>28</v>
      </c>
      <c r="B109" s="4"/>
      <c r="C109" s="4"/>
      <c r="D109" s="4"/>
      <c r="E109" s="4"/>
      <c r="G109" s="5"/>
    </row>
    <row r="110" spans="1:9" x14ac:dyDescent="0.25">
      <c r="A110" s="21" t="s">
        <v>25</v>
      </c>
      <c r="B110" s="40">
        <f t="shared" ref="B110:D111" si="3">B14</f>
        <v>109036000</v>
      </c>
      <c r="C110" s="40">
        <f t="shared" si="3"/>
        <v>137389000</v>
      </c>
      <c r="D110" s="40">
        <f t="shared" si="3"/>
        <v>141479000</v>
      </c>
      <c r="G110" s="6"/>
    </row>
    <row r="111" spans="1:9" ht="15.75" thickBot="1" x14ac:dyDescent="0.3">
      <c r="A111" s="22" t="s">
        <v>26</v>
      </c>
      <c r="B111" s="40">
        <f t="shared" si="3"/>
        <v>-114804000</v>
      </c>
      <c r="C111" s="40">
        <f t="shared" si="3"/>
        <v>-58660000</v>
      </c>
      <c r="D111" s="40">
        <f t="shared" si="3"/>
        <v>-64086000</v>
      </c>
      <c r="E111" s="4"/>
      <c r="G111" s="5"/>
    </row>
    <row r="112" spans="1:9" ht="15.75" thickBot="1" x14ac:dyDescent="0.3">
      <c r="A112" s="23" t="s">
        <v>27</v>
      </c>
      <c r="B112" s="41">
        <f>SUM(B110:B111)</f>
        <v>-5768000</v>
      </c>
      <c r="C112" s="41">
        <f>SUM(C110:C111)</f>
        <v>78729000</v>
      </c>
      <c r="D112" s="41">
        <f>SUM(D110:D111)</f>
        <v>77393000</v>
      </c>
      <c r="G112" s="5"/>
    </row>
    <row r="113" spans="1:8" ht="15.75" thickBot="1" x14ac:dyDescent="0.3">
      <c r="B113" s="4"/>
      <c r="C113" s="4"/>
      <c r="D113" s="4"/>
      <c r="E113" s="4"/>
      <c r="G113" s="5"/>
    </row>
    <row r="114" spans="1:8" ht="15.75" thickBot="1" x14ac:dyDescent="0.3">
      <c r="A114" s="12" t="s">
        <v>37</v>
      </c>
      <c r="G114" s="6"/>
    </row>
    <row r="115" spans="1:8" x14ac:dyDescent="0.25">
      <c r="A115" s="42" t="s">
        <v>29</v>
      </c>
      <c r="B115" s="40">
        <f>B3</f>
        <v>64996000</v>
      </c>
      <c r="C115" s="40">
        <f>C3</f>
        <v>53391000</v>
      </c>
      <c r="D115" s="40">
        <f>D3</f>
        <v>42017000</v>
      </c>
      <c r="E115" s="43">
        <f>E127</f>
        <v>71378477.055400327</v>
      </c>
      <c r="F115" s="33">
        <f>F127</f>
        <v>80583838.849575296</v>
      </c>
      <c r="G115" s="18">
        <f>G127</f>
        <v>90976374.834870741</v>
      </c>
      <c r="H115" s="33">
        <f>H127</f>
        <v>102709189.53792834</v>
      </c>
    </row>
    <row r="116" spans="1:8" x14ac:dyDescent="0.25">
      <c r="A116" s="42" t="s">
        <v>30</v>
      </c>
      <c r="B116" s="45">
        <f>B112</f>
        <v>-5768000</v>
      </c>
      <c r="C116" s="45">
        <f>C112</f>
        <v>78729000</v>
      </c>
      <c r="D116" s="45">
        <f>D112</f>
        <v>77393000</v>
      </c>
      <c r="E116" s="44">
        <f>E115*$B$59</f>
        <v>76797896.74860771</v>
      </c>
      <c r="F116" s="33">
        <f>F115*$B$59</f>
        <v>86702176.774839237</v>
      </c>
      <c r="G116" s="18">
        <f>G115*$B$59</f>
        <v>97883767.339393392</v>
      </c>
      <c r="H116" s="18">
        <f>H115*$B$59</f>
        <v>110507397.4490217</v>
      </c>
    </row>
    <row r="117" spans="1:8" ht="15.75" thickBot="1" x14ac:dyDescent="0.3">
      <c r="A117" s="42" t="s">
        <v>38</v>
      </c>
      <c r="B117" s="46">
        <f>B116/B115</f>
        <v>-8.874392270293556E-2</v>
      </c>
      <c r="C117" s="46">
        <f>C116/C115</f>
        <v>1.4745743664662583</v>
      </c>
      <c r="D117" s="46">
        <f>D116/D115</f>
        <v>1.8419449270533355</v>
      </c>
      <c r="E117" s="31"/>
      <c r="F117" s="7"/>
      <c r="G117" s="5"/>
      <c r="H117" s="7"/>
    </row>
    <row r="118" spans="1:8" x14ac:dyDescent="0.25">
      <c r="A118" s="39" t="s">
        <v>39</v>
      </c>
      <c r="B118" s="47">
        <f>AVERAGE(B117:D117)</f>
        <v>1.0759251236055527</v>
      </c>
      <c r="C118" s="48"/>
      <c r="D118" s="48"/>
      <c r="E118" s="31"/>
      <c r="F118" s="7"/>
      <c r="G118" s="11"/>
      <c r="H118" s="7"/>
    </row>
    <row r="119" spans="1:8" x14ac:dyDescent="0.25">
      <c r="A119" s="9"/>
      <c r="B119" s="10"/>
      <c r="C119" s="10"/>
      <c r="D119" s="10"/>
      <c r="E119" s="4"/>
      <c r="G119" s="11"/>
    </row>
    <row r="120" spans="1:8" ht="15.75" thickBot="1" x14ac:dyDescent="0.3">
      <c r="A120" s="12" t="s">
        <v>33</v>
      </c>
      <c r="G120" s="6"/>
    </row>
    <row r="121" spans="1:8" x14ac:dyDescent="0.25">
      <c r="A121" s="20" t="s">
        <v>6</v>
      </c>
      <c r="B121" s="40">
        <f>B2</f>
        <v>622714000</v>
      </c>
      <c r="C121" s="40">
        <f>C2</f>
        <v>707120000</v>
      </c>
      <c r="D121" s="40">
        <f>D2</f>
        <v>820863000</v>
      </c>
      <c r="E121" s="57">
        <f>D121*(1+$B$64)</f>
        <v>926726016.55871701</v>
      </c>
      <c r="F121" s="58">
        <f>E121*(1+$B$64)</f>
        <v>1046241711.1829714</v>
      </c>
      <c r="G121" s="59">
        <f>F121*(1+$B$64)</f>
        <v>1181170808.4810386</v>
      </c>
      <c r="H121" s="58">
        <f>G121*(1+$B$64)</f>
        <v>1333501105.8106799</v>
      </c>
    </row>
    <row r="122" spans="1:8" x14ac:dyDescent="0.25">
      <c r="A122" s="20" t="s">
        <v>32</v>
      </c>
      <c r="B122" s="49" t="s">
        <v>4</v>
      </c>
      <c r="C122" s="46">
        <f>1-(B121/C121)</f>
        <v>0.11936587849304225</v>
      </c>
      <c r="D122" s="56">
        <f>1-(C121/D121)</f>
        <v>0.13856514424453292</v>
      </c>
      <c r="E122" s="16"/>
      <c r="F122" s="16"/>
      <c r="G122" s="15"/>
      <c r="H122" s="60"/>
    </row>
    <row r="123" spans="1:8" x14ac:dyDescent="0.25">
      <c r="A123" s="37" t="s">
        <v>34</v>
      </c>
      <c r="B123" s="47">
        <f>AVERAGE(C122:D122)</f>
        <v>0.12896551136878759</v>
      </c>
      <c r="C123" s="31"/>
      <c r="D123" s="31"/>
      <c r="E123" s="61"/>
      <c r="F123" s="60"/>
      <c r="G123" s="11"/>
      <c r="H123" s="60"/>
    </row>
    <row r="124" spans="1:8" x14ac:dyDescent="0.25">
      <c r="B124" s="35"/>
      <c r="C124" s="7"/>
      <c r="D124" s="7"/>
      <c r="E124" s="7"/>
      <c r="F124" s="7"/>
      <c r="G124" s="17"/>
      <c r="H124" s="7"/>
    </row>
    <row r="125" spans="1:8" ht="15.75" thickBot="1" x14ac:dyDescent="0.3">
      <c r="A125" s="12" t="s">
        <v>35</v>
      </c>
      <c r="B125" s="7"/>
      <c r="C125" s="7"/>
      <c r="D125" s="7"/>
      <c r="E125" s="7"/>
      <c r="F125" s="7"/>
      <c r="G125" s="11"/>
      <c r="H125" s="7"/>
    </row>
    <row r="126" spans="1:8" x14ac:dyDescent="0.25">
      <c r="A126" s="22" t="s">
        <v>6</v>
      </c>
      <c r="B126" s="40">
        <f t="shared" ref="B126:D127" si="4">B2</f>
        <v>622714000</v>
      </c>
      <c r="C126" s="40">
        <f t="shared" si="4"/>
        <v>707120000</v>
      </c>
      <c r="D126" s="40">
        <f t="shared" si="4"/>
        <v>820863000</v>
      </c>
      <c r="E126" s="44">
        <f>E121</f>
        <v>926726016.55871701</v>
      </c>
      <c r="F126" s="33">
        <f>F121</f>
        <v>1046241711.1829714</v>
      </c>
      <c r="G126" s="18">
        <f>G121</f>
        <v>1181170808.4810386</v>
      </c>
      <c r="H126" s="33">
        <f>H121</f>
        <v>1333501105.8106799</v>
      </c>
    </row>
    <row r="127" spans="1:8" x14ac:dyDescent="0.25">
      <c r="A127" s="22" t="s">
        <v>29</v>
      </c>
      <c r="B127" s="40">
        <f t="shared" si="4"/>
        <v>64996000</v>
      </c>
      <c r="C127" s="40">
        <f t="shared" si="4"/>
        <v>53391000</v>
      </c>
      <c r="D127" s="40">
        <f t="shared" si="4"/>
        <v>42017000</v>
      </c>
      <c r="E127" s="62">
        <f>E126*$B$70</f>
        <v>71378477.055400327</v>
      </c>
      <c r="F127" s="58">
        <f>F126*$B$70</f>
        <v>80583838.849575296</v>
      </c>
      <c r="G127" s="58">
        <f>G126*$B$70</f>
        <v>90976374.834870741</v>
      </c>
      <c r="H127" s="58">
        <f>H126*$B$70</f>
        <v>102709189.53792834</v>
      </c>
    </row>
    <row r="128" spans="1:8" x14ac:dyDescent="0.25">
      <c r="A128" s="22" t="s">
        <v>35</v>
      </c>
      <c r="B128" s="46">
        <f>B127/B126</f>
        <v>0.10437536332891183</v>
      </c>
      <c r="C128" s="46">
        <f>C127/C126</f>
        <v>7.5504864803710825E-2</v>
      </c>
      <c r="D128" s="56">
        <f>D127/D126</f>
        <v>5.1186373365592064E-2</v>
      </c>
      <c r="E128" s="60"/>
      <c r="F128" s="60"/>
      <c r="G128" s="63"/>
      <c r="H128" s="60"/>
    </row>
    <row r="129" spans="1:8" x14ac:dyDescent="0.25">
      <c r="A129" s="36" t="s">
        <v>36</v>
      </c>
      <c r="B129" s="50">
        <f>AVERAGE(B128:D128)</f>
        <v>7.7022200499404905E-2</v>
      </c>
      <c r="C129" s="31"/>
      <c r="D129" s="31"/>
      <c r="E129" s="61"/>
      <c r="F129" s="60"/>
      <c r="G129" s="11"/>
      <c r="H129" s="60"/>
    </row>
    <row r="130" spans="1:8" ht="15.75" thickBot="1" x14ac:dyDescent="0.3">
      <c r="G130" s="5"/>
    </row>
    <row r="131" spans="1:8" ht="15.75" thickBot="1" x14ac:dyDescent="0.3">
      <c r="A131" s="26" t="s">
        <v>40</v>
      </c>
      <c r="B131" s="1"/>
      <c r="C131" s="4"/>
      <c r="D131" s="4"/>
      <c r="E131" s="4"/>
      <c r="G131" s="5"/>
    </row>
    <row r="132" spans="1:8" x14ac:dyDescent="0.25">
      <c r="A132" s="20" t="s">
        <v>5</v>
      </c>
      <c r="B132" s="51">
        <f>B4</f>
        <v>12100000</v>
      </c>
      <c r="C132" s="40">
        <f>C4</f>
        <v>13079000</v>
      </c>
      <c r="D132" s="40">
        <f>D4</f>
        <v>11791000</v>
      </c>
      <c r="E132" s="4"/>
      <c r="G132" s="11"/>
    </row>
    <row r="133" spans="1:8" x14ac:dyDescent="0.25">
      <c r="A133" s="25" t="s">
        <v>41</v>
      </c>
      <c r="B133" s="51">
        <f t="shared" ref="B133:D134" si="5">B9</f>
        <v>12016000</v>
      </c>
      <c r="C133" s="40">
        <f t="shared" si="5"/>
        <v>9957000</v>
      </c>
      <c r="D133" s="40">
        <f t="shared" si="5"/>
        <v>9910000</v>
      </c>
      <c r="E133" s="4"/>
      <c r="G133" s="11"/>
    </row>
    <row r="134" spans="1:8" x14ac:dyDescent="0.25">
      <c r="A134" s="25" t="s">
        <v>42</v>
      </c>
      <c r="B134" s="51">
        <f t="shared" si="5"/>
        <v>289813000</v>
      </c>
      <c r="C134" s="40">
        <f t="shared" si="5"/>
        <v>228863000</v>
      </c>
      <c r="D134" s="40">
        <f t="shared" si="5"/>
        <v>206432000</v>
      </c>
      <c r="E134" s="4"/>
      <c r="G134" s="11"/>
    </row>
    <row r="135" spans="1:8" x14ac:dyDescent="0.25">
      <c r="A135" s="25" t="s">
        <v>44</v>
      </c>
      <c r="B135" s="52">
        <f>B132/(B133+B134)</f>
        <v>4.0088924523488466E-2</v>
      </c>
      <c r="C135" s="46">
        <f>C132/(C133+C134)</f>
        <v>5.476509505066577E-2</v>
      </c>
      <c r="D135" s="46">
        <f>D132/(D133+D134)</f>
        <v>5.4501668654260385E-2</v>
      </c>
      <c r="E135" s="4"/>
      <c r="G135" s="11"/>
    </row>
    <row r="136" spans="1:8" x14ac:dyDescent="0.25">
      <c r="A136" s="22" t="s">
        <v>2</v>
      </c>
      <c r="B136" s="51">
        <f t="shared" ref="B136:D137" si="6">B5</f>
        <v>68110000</v>
      </c>
      <c r="C136" s="40">
        <f t="shared" si="6"/>
        <v>66592000</v>
      </c>
      <c r="D136" s="40">
        <f t="shared" si="6"/>
        <v>54435000</v>
      </c>
      <c r="G136" s="6"/>
    </row>
    <row r="137" spans="1:8" ht="15.75" thickBot="1" x14ac:dyDescent="0.3">
      <c r="A137" s="22" t="s">
        <v>3</v>
      </c>
      <c r="B137" s="51">
        <f t="shared" si="6"/>
        <v>3625000</v>
      </c>
      <c r="C137" s="40">
        <f t="shared" si="6"/>
        <v>13127000</v>
      </c>
      <c r="D137" s="40">
        <f t="shared" si="6"/>
        <v>13320000</v>
      </c>
      <c r="E137" s="4"/>
      <c r="G137" s="5"/>
    </row>
    <row r="138" spans="1:8" ht="15.75" thickBot="1" x14ac:dyDescent="0.3">
      <c r="A138" s="27" t="s">
        <v>43</v>
      </c>
      <c r="B138" s="52">
        <f>B137/B136</f>
        <v>5.3222727940096901E-2</v>
      </c>
      <c r="C138" s="46">
        <f>C137/C136</f>
        <v>0.19712578087457952</v>
      </c>
      <c r="D138" s="46">
        <f>D137/D136</f>
        <v>0.24469550840451915</v>
      </c>
      <c r="G138" s="5"/>
    </row>
    <row r="139" spans="1:8" ht="15.75" thickBot="1" x14ac:dyDescent="0.3">
      <c r="A139" s="27" t="s">
        <v>45</v>
      </c>
      <c r="B139" s="52">
        <f>B135*(1-B138)</f>
        <v>3.7955282600163759E-2</v>
      </c>
      <c r="C139" s="46">
        <f>C135*(1-C138)</f>
        <v>4.3969482924132705E-2</v>
      </c>
      <c r="D139" s="47">
        <f>D135*(1-D138)</f>
        <v>4.1165355134011497E-2</v>
      </c>
      <c r="E139" s="4"/>
      <c r="G139" s="5"/>
    </row>
    <row r="140" spans="1:8" x14ac:dyDescent="0.25">
      <c r="A140" s="22"/>
      <c r="B140" s="35"/>
      <c r="C140" s="7"/>
      <c r="D140" s="7"/>
      <c r="G140" s="6"/>
    </row>
    <row r="141" spans="1:8" ht="15.75" thickBot="1" x14ac:dyDescent="0.3">
      <c r="A141" s="22" t="s">
        <v>46</v>
      </c>
      <c r="B141" s="52">
        <f>B23/100</f>
        <v>1.9820000000000001E-2</v>
      </c>
      <c r="C141" s="31"/>
      <c r="D141" s="31"/>
      <c r="E141" s="4"/>
      <c r="G141" s="5"/>
    </row>
    <row r="142" spans="1:8" ht="15.75" thickBot="1" x14ac:dyDescent="0.3">
      <c r="A142" s="22" t="s">
        <v>49</v>
      </c>
      <c r="B142" s="53">
        <f>B18</f>
        <v>0.5</v>
      </c>
      <c r="C142" s="7"/>
      <c r="D142" s="7"/>
      <c r="G142" s="5"/>
    </row>
    <row r="143" spans="1:8" ht="15.75" thickBot="1" x14ac:dyDescent="0.3">
      <c r="A143" s="22" t="s">
        <v>96</v>
      </c>
      <c r="B143" s="53">
        <f>(B142+1)/2</f>
        <v>0.75</v>
      </c>
      <c r="C143" s="7"/>
      <c r="D143" s="7"/>
      <c r="G143" s="5"/>
    </row>
    <row r="144" spans="1:8" ht="15.75" thickBot="1" x14ac:dyDescent="0.3">
      <c r="A144" s="22" t="s">
        <v>48</v>
      </c>
      <c r="B144" s="78">
        <f>B30</f>
        <v>0.1</v>
      </c>
      <c r="C144" s="31"/>
      <c r="D144" s="31"/>
      <c r="E144" s="4"/>
      <c r="G144" s="5"/>
    </row>
    <row r="145" spans="1:7" x14ac:dyDescent="0.25">
      <c r="A145" s="22" t="s">
        <v>50</v>
      </c>
      <c r="B145" s="54">
        <f>B141+B143*(B144-B141)</f>
        <v>7.9954999999999998E-2</v>
      </c>
      <c r="C145" s="7"/>
      <c r="D145" s="7"/>
      <c r="G145" s="6"/>
    </row>
    <row r="146" spans="1:7" ht="15.75" thickBot="1" x14ac:dyDescent="0.3">
      <c r="A146" s="22"/>
      <c r="B146" s="7"/>
      <c r="C146" s="31"/>
      <c r="D146" s="31"/>
      <c r="E146" s="4"/>
      <c r="G146" s="5"/>
    </row>
    <row r="147" spans="1:7" ht="15.75" thickBot="1" x14ac:dyDescent="0.3">
      <c r="A147" s="22" t="s">
        <v>7</v>
      </c>
      <c r="B147" s="51">
        <f>D11</f>
        <v>485161000</v>
      </c>
      <c r="C147" s="32"/>
      <c r="D147" s="32"/>
      <c r="G147" s="5"/>
    </row>
    <row r="148" spans="1:7" ht="15.75" thickBot="1" x14ac:dyDescent="0.3">
      <c r="A148" s="22" t="s">
        <v>51</v>
      </c>
      <c r="B148" s="51">
        <f>B20</f>
        <v>1000000000</v>
      </c>
      <c r="C148" s="32"/>
      <c r="D148" s="32"/>
      <c r="E148" s="4"/>
      <c r="G148" s="5"/>
    </row>
    <row r="149" spans="1:7" x14ac:dyDescent="0.25">
      <c r="A149" s="22" t="s">
        <v>52</v>
      </c>
      <c r="B149" s="55">
        <f>SUM(B147:B148)</f>
        <v>1485161000</v>
      </c>
      <c r="C149" s="7"/>
      <c r="D149" s="7"/>
      <c r="G149" s="6"/>
    </row>
    <row r="150" spans="1:7" ht="15.75" thickBot="1" x14ac:dyDescent="0.3">
      <c r="A150" s="22"/>
      <c r="B150" s="31"/>
      <c r="C150" s="31"/>
      <c r="D150" s="31"/>
      <c r="E150" s="4"/>
      <c r="G150" s="5"/>
    </row>
    <row r="151" spans="1:7" ht="15.75" thickBot="1" x14ac:dyDescent="0.3">
      <c r="A151" s="22" t="s">
        <v>53</v>
      </c>
      <c r="B151" s="52">
        <f>B147/B149</f>
        <v>0.32667232710797012</v>
      </c>
      <c r="C151" s="7"/>
      <c r="D151" s="7"/>
      <c r="F151" s="5"/>
    </row>
    <row r="152" spans="1:7" ht="15.75" thickBot="1" x14ac:dyDescent="0.3">
      <c r="A152" s="22" t="s">
        <v>54</v>
      </c>
      <c r="B152" s="52">
        <f>B148/B149</f>
        <v>0.67332767289202988</v>
      </c>
      <c r="C152" s="4"/>
      <c r="D152" s="4"/>
      <c r="E152" s="4"/>
      <c r="G152" s="5"/>
    </row>
    <row r="153" spans="1:7" x14ac:dyDescent="0.25">
      <c r="A153" s="22"/>
      <c r="B153" s="7"/>
      <c r="G153" s="6"/>
    </row>
    <row r="154" spans="1:7" ht="15.75" thickBot="1" x14ac:dyDescent="0.3">
      <c r="A154" s="23" t="s">
        <v>40</v>
      </c>
      <c r="B154" s="52">
        <f>B151*D139+B152*B145</f>
        <v>6.7283496443935817E-2</v>
      </c>
      <c r="C154" s="7"/>
      <c r="D154" s="7"/>
      <c r="E154" s="7"/>
      <c r="G154" s="5"/>
    </row>
  </sheetData>
  <mergeCells count="9">
    <mergeCell ref="D26:E26"/>
    <mergeCell ref="F1:K1"/>
    <mergeCell ref="F2:K2"/>
    <mergeCell ref="D18:E21"/>
    <mergeCell ref="D22:E25"/>
    <mergeCell ref="B96:D96"/>
    <mergeCell ref="E96:I96"/>
    <mergeCell ref="B37:D37"/>
    <mergeCell ref="E37:I37"/>
  </mergeCells>
  <hyperlinks>
    <hyperlink ref="D26" r:id="rId1" display="https://www.investopedia.com/terms/s/sharperatio.asp" xr:uid="{0EAB9FCE-98D5-449B-926C-AAA8E2B0F0DA}"/>
  </hyperlinks>
  <pageMargins left="0.7" right="0.7" top="0.75" bottom="0.75" header="0.3" footer="0.3"/>
  <pageSetup orientation="portrait" horizontalDpi="4294967293"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6154-100C-41A5-99F7-154751FC1DE5}">
  <dimension ref="A1:N153"/>
  <sheetViews>
    <sheetView workbookViewId="0">
      <selection activeCell="F11" sqref="F11"/>
    </sheetView>
  </sheetViews>
  <sheetFormatPr defaultRowHeight="15" x14ac:dyDescent="0.25"/>
  <cols>
    <col min="1" max="1" width="45" bestFit="1" customWidth="1"/>
    <col min="2" max="4" width="20" bestFit="1" customWidth="1"/>
    <col min="5" max="6" width="19" bestFit="1" customWidth="1"/>
    <col min="7" max="8" width="20" bestFit="1" customWidth="1"/>
    <col min="9" max="10" width="21.7109375" bestFit="1" customWidth="1"/>
    <col min="11" max="11" width="20.85546875" bestFit="1" customWidth="1"/>
    <col min="12" max="12" width="14.5703125" bestFit="1" customWidth="1"/>
    <col min="13" max="13" width="7.140625" bestFit="1" customWidth="1"/>
    <col min="14" max="14" width="19" bestFit="1" customWidth="1"/>
  </cols>
  <sheetData>
    <row r="1" spans="1:14" ht="15.75" thickBot="1" x14ac:dyDescent="0.3">
      <c r="A1" s="26" t="s">
        <v>59</v>
      </c>
      <c r="B1" s="100">
        <v>2017</v>
      </c>
      <c r="C1" s="100">
        <v>2018</v>
      </c>
      <c r="D1" s="100">
        <v>2019</v>
      </c>
      <c r="G1" s="104" t="s">
        <v>113</v>
      </c>
      <c r="H1" s="105"/>
      <c r="I1" s="105"/>
      <c r="J1" s="106"/>
    </row>
    <row r="2" spans="1:14" x14ac:dyDescent="0.25">
      <c r="A2" s="23" t="s">
        <v>6</v>
      </c>
      <c r="B2" s="125">
        <v>87352000000</v>
      </c>
      <c r="C2" s="125">
        <v>91247000000</v>
      </c>
      <c r="D2" s="125">
        <v>91244000000</v>
      </c>
      <c r="G2" s="103" t="s">
        <v>68</v>
      </c>
      <c r="H2" s="103"/>
      <c r="I2" s="103"/>
      <c r="J2" s="103"/>
    </row>
    <row r="3" spans="1:14" x14ac:dyDescent="0.25">
      <c r="A3" s="30" t="s">
        <v>29</v>
      </c>
      <c r="B3" s="125">
        <v>18232000000</v>
      </c>
      <c r="C3" s="125">
        <v>28147000000</v>
      </c>
      <c r="D3" s="125">
        <v>27430000000</v>
      </c>
      <c r="G3" s="77" t="s">
        <v>66</v>
      </c>
      <c r="H3" s="77" t="s">
        <v>0</v>
      </c>
      <c r="I3" s="77" t="s">
        <v>67</v>
      </c>
      <c r="J3" s="77" t="s">
        <v>79</v>
      </c>
    </row>
    <row r="4" spans="1:14" x14ac:dyDescent="0.25">
      <c r="A4" s="30" t="s">
        <v>5</v>
      </c>
      <c r="B4" s="125">
        <v>12340000000</v>
      </c>
      <c r="C4" s="125">
        <v>18607000000</v>
      </c>
      <c r="D4" s="125">
        <v>22345000000</v>
      </c>
      <c r="G4" s="30" t="s">
        <v>72</v>
      </c>
      <c r="H4" s="125">
        <v>46.31</v>
      </c>
      <c r="I4" s="125">
        <v>69794000000</v>
      </c>
      <c r="J4" s="125">
        <f>I4+53060000000+5983000000+62580000000</f>
        <v>191417000000</v>
      </c>
    </row>
    <row r="5" spans="1:14" x14ac:dyDescent="0.25">
      <c r="A5" s="30" t="s">
        <v>2</v>
      </c>
      <c r="B5" s="125">
        <v>29213000000</v>
      </c>
      <c r="C5" s="125">
        <v>34584000000</v>
      </c>
      <c r="D5" s="125">
        <v>32754000000</v>
      </c>
      <c r="G5" s="30" t="s">
        <v>73</v>
      </c>
      <c r="H5" s="125">
        <v>32.659999999999997</v>
      </c>
      <c r="I5" s="125">
        <v>135343000000</v>
      </c>
      <c r="J5" s="125">
        <f>I5+288460000000+21136000000+431230000000</f>
        <v>876169000000</v>
      </c>
    </row>
    <row r="6" spans="1:14" x14ac:dyDescent="0.25">
      <c r="A6" s="30" t="s">
        <v>3</v>
      </c>
      <c r="B6" s="125">
        <v>10981000000</v>
      </c>
      <c r="C6" s="125">
        <v>6437000000</v>
      </c>
      <c r="D6" s="125">
        <v>5324000000</v>
      </c>
      <c r="G6" s="30" t="s">
        <v>74</v>
      </c>
      <c r="H6" s="125">
        <v>138.25</v>
      </c>
      <c r="I6" s="125">
        <v>421580000000</v>
      </c>
      <c r="J6" s="125">
        <f>I6+630300000000+30063000000+1330000000000</f>
        <v>2411943000000</v>
      </c>
    </row>
    <row r="7" spans="1:14" x14ac:dyDescent="0.25">
      <c r="G7" s="30" t="s">
        <v>75</v>
      </c>
      <c r="H7" s="125">
        <v>62.41</v>
      </c>
      <c r="I7" s="125">
        <v>129944000000</v>
      </c>
      <c r="J7" s="125">
        <f>I7+500720000000+19480000000+979410000000</f>
        <v>1629554000000</v>
      </c>
    </row>
    <row r="8" spans="1:14" ht="15.75" thickBot="1" x14ac:dyDescent="0.3">
      <c r="A8" s="26" t="s">
        <v>61</v>
      </c>
      <c r="G8" s="30" t="s">
        <v>76</v>
      </c>
      <c r="H8" s="125">
        <v>32.5</v>
      </c>
      <c r="I8" s="125">
        <v>281151000000</v>
      </c>
      <c r="J8" s="125">
        <f>I8+498100000000+17894000000+937100000000</f>
        <v>1734245000000</v>
      </c>
    </row>
    <row r="9" spans="1:14" x14ac:dyDescent="0.25">
      <c r="A9" s="23" t="s">
        <v>41</v>
      </c>
      <c r="B9" s="125">
        <v>32666000000</v>
      </c>
      <c r="C9" s="125">
        <v>20189000000</v>
      </c>
      <c r="D9" s="125">
        <v>24204000000</v>
      </c>
      <c r="L9" s="111"/>
    </row>
    <row r="10" spans="1:14" x14ac:dyDescent="0.25">
      <c r="A10" s="30" t="s">
        <v>42</v>
      </c>
      <c r="B10" s="125">
        <v>227402000000</v>
      </c>
      <c r="C10" s="125">
        <v>229340000000</v>
      </c>
      <c r="D10" s="125">
        <v>240856000000</v>
      </c>
      <c r="G10" s="103" t="s">
        <v>69</v>
      </c>
      <c r="H10" s="103"/>
      <c r="I10" s="103"/>
      <c r="J10" s="103"/>
      <c r="K10" s="103"/>
      <c r="L10" s="103"/>
      <c r="M10" s="103"/>
      <c r="N10" s="103"/>
    </row>
    <row r="11" spans="1:14" x14ac:dyDescent="0.25">
      <c r="A11" t="s">
        <v>64</v>
      </c>
      <c r="B11" s="79"/>
      <c r="C11" s="79"/>
      <c r="D11" s="125">
        <v>265060000000</v>
      </c>
      <c r="G11" s="77" t="s">
        <v>66</v>
      </c>
      <c r="H11" s="77" t="s">
        <v>31</v>
      </c>
      <c r="I11" s="77" t="s">
        <v>1</v>
      </c>
      <c r="J11" s="77" t="s">
        <v>80</v>
      </c>
      <c r="K11" s="77" t="s">
        <v>77</v>
      </c>
      <c r="L11" s="77" t="s">
        <v>83</v>
      </c>
      <c r="M11" s="77" t="s">
        <v>84</v>
      </c>
      <c r="N11" s="77" t="s">
        <v>85</v>
      </c>
    </row>
    <row r="12" spans="1:14" x14ac:dyDescent="0.25">
      <c r="G12" s="30" t="s">
        <v>72</v>
      </c>
      <c r="H12" s="125">
        <v>23226000000</v>
      </c>
      <c r="I12" s="125">
        <v>19420000000</v>
      </c>
      <c r="J12" s="125">
        <v>31.26</v>
      </c>
      <c r="K12" s="125">
        <v>4959000000</v>
      </c>
      <c r="L12" s="119">
        <v>9.4999999999999998E-3</v>
      </c>
      <c r="M12" s="119">
        <v>9.3899999999999997E-2</v>
      </c>
      <c r="N12" s="125">
        <v>13369000000</v>
      </c>
    </row>
    <row r="13" spans="1:14" ht="15.75" thickBot="1" x14ac:dyDescent="0.3">
      <c r="A13" s="26" t="s">
        <v>58</v>
      </c>
      <c r="G13" s="30" t="s">
        <v>73</v>
      </c>
      <c r="H13" s="125">
        <v>72340000000</v>
      </c>
      <c r="I13" s="125">
        <v>58210000000</v>
      </c>
      <c r="J13" s="125">
        <v>39.729999999999997</v>
      </c>
      <c r="K13" s="125">
        <v>3301000000</v>
      </c>
      <c r="L13" s="119">
        <v>1.9E-3</v>
      </c>
      <c r="M13" s="119">
        <v>1.9199999999999998E-2</v>
      </c>
      <c r="N13" s="125">
        <v>56131000000</v>
      </c>
    </row>
    <row r="14" spans="1:14" x14ac:dyDescent="0.25">
      <c r="A14" s="23" t="s">
        <v>25</v>
      </c>
      <c r="B14" s="125">
        <v>10403000000</v>
      </c>
      <c r="C14" s="125">
        <v>39520000000</v>
      </c>
      <c r="D14" s="125">
        <v>61777000000</v>
      </c>
      <c r="G14" s="30" t="s">
        <v>74</v>
      </c>
      <c r="H14" s="125">
        <v>119543000000</v>
      </c>
      <c r="I14" s="125">
        <v>102060000000</v>
      </c>
      <c r="J14" s="125">
        <v>81.75</v>
      </c>
      <c r="K14" s="125">
        <v>29131000000</v>
      </c>
      <c r="L14" s="119">
        <v>9.5999999999999992E-3</v>
      </c>
      <c r="M14" s="119">
        <v>0.10780000000000001</v>
      </c>
      <c r="N14" s="125">
        <v>66656000000</v>
      </c>
    </row>
    <row r="15" spans="1:14" x14ac:dyDescent="0.25">
      <c r="A15" s="30" t="s">
        <v>26</v>
      </c>
      <c r="B15" s="125">
        <v>0</v>
      </c>
      <c r="C15" s="125">
        <v>0</v>
      </c>
      <c r="D15" s="125">
        <v>0</v>
      </c>
      <c r="G15" s="30" t="s">
        <v>75</v>
      </c>
      <c r="H15" s="139">
        <v>74294000000</v>
      </c>
      <c r="I15" s="125">
        <v>58370000000</v>
      </c>
      <c r="J15" s="125">
        <v>86.59</v>
      </c>
      <c r="K15" s="125">
        <v>11370000000</v>
      </c>
      <c r="L15" s="119">
        <v>5.4000000000000003E-3</v>
      </c>
      <c r="M15" s="119">
        <v>5.8000000000000003E-2</v>
      </c>
      <c r="N15" s="125">
        <v>42000000000</v>
      </c>
    </row>
    <row r="16" spans="1:14" x14ac:dyDescent="0.25">
      <c r="A16" s="28"/>
      <c r="G16" s="30" t="s">
        <v>76</v>
      </c>
      <c r="H16" s="125">
        <v>85528000000</v>
      </c>
      <c r="I16" s="125">
        <v>74210000000</v>
      </c>
      <c r="J16" s="125">
        <v>28.72</v>
      </c>
      <c r="K16" s="125">
        <v>17894000000</v>
      </c>
      <c r="L16" s="119">
        <v>6.7999999999999996E-3</v>
      </c>
      <c r="M16" s="119">
        <v>6.6600000000000006E-2</v>
      </c>
      <c r="N16" s="125">
        <v>54900000000</v>
      </c>
    </row>
    <row r="17" spans="1:12" ht="15.75" thickBot="1" x14ac:dyDescent="0.3">
      <c r="A17" s="26" t="s">
        <v>60</v>
      </c>
      <c r="B17" s="8"/>
    </row>
    <row r="18" spans="1:12" ht="15" customHeight="1" x14ac:dyDescent="0.25">
      <c r="A18" s="23" t="s">
        <v>47</v>
      </c>
      <c r="B18" s="126">
        <v>1.54</v>
      </c>
      <c r="D18" s="149" t="s">
        <v>114</v>
      </c>
      <c r="E18" s="149"/>
      <c r="G18" s="103" t="s">
        <v>71</v>
      </c>
      <c r="H18" s="103"/>
      <c r="I18" s="103"/>
      <c r="J18" s="103"/>
      <c r="K18" s="103"/>
      <c r="L18" s="103"/>
    </row>
    <row r="19" spans="1:12" x14ac:dyDescent="0.25">
      <c r="A19" s="30" t="s">
        <v>57</v>
      </c>
      <c r="B19" s="127">
        <v>8650814000</v>
      </c>
      <c r="D19" s="149"/>
      <c r="E19" s="149"/>
      <c r="G19" s="77" t="s">
        <v>66</v>
      </c>
      <c r="H19" s="85" t="s">
        <v>78</v>
      </c>
      <c r="I19" s="85" t="s">
        <v>81</v>
      </c>
      <c r="J19" s="85" t="s">
        <v>82</v>
      </c>
      <c r="K19" s="85" t="s">
        <v>70</v>
      </c>
      <c r="L19" s="77" t="s">
        <v>86</v>
      </c>
    </row>
    <row r="20" spans="1:12" x14ac:dyDescent="0.25">
      <c r="A20" s="30" t="s">
        <v>51</v>
      </c>
      <c r="B20" s="128">
        <v>281151000000</v>
      </c>
      <c r="D20" s="149"/>
      <c r="E20" s="149"/>
      <c r="G20" s="30" t="s">
        <v>72</v>
      </c>
      <c r="H20" s="146">
        <f>J4/H12</f>
        <v>8.2414965986394559</v>
      </c>
      <c r="I20" s="146">
        <f>J4/I12</f>
        <v>9.856694129763131</v>
      </c>
      <c r="J20" s="146">
        <f>H4/J12</f>
        <v>1.4814459373000639</v>
      </c>
      <c r="K20" s="146">
        <f>H4/3.06</f>
        <v>15.133986928104576</v>
      </c>
      <c r="L20" s="147">
        <f>N12/H12</f>
        <v>0.57560492551450959</v>
      </c>
    </row>
    <row r="21" spans="1:12" x14ac:dyDescent="0.25">
      <c r="D21" s="149"/>
      <c r="E21" s="149"/>
      <c r="G21" s="30" t="s">
        <v>73</v>
      </c>
      <c r="H21" s="146">
        <f>J5/H13</f>
        <v>12.111819187171688</v>
      </c>
      <c r="I21" s="146">
        <f>J5/I13</f>
        <v>15.051863940903624</v>
      </c>
      <c r="J21" s="146">
        <f>H5/J13</f>
        <v>0.82204882959979864</v>
      </c>
      <c r="K21" s="146">
        <f>H5/0.41</f>
        <v>79.658536585365852</v>
      </c>
      <c r="L21" s="147">
        <f>N13/H13</f>
        <v>0.7759330937240807</v>
      </c>
    </row>
    <row r="22" spans="1:12" ht="16.5" customHeight="1" thickBot="1" x14ac:dyDescent="0.3">
      <c r="A22" s="26" t="s">
        <v>109</v>
      </c>
      <c r="B22" s="24" t="s">
        <v>0</v>
      </c>
      <c r="D22" s="149" t="s">
        <v>115</v>
      </c>
      <c r="E22" s="149"/>
      <c r="G22" s="30" t="s">
        <v>74</v>
      </c>
      <c r="H22" s="146">
        <f>J6/H14</f>
        <v>20.176363316965443</v>
      </c>
      <c r="I22" s="146">
        <f>J6/I14</f>
        <v>23.632598471487359</v>
      </c>
      <c r="J22" s="146">
        <f>H6/J14</f>
        <v>1.691131498470948</v>
      </c>
      <c r="K22" s="146">
        <f>H6/8.88</f>
        <v>15.568693693693692</v>
      </c>
      <c r="L22" s="147">
        <f>N14/H14</f>
        <v>0.55759015584350402</v>
      </c>
    </row>
    <row r="23" spans="1:12" x14ac:dyDescent="0.25">
      <c r="A23" s="138" t="e" vm="1">
        <v>#VALUE!</v>
      </c>
      <c r="B23" s="117" cm="1">
        <f t="array" ref="B23">_FV(A23,"Price")/10</f>
        <v>1.982</v>
      </c>
      <c r="D23" s="149"/>
      <c r="E23" s="149"/>
      <c r="G23" s="30" t="s">
        <v>75</v>
      </c>
      <c r="H23" s="146">
        <f>J7/H15</f>
        <v>21.933857377446362</v>
      </c>
      <c r="I23" s="146">
        <f>J7/I15</f>
        <v>27.917663183142025</v>
      </c>
      <c r="J23" s="146">
        <f>H7/J15</f>
        <v>0.72075297378450165</v>
      </c>
      <c r="K23" s="146">
        <f>H7/4.87</f>
        <v>12.815195071868581</v>
      </c>
      <c r="L23" s="147">
        <f>N15/H15</f>
        <v>0.56532156028750635</v>
      </c>
    </row>
    <row r="24" spans="1:12" x14ac:dyDescent="0.25">
      <c r="A24" s="28"/>
      <c r="C24" s="8"/>
      <c r="D24" s="149"/>
      <c r="E24" s="149"/>
      <c r="G24" s="142" t="s">
        <v>76</v>
      </c>
      <c r="H24" s="144">
        <f>J8/H16</f>
        <v>20.276926854363484</v>
      </c>
      <c r="I24" s="145">
        <f>J8/I16</f>
        <v>23.36942460584827</v>
      </c>
      <c r="J24" s="145">
        <f>H8/J16</f>
        <v>1.1316155988857939</v>
      </c>
      <c r="K24" s="145">
        <f>H8/1.87</f>
        <v>17.379679144385026</v>
      </c>
      <c r="L24" s="143">
        <f>N16/H16</f>
        <v>0.64189505191282392</v>
      </c>
    </row>
    <row r="25" spans="1:12" ht="15.75" thickBot="1" x14ac:dyDescent="0.3">
      <c r="A25" s="109" t="s">
        <v>110</v>
      </c>
      <c r="B25" s="83" t="s">
        <v>0</v>
      </c>
      <c r="D25" s="149"/>
      <c r="E25" s="149"/>
      <c r="G25" s="77" t="s">
        <v>87</v>
      </c>
      <c r="H25" s="140">
        <f>AVERAGE(H21:H23)</f>
        <v>18.074013293861167</v>
      </c>
      <c r="I25" s="140">
        <f>AVERAGE(I21:I23)</f>
        <v>22.200708531844338</v>
      </c>
      <c r="J25" s="140">
        <f>AVERAGE(J20:J23)</f>
        <v>1.178844809788828</v>
      </c>
      <c r="K25" s="140">
        <f>AVERAGE(K20,K22:K23)</f>
        <v>14.505958564555618</v>
      </c>
      <c r="L25" s="141">
        <f>AVERAGE(L20:L23)</f>
        <v>0.61861243384240017</v>
      </c>
    </row>
    <row r="26" spans="1:12" x14ac:dyDescent="0.25">
      <c r="A26" s="138" t="e" vm="3">
        <v>#VALUE!</v>
      </c>
      <c r="B26" s="118" cm="1">
        <f t="array" ref="B26">_FV(A26,"Price")</f>
        <v>43.73</v>
      </c>
      <c r="D26" s="149"/>
      <c r="E26" s="149"/>
      <c r="G26" s="77" t="s">
        <v>88</v>
      </c>
      <c r="H26" s="140">
        <f>MEDIAN(H20:H23)</f>
        <v>16.144091252068566</v>
      </c>
      <c r="I26" s="140">
        <f>MEDIAN(I21:I23)</f>
        <v>23.632598471487359</v>
      </c>
      <c r="J26" s="140">
        <f>MEDIAN(J20:J23)</f>
        <v>1.1517473834499312</v>
      </c>
      <c r="K26" s="140">
        <f>MEDIAN(K20,K22:K23)</f>
        <v>15.133986928104576</v>
      </c>
      <c r="L26" s="141">
        <f>MEDIAN(L20:L23)</f>
        <v>0.57046324290100792</v>
      </c>
    </row>
    <row r="27" spans="1:12" x14ac:dyDescent="0.25">
      <c r="D27" s="149"/>
      <c r="E27" s="149"/>
      <c r="G27" s="77" t="s">
        <v>71</v>
      </c>
      <c r="H27" s="87" t="s">
        <v>89</v>
      </c>
      <c r="I27" s="87" t="s">
        <v>90</v>
      </c>
      <c r="J27" s="87" t="s">
        <v>92</v>
      </c>
      <c r="K27" s="87" t="s">
        <v>93</v>
      </c>
      <c r="L27" s="87" t="s">
        <v>93</v>
      </c>
    </row>
    <row r="28" spans="1:12" ht="15.75" thickBot="1" x14ac:dyDescent="0.3">
      <c r="A28" s="26" t="s">
        <v>63</v>
      </c>
      <c r="D28" s="149"/>
      <c r="E28" s="149"/>
      <c r="G28" s="77" t="s">
        <v>91</v>
      </c>
      <c r="H28" s="29" t="s">
        <v>72</v>
      </c>
      <c r="I28" s="29" t="s">
        <v>72</v>
      </c>
      <c r="J28" s="86" t="s">
        <v>4</v>
      </c>
      <c r="K28" s="29" t="s">
        <v>111</v>
      </c>
      <c r="L28" s="86" t="s">
        <v>4</v>
      </c>
    </row>
    <row r="29" spans="1:12" x14ac:dyDescent="0.25">
      <c r="A29" s="23" t="s">
        <v>13</v>
      </c>
      <c r="B29" s="119">
        <v>2.5000000000000001E-2</v>
      </c>
      <c r="D29" s="148"/>
      <c r="E29" s="148"/>
    </row>
    <row r="30" spans="1:12" x14ac:dyDescent="0.25">
      <c r="A30" s="30" t="s">
        <v>62</v>
      </c>
      <c r="B30" s="120">
        <v>0.1</v>
      </c>
    </row>
    <row r="32" spans="1:12" x14ac:dyDescent="0.25">
      <c r="A32" s="24" t="s">
        <v>65</v>
      </c>
      <c r="B32" s="112">
        <f>B47</f>
        <v>49.379984110931744</v>
      </c>
    </row>
    <row r="33" spans="1:9" x14ac:dyDescent="0.25">
      <c r="A33" s="77" t="s">
        <v>94</v>
      </c>
      <c r="B33" s="112">
        <f>B106</f>
        <v>57.025040262544941</v>
      </c>
    </row>
    <row r="34" spans="1:9" x14ac:dyDescent="0.25">
      <c r="A34" s="77" t="s">
        <v>97</v>
      </c>
      <c r="B34" s="80">
        <f>AVERAGE(B32:B33)</f>
        <v>53.202512186738346</v>
      </c>
    </row>
    <row r="36" spans="1:9" ht="15.75" thickBot="1" x14ac:dyDescent="0.3">
      <c r="A36" s="12" t="s">
        <v>8</v>
      </c>
      <c r="B36" s="104" t="s">
        <v>24</v>
      </c>
      <c r="C36" s="105"/>
      <c r="D36" s="106"/>
      <c r="E36" s="107" t="s">
        <v>23</v>
      </c>
      <c r="F36" s="107"/>
      <c r="G36" s="107"/>
      <c r="H36" s="107"/>
      <c r="I36" s="107"/>
    </row>
    <row r="37" spans="1:9" x14ac:dyDescent="0.25">
      <c r="A37" s="22"/>
      <c r="B37" s="102" t="s">
        <v>17</v>
      </c>
      <c r="C37" s="74" t="s">
        <v>18</v>
      </c>
      <c r="D37" s="74" t="s">
        <v>19</v>
      </c>
      <c r="E37" s="74" t="s">
        <v>20</v>
      </c>
      <c r="F37" s="74" t="s">
        <v>21</v>
      </c>
      <c r="G37" s="74" t="s">
        <v>22</v>
      </c>
      <c r="H37" s="74" t="s">
        <v>56</v>
      </c>
      <c r="I37" s="75" t="s">
        <v>55</v>
      </c>
    </row>
    <row r="38" spans="1:9" x14ac:dyDescent="0.25">
      <c r="A38" s="22" t="s">
        <v>6</v>
      </c>
      <c r="B38" s="113">
        <f t="shared" ref="B38:H38" si="0">B61</f>
        <v>87352000000</v>
      </c>
      <c r="C38" s="113">
        <f t="shared" si="0"/>
        <v>91247000000</v>
      </c>
      <c r="D38" s="113">
        <f t="shared" si="0"/>
        <v>91244000000</v>
      </c>
      <c r="E38" s="72">
        <f t="shared" si="0"/>
        <v>93189935970.497665</v>
      </c>
      <c r="F38" s="72">
        <f t="shared" si="0"/>
        <v>95177372388.162003</v>
      </c>
      <c r="G38" s="72">
        <f t="shared" si="0"/>
        <v>97207194321.74202</v>
      </c>
      <c r="H38" s="72">
        <f t="shared" si="0"/>
        <v>99280305715.607193</v>
      </c>
      <c r="I38" s="7"/>
    </row>
    <row r="39" spans="1:9" x14ac:dyDescent="0.25">
      <c r="A39" s="22" t="s">
        <v>29</v>
      </c>
      <c r="B39" s="81">
        <f>B55</f>
        <v>18232000000</v>
      </c>
      <c r="C39" s="81">
        <f>C55</f>
        <v>28147000000</v>
      </c>
      <c r="D39" s="81">
        <f>D55</f>
        <v>27430000000</v>
      </c>
      <c r="E39" s="33">
        <f>E67</f>
        <v>25403939032.325722</v>
      </c>
      <c r="F39" s="33">
        <f>F67</f>
        <v>25945721930.437729</v>
      </c>
      <c r="G39" s="33">
        <f>G67</f>
        <v>26499059285.057964</v>
      </c>
      <c r="H39" s="34">
        <f>H67</f>
        <v>27064197514.937675</v>
      </c>
      <c r="I39" s="7"/>
    </row>
    <row r="40" spans="1:9" x14ac:dyDescent="0.25">
      <c r="A40" s="22" t="s">
        <v>9</v>
      </c>
      <c r="B40" s="70">
        <f>B52</f>
        <v>10403000000</v>
      </c>
      <c r="C40" s="70">
        <f>C52</f>
        <v>39520000000</v>
      </c>
      <c r="D40" s="70">
        <f>D52</f>
        <v>61777000000</v>
      </c>
      <c r="E40" s="64">
        <f>E56</f>
        <v>35792597066.882126</v>
      </c>
      <c r="F40" s="64">
        <f>F56</f>
        <v>36555936049.280693</v>
      </c>
      <c r="G40" s="64">
        <f>G56</f>
        <v>37335554554.535912</v>
      </c>
      <c r="H40" s="64">
        <f>H56</f>
        <v>38131799771.603874</v>
      </c>
      <c r="I40" s="58">
        <f>(H40*(1+B44))/(B43-B44)</f>
        <v>470797852279.13977</v>
      </c>
    </row>
    <row r="41" spans="1:9" x14ac:dyDescent="0.25">
      <c r="A41" s="22" t="s">
        <v>10</v>
      </c>
      <c r="B41" s="4"/>
      <c r="C41" s="4"/>
      <c r="D41" s="4"/>
      <c r="E41" s="65">
        <f>(1+B43)^1</f>
        <v>1.1080188467867522</v>
      </c>
      <c r="F41" s="66">
        <f>(1+B43)^2</f>
        <v>1.2277057648346443</v>
      </c>
      <c r="G41" s="67">
        <f>(1+B43)^3</f>
        <v>1.3603211257455303</v>
      </c>
      <c r="H41" s="68">
        <f>(1+B43)^4</f>
        <v>1.5072614450082189</v>
      </c>
      <c r="I41" s="68">
        <f>H41</f>
        <v>1.5072614450082189</v>
      </c>
    </row>
    <row r="42" spans="1:9" x14ac:dyDescent="0.25">
      <c r="A42" s="22" t="s">
        <v>11</v>
      </c>
      <c r="E42" s="33">
        <f>E40/E41</f>
        <v>32303238496.962788</v>
      </c>
      <c r="F42" s="33">
        <f>F40/F41</f>
        <v>29775812003.460205</v>
      </c>
      <c r="G42" s="33">
        <f>G40/G41</f>
        <v>27446133010.743317</v>
      </c>
      <c r="H42" s="33">
        <f>H40/H41</f>
        <v>25298729625.102264</v>
      </c>
      <c r="I42" s="33">
        <f>I40/I41</f>
        <v>312353144730.35736</v>
      </c>
    </row>
    <row r="43" spans="1:9" ht="15.75" thickBot="1" x14ac:dyDescent="0.3">
      <c r="A43" s="22" t="s">
        <v>12</v>
      </c>
      <c r="B43" s="46">
        <f>B93</f>
        <v>0.10801884678675233</v>
      </c>
      <c r="C43" s="4"/>
      <c r="D43" s="4"/>
      <c r="E43" s="4"/>
      <c r="G43" s="6"/>
      <c r="H43" s="5"/>
      <c r="I43" s="5"/>
    </row>
    <row r="44" spans="1:9" x14ac:dyDescent="0.25">
      <c r="A44" s="22" t="s">
        <v>13</v>
      </c>
      <c r="B44" s="46">
        <f>B29</f>
        <v>2.5000000000000001E-2</v>
      </c>
    </row>
    <row r="45" spans="1:9" x14ac:dyDescent="0.25">
      <c r="A45" s="22" t="s">
        <v>14</v>
      </c>
      <c r="B45" s="101">
        <f>SUM(E42:I42)</f>
        <v>427177057866.62592</v>
      </c>
      <c r="C45" s="4"/>
      <c r="D45" s="4"/>
      <c r="E45" s="4"/>
    </row>
    <row r="46" spans="1:9" x14ac:dyDescent="0.25">
      <c r="A46" s="22" t="s">
        <v>15</v>
      </c>
      <c r="B46" s="76">
        <f>B19</f>
        <v>8650814000</v>
      </c>
      <c r="G46" s="6"/>
    </row>
    <row r="47" spans="1:9" ht="15.75" thickBot="1" x14ac:dyDescent="0.3">
      <c r="A47" s="23" t="s">
        <v>16</v>
      </c>
      <c r="B47" s="96">
        <f>B45/B46</f>
        <v>49.379984110931744</v>
      </c>
      <c r="C47" s="4"/>
      <c r="D47" s="4"/>
      <c r="E47" s="4"/>
      <c r="G47" s="5"/>
    </row>
    <row r="48" spans="1:9" ht="15.75" thickBot="1" x14ac:dyDescent="0.3">
      <c r="G48" s="5"/>
    </row>
    <row r="49" spans="1:8" ht="15.75" thickBot="1" x14ac:dyDescent="0.3">
      <c r="A49" s="19" t="s">
        <v>28</v>
      </c>
      <c r="B49" s="4"/>
      <c r="C49" s="4"/>
      <c r="D49" s="4"/>
      <c r="E49" s="4"/>
      <c r="G49" s="5"/>
    </row>
    <row r="50" spans="1:8" x14ac:dyDescent="0.25">
      <c r="A50" s="21" t="s">
        <v>25</v>
      </c>
      <c r="B50" s="101">
        <f>B14</f>
        <v>10403000000</v>
      </c>
      <c r="C50" s="101">
        <f>C14</f>
        <v>39520000000</v>
      </c>
      <c r="D50" s="101">
        <f>D14</f>
        <v>61777000000</v>
      </c>
      <c r="G50" s="6"/>
    </row>
    <row r="51" spans="1:8" ht="15.75" thickBot="1" x14ac:dyDescent="0.3">
      <c r="A51" s="22" t="s">
        <v>26</v>
      </c>
      <c r="B51" s="101">
        <f>B15</f>
        <v>0</v>
      </c>
      <c r="C51" s="101">
        <f>C15</f>
        <v>0</v>
      </c>
      <c r="D51" s="101">
        <f>D15</f>
        <v>0</v>
      </c>
      <c r="E51" s="4"/>
      <c r="G51" s="5"/>
    </row>
    <row r="52" spans="1:8" ht="15.75" thickBot="1" x14ac:dyDescent="0.3">
      <c r="A52" s="23" t="s">
        <v>27</v>
      </c>
      <c r="B52" s="41">
        <f>SUM(B50:B51)</f>
        <v>10403000000</v>
      </c>
      <c r="C52" s="41">
        <f>SUM(C50:C51)</f>
        <v>39520000000</v>
      </c>
      <c r="D52" s="41">
        <f>SUM(D50:D51)</f>
        <v>61777000000</v>
      </c>
      <c r="G52" s="5"/>
    </row>
    <row r="53" spans="1:8" ht="15.75" thickBot="1" x14ac:dyDescent="0.3">
      <c r="B53" s="4"/>
      <c r="C53" s="4"/>
      <c r="D53" s="4"/>
      <c r="E53" s="4"/>
      <c r="G53" s="5"/>
    </row>
    <row r="54" spans="1:8" ht="15.75" thickBot="1" x14ac:dyDescent="0.3">
      <c r="A54" s="12" t="s">
        <v>37</v>
      </c>
      <c r="G54" s="6"/>
    </row>
    <row r="55" spans="1:8" x14ac:dyDescent="0.25">
      <c r="A55" s="114" t="s">
        <v>29</v>
      </c>
      <c r="B55" s="101">
        <f>B3</f>
        <v>18232000000</v>
      </c>
      <c r="C55" s="101">
        <f>C3</f>
        <v>28147000000</v>
      </c>
      <c r="D55" s="101">
        <f>D3</f>
        <v>27430000000</v>
      </c>
      <c r="E55" s="43">
        <f>E67</f>
        <v>25403939032.325722</v>
      </c>
      <c r="F55" s="33">
        <f>F67</f>
        <v>25945721930.437729</v>
      </c>
      <c r="G55" s="18">
        <f>G67</f>
        <v>26499059285.057964</v>
      </c>
      <c r="H55" s="33">
        <f>H67</f>
        <v>27064197514.937675</v>
      </c>
    </row>
    <row r="56" spans="1:8" x14ac:dyDescent="0.25">
      <c r="A56" s="114" t="s">
        <v>30</v>
      </c>
      <c r="B56" s="45">
        <f>B52</f>
        <v>10403000000</v>
      </c>
      <c r="C56" s="45">
        <f>C52</f>
        <v>39520000000</v>
      </c>
      <c r="D56" s="45">
        <f>D52</f>
        <v>61777000000</v>
      </c>
      <c r="E56" s="44">
        <f>E55*$B$58</f>
        <v>35792597066.882126</v>
      </c>
      <c r="F56" s="33">
        <f>F55*$B$58</f>
        <v>36555936049.280693</v>
      </c>
      <c r="G56" s="18">
        <f>G55*$B$58</f>
        <v>37335554554.535912</v>
      </c>
      <c r="H56" s="18">
        <f>H55*$B$58</f>
        <v>38131799771.603874</v>
      </c>
    </row>
    <row r="57" spans="1:8" ht="15.75" thickBot="1" x14ac:dyDescent="0.3">
      <c r="A57" s="114" t="s">
        <v>38</v>
      </c>
      <c r="B57" s="46">
        <f>B56/B55</f>
        <v>0.57059017112768762</v>
      </c>
      <c r="C57" s="46">
        <f>C56/C55</f>
        <v>1.4040572707570966</v>
      </c>
      <c r="D57" s="46">
        <f>D56/D55</f>
        <v>2.2521691578563616</v>
      </c>
      <c r="E57" s="31"/>
      <c r="F57" s="7"/>
      <c r="G57" s="5"/>
      <c r="H57" s="7"/>
    </row>
    <row r="58" spans="1:8" x14ac:dyDescent="0.25">
      <c r="A58" s="36" t="s">
        <v>39</v>
      </c>
      <c r="B58" s="47">
        <f>AVERAGE(B57:D57)</f>
        <v>1.4089388665803819</v>
      </c>
      <c r="C58" s="48"/>
      <c r="D58" s="48"/>
      <c r="E58" s="31"/>
      <c r="F58" s="7"/>
      <c r="G58" s="111"/>
      <c r="H58" s="7"/>
    </row>
    <row r="59" spans="1:8" x14ac:dyDescent="0.25">
      <c r="B59" s="10"/>
      <c r="C59" s="10"/>
      <c r="D59" s="10"/>
      <c r="E59" s="4"/>
      <c r="G59" s="111"/>
    </row>
    <row r="60" spans="1:8" ht="15.75" thickBot="1" x14ac:dyDescent="0.3">
      <c r="A60" s="12" t="s">
        <v>33</v>
      </c>
      <c r="G60" s="6"/>
    </row>
    <row r="61" spans="1:8" x14ac:dyDescent="0.25">
      <c r="A61" s="22" t="s">
        <v>6</v>
      </c>
      <c r="B61" s="101">
        <f>B2</f>
        <v>87352000000</v>
      </c>
      <c r="C61" s="101">
        <f>C2</f>
        <v>91247000000</v>
      </c>
      <c r="D61" s="101">
        <f>D2</f>
        <v>91244000000</v>
      </c>
      <c r="E61" s="57">
        <f>D61*(1+$B$63)</f>
        <v>93189935970.497665</v>
      </c>
      <c r="F61" s="58">
        <f>E61*(1+$B$63)</f>
        <v>95177372388.162003</v>
      </c>
      <c r="G61" s="59">
        <f>F61*(1+$B$63)</f>
        <v>97207194321.74202</v>
      </c>
      <c r="H61" s="58">
        <f>G61*(1+$B$63)</f>
        <v>99280305715.607193</v>
      </c>
    </row>
    <row r="62" spans="1:8" x14ac:dyDescent="0.25">
      <c r="A62" s="22" t="s">
        <v>32</v>
      </c>
      <c r="B62" s="99" t="s">
        <v>4</v>
      </c>
      <c r="C62" s="46">
        <f>1-(B61/C61)</f>
        <v>4.2686334893201949E-2</v>
      </c>
      <c r="D62" s="56">
        <f>1-(C61/D61)</f>
        <v>-3.2878874227426635E-5</v>
      </c>
      <c r="E62" s="7"/>
      <c r="F62" s="7"/>
      <c r="G62" s="111"/>
      <c r="H62" s="7"/>
    </row>
    <row r="63" spans="1:8" x14ac:dyDescent="0.25">
      <c r="A63" s="36" t="s">
        <v>34</v>
      </c>
      <c r="B63" s="47">
        <f>AVERAGE(C62:D62)</f>
        <v>2.1326728009487261E-2</v>
      </c>
      <c r="C63" s="31"/>
      <c r="D63" s="31"/>
      <c r="E63" s="31"/>
      <c r="F63" s="7"/>
      <c r="G63" s="111"/>
      <c r="H63" s="7"/>
    </row>
    <row r="64" spans="1:8" x14ac:dyDescent="0.25">
      <c r="B64" s="35"/>
      <c r="C64" s="7"/>
      <c r="D64" s="7"/>
      <c r="E64" s="7"/>
      <c r="F64" s="7"/>
      <c r="G64" s="17"/>
      <c r="H64" s="7"/>
    </row>
    <row r="65" spans="1:8" ht="15.75" thickBot="1" x14ac:dyDescent="0.3">
      <c r="A65" s="12" t="s">
        <v>35</v>
      </c>
      <c r="B65" s="7"/>
      <c r="C65" s="7"/>
      <c r="D65" s="7"/>
      <c r="E65" s="7"/>
      <c r="F65" s="7"/>
      <c r="G65" s="111"/>
      <c r="H65" s="7"/>
    </row>
    <row r="66" spans="1:8" x14ac:dyDescent="0.25">
      <c r="A66" s="22" t="s">
        <v>6</v>
      </c>
      <c r="B66" s="101">
        <f>B2</f>
        <v>87352000000</v>
      </c>
      <c r="C66" s="101">
        <f>C2</f>
        <v>91247000000</v>
      </c>
      <c r="D66" s="101">
        <f>D2</f>
        <v>91244000000</v>
      </c>
      <c r="E66" s="44">
        <f>E61</f>
        <v>93189935970.497665</v>
      </c>
      <c r="F66" s="33">
        <f>F61</f>
        <v>95177372388.162003</v>
      </c>
      <c r="G66" s="18">
        <f>G61</f>
        <v>97207194321.74202</v>
      </c>
      <c r="H66" s="33">
        <f>H61</f>
        <v>99280305715.607193</v>
      </c>
    </row>
    <row r="67" spans="1:8" x14ac:dyDescent="0.25">
      <c r="A67" s="22" t="s">
        <v>29</v>
      </c>
      <c r="B67" s="101">
        <f>B3</f>
        <v>18232000000</v>
      </c>
      <c r="C67" s="101">
        <f>C3</f>
        <v>28147000000</v>
      </c>
      <c r="D67" s="101">
        <f>D3</f>
        <v>27430000000</v>
      </c>
      <c r="E67" s="62">
        <f>E66*$B$69</f>
        <v>25403939032.325722</v>
      </c>
      <c r="F67" s="58">
        <f>F66*$B$69</f>
        <v>25945721930.437729</v>
      </c>
      <c r="G67" s="58">
        <f>G66*$B$69</f>
        <v>26499059285.057964</v>
      </c>
      <c r="H67" s="58">
        <f>H66*$B$69</f>
        <v>27064197514.937675</v>
      </c>
    </row>
    <row r="68" spans="1:8" x14ac:dyDescent="0.25">
      <c r="A68" s="22" t="s">
        <v>35</v>
      </c>
      <c r="B68" s="46">
        <f>B67/B66</f>
        <v>0.2087187471380163</v>
      </c>
      <c r="C68" s="46">
        <f>C67/C66</f>
        <v>0.30847041546571397</v>
      </c>
      <c r="D68" s="56">
        <f>D67/D66</f>
        <v>0.3006225066853711</v>
      </c>
      <c r="E68" s="7"/>
      <c r="F68" s="7"/>
      <c r="G68" s="17"/>
      <c r="H68" s="7"/>
    </row>
    <row r="69" spans="1:8" x14ac:dyDescent="0.25">
      <c r="A69" s="36" t="s">
        <v>36</v>
      </c>
      <c r="B69" s="115">
        <f>AVERAGE(B68:D68)</f>
        <v>0.27260388976303379</v>
      </c>
      <c r="C69" s="31"/>
      <c r="D69" s="31"/>
      <c r="E69" s="31"/>
      <c r="F69" s="7"/>
      <c r="G69" s="111"/>
      <c r="H69" s="7"/>
    </row>
    <row r="70" spans="1:8" ht="15.75" thickBot="1" x14ac:dyDescent="0.3">
      <c r="G70" s="5"/>
    </row>
    <row r="71" spans="1:8" ht="15.75" thickBot="1" x14ac:dyDescent="0.3">
      <c r="A71" s="26" t="s">
        <v>40</v>
      </c>
      <c r="B71" s="1"/>
      <c r="C71" s="4"/>
      <c r="D71" s="4"/>
      <c r="E71" s="4"/>
      <c r="G71" s="5"/>
    </row>
    <row r="72" spans="1:8" x14ac:dyDescent="0.25">
      <c r="A72" s="22" t="s">
        <v>5</v>
      </c>
      <c r="B72" s="51">
        <f>B4</f>
        <v>12340000000</v>
      </c>
      <c r="C72" s="101">
        <f>C4</f>
        <v>18607000000</v>
      </c>
      <c r="D72" s="101">
        <f>D4</f>
        <v>22345000000</v>
      </c>
      <c r="E72" s="4"/>
      <c r="G72" s="111"/>
    </row>
    <row r="73" spans="1:8" x14ac:dyDescent="0.25">
      <c r="A73" s="22" t="s">
        <v>41</v>
      </c>
      <c r="B73" s="51">
        <f>B9</f>
        <v>32666000000</v>
      </c>
      <c r="C73" s="101">
        <f>C9</f>
        <v>20189000000</v>
      </c>
      <c r="D73" s="101">
        <f>D9</f>
        <v>24204000000</v>
      </c>
      <c r="E73" s="4"/>
      <c r="G73" s="111"/>
    </row>
    <row r="74" spans="1:8" x14ac:dyDescent="0.25">
      <c r="A74" s="22" t="s">
        <v>42</v>
      </c>
      <c r="B74" s="51">
        <f>B10</f>
        <v>227402000000</v>
      </c>
      <c r="C74" s="101">
        <f>C10</f>
        <v>229340000000</v>
      </c>
      <c r="D74" s="101">
        <f>D10</f>
        <v>240856000000</v>
      </c>
      <c r="E74" s="4"/>
      <c r="G74" s="111"/>
    </row>
    <row r="75" spans="1:8" x14ac:dyDescent="0.25">
      <c r="A75" s="22" t="s">
        <v>44</v>
      </c>
      <c r="B75" s="52">
        <f>B72/(B73+B74)</f>
        <v>4.7449128689419688E-2</v>
      </c>
      <c r="C75" s="46">
        <f>C72/(C73+C74)</f>
        <v>7.4568487029563701E-2</v>
      </c>
      <c r="D75" s="46">
        <f>D72/(D73+D74)</f>
        <v>8.4301667546970493E-2</v>
      </c>
      <c r="E75" s="4"/>
      <c r="G75" s="111"/>
    </row>
    <row r="76" spans="1:8" x14ac:dyDescent="0.25">
      <c r="A76" s="22" t="s">
        <v>2</v>
      </c>
      <c r="B76" s="51">
        <f>B5</f>
        <v>29213000000</v>
      </c>
      <c r="C76" s="101">
        <f>C5</f>
        <v>34584000000</v>
      </c>
      <c r="D76" s="101">
        <f>D5</f>
        <v>32754000000</v>
      </c>
      <c r="G76" s="6"/>
    </row>
    <row r="77" spans="1:8" ht="15.75" thickBot="1" x14ac:dyDescent="0.3">
      <c r="A77" s="22" t="s">
        <v>3</v>
      </c>
      <c r="B77" s="51">
        <f>B6</f>
        <v>10981000000</v>
      </c>
      <c r="C77" s="101">
        <f>C6</f>
        <v>6437000000</v>
      </c>
      <c r="D77" s="101">
        <f>D6</f>
        <v>5324000000</v>
      </c>
      <c r="E77" s="4"/>
      <c r="G77" s="5"/>
    </row>
    <row r="78" spans="1:8" ht="15.75" thickBot="1" x14ac:dyDescent="0.3">
      <c r="A78" s="22" t="s">
        <v>43</v>
      </c>
      <c r="B78" s="52">
        <f>B77/B76</f>
        <v>0.37589429363639476</v>
      </c>
      <c r="C78" s="46">
        <f>C77/C76</f>
        <v>0.18612653250057831</v>
      </c>
      <c r="D78" s="46">
        <f>D77/D76</f>
        <v>0.16254503266776577</v>
      </c>
      <c r="G78" s="5"/>
    </row>
    <row r="79" spans="1:8" ht="15.75" thickBot="1" x14ac:dyDescent="0.3">
      <c r="A79" s="22" t="s">
        <v>45</v>
      </c>
      <c r="B79" s="52">
        <f>B75*(1-B78)</f>
        <v>2.9613271977047884E-2</v>
      </c>
      <c r="C79" s="46">
        <f>C75*(1-C78)</f>
        <v>6.0689313104936658E-2</v>
      </c>
      <c r="D79" s="47">
        <f>D75*(1-D78)</f>
        <v>7.0598850241601049E-2</v>
      </c>
      <c r="E79" s="4"/>
      <c r="G79" s="5"/>
    </row>
    <row r="80" spans="1:8" x14ac:dyDescent="0.25">
      <c r="A80" s="22"/>
      <c r="B80" s="35"/>
      <c r="C80" s="7"/>
      <c r="D80" s="7"/>
      <c r="G80" s="6"/>
    </row>
    <row r="81" spans="1:9" ht="15.75" thickBot="1" x14ac:dyDescent="0.3">
      <c r="A81" s="22" t="s">
        <v>46</v>
      </c>
      <c r="B81" s="52">
        <f>B23/100</f>
        <v>1.9820000000000001E-2</v>
      </c>
      <c r="C81" s="31"/>
      <c r="D81" s="31"/>
      <c r="E81" s="4"/>
      <c r="G81" s="5"/>
    </row>
    <row r="82" spans="1:9" ht="15.75" thickBot="1" x14ac:dyDescent="0.3">
      <c r="A82" s="22" t="s">
        <v>49</v>
      </c>
      <c r="B82" s="53">
        <f>B18</f>
        <v>1.54</v>
      </c>
      <c r="C82" s="7"/>
      <c r="D82" s="7"/>
      <c r="G82" s="5"/>
    </row>
    <row r="83" spans="1:9" ht="15.75" thickBot="1" x14ac:dyDescent="0.3">
      <c r="A83" s="22" t="s">
        <v>48</v>
      </c>
      <c r="B83" s="78">
        <f>B30</f>
        <v>0.1</v>
      </c>
      <c r="C83" s="31"/>
      <c r="D83" s="31"/>
      <c r="E83" s="4"/>
      <c r="G83" s="5"/>
    </row>
    <row r="84" spans="1:9" x14ac:dyDescent="0.25">
      <c r="A84" s="22" t="s">
        <v>50</v>
      </c>
      <c r="B84" s="54">
        <f>B81+B82*(B83-B81)</f>
        <v>0.14329720000000001</v>
      </c>
      <c r="C84" s="7"/>
      <c r="D84" s="7"/>
      <c r="G84" s="6"/>
    </row>
    <row r="85" spans="1:9" ht="15.75" thickBot="1" x14ac:dyDescent="0.3">
      <c r="A85" s="22"/>
      <c r="B85" s="7"/>
      <c r="C85" s="31"/>
      <c r="D85" s="31"/>
      <c r="E85" s="4"/>
      <c r="G85" s="5"/>
    </row>
    <row r="86" spans="1:9" ht="15.75" thickBot="1" x14ac:dyDescent="0.3">
      <c r="A86" s="22" t="s">
        <v>7</v>
      </c>
      <c r="B86" s="51">
        <f>D11</f>
        <v>265060000000</v>
      </c>
      <c r="C86" s="32"/>
      <c r="D86" s="32"/>
      <c r="G86" s="5"/>
    </row>
    <row r="87" spans="1:9" ht="15.75" thickBot="1" x14ac:dyDescent="0.3">
      <c r="A87" s="22" t="s">
        <v>51</v>
      </c>
      <c r="B87" s="51">
        <f>B20</f>
        <v>281151000000</v>
      </c>
      <c r="C87" s="32"/>
      <c r="D87" s="32"/>
      <c r="E87" s="4"/>
      <c r="G87" s="5"/>
    </row>
    <row r="88" spans="1:9" x14ac:dyDescent="0.25">
      <c r="A88" s="22" t="s">
        <v>52</v>
      </c>
      <c r="B88" s="116">
        <f>SUM(B86:B87)</f>
        <v>546211000000</v>
      </c>
      <c r="C88" s="7"/>
      <c r="D88" s="7"/>
      <c r="G88" s="6"/>
    </row>
    <row r="89" spans="1:9" ht="15.75" thickBot="1" x14ac:dyDescent="0.3">
      <c r="A89" s="22"/>
      <c r="B89" s="31"/>
      <c r="C89" s="31"/>
      <c r="D89" s="31"/>
      <c r="E89" s="4"/>
      <c r="G89" s="5"/>
    </row>
    <row r="90" spans="1:9" ht="15.75" thickBot="1" x14ac:dyDescent="0.3">
      <c r="A90" s="22" t="s">
        <v>53</v>
      </c>
      <c r="B90" s="52">
        <f>B86/B88</f>
        <v>0.48527034424425725</v>
      </c>
      <c r="C90" s="7"/>
      <c r="D90" s="7"/>
      <c r="F90" s="5"/>
    </row>
    <row r="91" spans="1:9" ht="15.75" thickBot="1" x14ac:dyDescent="0.3">
      <c r="A91" s="22" t="s">
        <v>54</v>
      </c>
      <c r="B91" s="52">
        <f>B87/B88</f>
        <v>0.5147296557557427</v>
      </c>
      <c r="C91" s="4"/>
      <c r="D91" s="4"/>
      <c r="E91" s="4"/>
      <c r="G91" s="5"/>
    </row>
    <row r="92" spans="1:9" x14ac:dyDescent="0.25">
      <c r="A92" s="22"/>
      <c r="B92" s="7"/>
      <c r="G92" s="6"/>
    </row>
    <row r="93" spans="1:9" ht="15.75" thickBot="1" x14ac:dyDescent="0.3">
      <c r="A93" s="23" t="s">
        <v>40</v>
      </c>
      <c r="B93" s="52">
        <f>B90*D79+B91*B84</f>
        <v>0.10801884678675233</v>
      </c>
      <c r="C93" s="7"/>
      <c r="D93" s="7"/>
      <c r="E93" s="7"/>
      <c r="G93" s="5"/>
    </row>
    <row r="95" spans="1:9" ht="15.75" thickBot="1" x14ac:dyDescent="0.3">
      <c r="A95" s="12" t="s">
        <v>95</v>
      </c>
      <c r="B95" s="104" t="s">
        <v>24</v>
      </c>
      <c r="C95" s="105"/>
      <c r="D95" s="106"/>
      <c r="E95" s="107" t="s">
        <v>23</v>
      </c>
      <c r="F95" s="107"/>
      <c r="G95" s="107"/>
      <c r="H95" s="107"/>
      <c r="I95" s="107"/>
    </row>
    <row r="96" spans="1:9" x14ac:dyDescent="0.25">
      <c r="A96" s="22"/>
      <c r="B96" s="102" t="s">
        <v>17</v>
      </c>
      <c r="C96" s="74" t="s">
        <v>18</v>
      </c>
      <c r="D96" s="74" t="s">
        <v>19</v>
      </c>
      <c r="E96" s="74" t="s">
        <v>20</v>
      </c>
      <c r="F96" s="74" t="s">
        <v>21</v>
      </c>
      <c r="G96" s="74" t="s">
        <v>22</v>
      </c>
      <c r="H96" s="74" t="s">
        <v>56</v>
      </c>
      <c r="I96" s="75" t="s">
        <v>55</v>
      </c>
    </row>
    <row r="97" spans="1:9" x14ac:dyDescent="0.25">
      <c r="A97" s="22" t="s">
        <v>6</v>
      </c>
      <c r="B97" s="113">
        <f t="shared" ref="B97:H97" si="1">B120</f>
        <v>87352000000</v>
      </c>
      <c r="C97" s="113">
        <f t="shared" si="1"/>
        <v>91247000000</v>
      </c>
      <c r="D97" s="113">
        <f t="shared" si="1"/>
        <v>91244000000</v>
      </c>
      <c r="E97" s="72">
        <f t="shared" si="1"/>
        <v>93189935970.497665</v>
      </c>
      <c r="F97" s="72">
        <f t="shared" si="1"/>
        <v>95177372388.162003</v>
      </c>
      <c r="G97" s="72">
        <f t="shared" si="1"/>
        <v>97207194321.74202</v>
      </c>
      <c r="H97" s="72">
        <f t="shared" si="1"/>
        <v>99280305715.607193</v>
      </c>
      <c r="I97" s="7"/>
    </row>
    <row r="98" spans="1:9" x14ac:dyDescent="0.25">
      <c r="A98" s="22" t="s">
        <v>29</v>
      </c>
      <c r="B98" s="81">
        <f>B114</f>
        <v>18232000000</v>
      </c>
      <c r="C98" s="81">
        <f>C114</f>
        <v>28147000000</v>
      </c>
      <c r="D98" s="81">
        <f>D114</f>
        <v>27430000000</v>
      </c>
      <c r="E98" s="33">
        <f>E126</f>
        <v>25403939032.325722</v>
      </c>
      <c r="F98" s="33">
        <f>F126</f>
        <v>25945721930.437729</v>
      </c>
      <c r="G98" s="33">
        <f>G126</f>
        <v>26499059285.057964</v>
      </c>
      <c r="H98" s="34">
        <f>H126</f>
        <v>27064197514.937675</v>
      </c>
      <c r="I98" s="7"/>
    </row>
    <row r="99" spans="1:9" x14ac:dyDescent="0.25">
      <c r="A99" s="22" t="s">
        <v>9</v>
      </c>
      <c r="B99" s="70">
        <f>B111</f>
        <v>10403000000</v>
      </c>
      <c r="C99" s="70">
        <f>C111</f>
        <v>39520000000</v>
      </c>
      <c r="D99" s="70">
        <f>D111</f>
        <v>61777000000</v>
      </c>
      <c r="E99" s="64">
        <f>E115</f>
        <v>35792597066.882126</v>
      </c>
      <c r="F99" s="64">
        <f>F115</f>
        <v>36555936049.280693</v>
      </c>
      <c r="G99" s="64">
        <f>G115</f>
        <v>37335554554.535912</v>
      </c>
      <c r="H99" s="64">
        <f>H115</f>
        <v>38131799771.603874</v>
      </c>
      <c r="I99" s="58">
        <f>(H99*(1+B103))/(B102-B103)</f>
        <v>543787551051.70416</v>
      </c>
    </row>
    <row r="100" spans="1:9" x14ac:dyDescent="0.25">
      <c r="A100" s="22" t="s">
        <v>10</v>
      </c>
      <c r="B100" s="4"/>
      <c r="C100" s="4"/>
      <c r="D100" s="4"/>
      <c r="E100" s="65">
        <f>(1+B102)^1</f>
        <v>1.0968756703611586</v>
      </c>
      <c r="F100" s="66">
        <f>(1+B102)^2</f>
        <v>1.2031362362302411</v>
      </c>
      <c r="G100" s="67">
        <f>(1+B102)^3</f>
        <v>1.319690865650847</v>
      </c>
      <c r="H100" s="68">
        <f>(1+B102)^4</f>
        <v>1.4475368029302706</v>
      </c>
      <c r="I100" s="68">
        <f>H100</f>
        <v>1.4475368029302706</v>
      </c>
    </row>
    <row r="101" spans="1:9" x14ac:dyDescent="0.25">
      <c r="A101" s="22" t="s">
        <v>11</v>
      </c>
      <c r="E101" s="33">
        <f>E99/E100</f>
        <v>32631407582.49931</v>
      </c>
      <c r="F101" s="33">
        <f>F99/F100</f>
        <v>30383870877.183918</v>
      </c>
      <c r="G101" s="33">
        <f>G99/G100</f>
        <v>28291136603.512604</v>
      </c>
      <c r="H101" s="33">
        <f>H99/H100</f>
        <v>26342542513.885033</v>
      </c>
      <c r="I101" s="33">
        <f>I99/I100</f>
        <v>375664059076.7066</v>
      </c>
    </row>
    <row r="102" spans="1:9" ht="15.75" thickBot="1" x14ac:dyDescent="0.3">
      <c r="A102" s="22" t="s">
        <v>12</v>
      </c>
      <c r="B102" s="46">
        <f>B153</f>
        <v>9.6875670361158558E-2</v>
      </c>
      <c r="C102" s="4"/>
      <c r="D102" s="4"/>
      <c r="E102" s="4"/>
      <c r="G102" s="6"/>
      <c r="H102" s="5"/>
      <c r="I102" s="5"/>
    </row>
    <row r="103" spans="1:9" x14ac:dyDescent="0.25">
      <c r="A103" s="22" t="s">
        <v>13</v>
      </c>
      <c r="B103" s="46">
        <f>B29</f>
        <v>2.5000000000000001E-2</v>
      </c>
    </row>
    <row r="104" spans="1:9" x14ac:dyDescent="0.25">
      <c r="A104" s="22" t="s">
        <v>14</v>
      </c>
      <c r="B104" s="101">
        <f>SUM(E101:I101)</f>
        <v>493313016653.78748</v>
      </c>
      <c r="C104" s="4"/>
      <c r="D104" s="4"/>
      <c r="E104" s="4"/>
    </row>
    <row r="105" spans="1:9" x14ac:dyDescent="0.25">
      <c r="A105" s="22" t="s">
        <v>15</v>
      </c>
      <c r="B105" s="76">
        <f>B19</f>
        <v>8650814000</v>
      </c>
      <c r="G105" s="6"/>
    </row>
    <row r="106" spans="1:9" ht="15.75" thickBot="1" x14ac:dyDescent="0.3">
      <c r="A106" s="23" t="s">
        <v>16</v>
      </c>
      <c r="B106" s="96">
        <f>B104/B105</f>
        <v>57.025040262544941</v>
      </c>
      <c r="C106" s="4"/>
      <c r="D106" s="4"/>
      <c r="E106" s="4"/>
      <c r="G106" s="5"/>
    </row>
    <row r="107" spans="1:9" ht="15.75" thickBot="1" x14ac:dyDescent="0.3">
      <c r="G107" s="5"/>
    </row>
    <row r="108" spans="1:9" ht="15.75" thickBot="1" x14ac:dyDescent="0.3">
      <c r="A108" s="19" t="s">
        <v>28</v>
      </c>
      <c r="B108" s="4"/>
      <c r="C108" s="4"/>
      <c r="D108" s="4"/>
      <c r="E108" s="4"/>
      <c r="G108" s="5"/>
    </row>
    <row r="109" spans="1:9" x14ac:dyDescent="0.25">
      <c r="A109" s="21" t="s">
        <v>25</v>
      </c>
      <c r="B109" s="101">
        <f t="shared" ref="B109:D110" si="2">B14</f>
        <v>10403000000</v>
      </c>
      <c r="C109" s="101">
        <f t="shared" si="2"/>
        <v>39520000000</v>
      </c>
      <c r="D109" s="101">
        <f t="shared" si="2"/>
        <v>61777000000</v>
      </c>
      <c r="G109" s="6"/>
    </row>
    <row r="110" spans="1:9" ht="15.75" thickBot="1" x14ac:dyDescent="0.3">
      <c r="A110" s="22" t="s">
        <v>26</v>
      </c>
      <c r="B110" s="101">
        <f t="shared" si="2"/>
        <v>0</v>
      </c>
      <c r="C110" s="101">
        <f t="shared" si="2"/>
        <v>0</v>
      </c>
      <c r="D110" s="101">
        <f t="shared" si="2"/>
        <v>0</v>
      </c>
      <c r="E110" s="4"/>
      <c r="G110" s="5"/>
    </row>
    <row r="111" spans="1:9" ht="15.75" thickBot="1" x14ac:dyDescent="0.3">
      <c r="A111" s="23" t="s">
        <v>27</v>
      </c>
      <c r="B111" s="41">
        <f>SUM(B109:B110)</f>
        <v>10403000000</v>
      </c>
      <c r="C111" s="41">
        <f>SUM(C109:C110)</f>
        <v>39520000000</v>
      </c>
      <c r="D111" s="41">
        <f>SUM(D109:D110)</f>
        <v>61777000000</v>
      </c>
      <c r="G111" s="5"/>
    </row>
    <row r="112" spans="1:9" ht="15.75" thickBot="1" x14ac:dyDescent="0.3">
      <c r="B112" s="4"/>
      <c r="C112" s="4"/>
      <c r="D112" s="4"/>
      <c r="E112" s="4"/>
      <c r="G112" s="5"/>
    </row>
    <row r="113" spans="1:8" ht="15.75" thickBot="1" x14ac:dyDescent="0.3">
      <c r="A113" s="12" t="s">
        <v>37</v>
      </c>
      <c r="G113" s="6"/>
    </row>
    <row r="114" spans="1:8" x14ac:dyDescent="0.25">
      <c r="A114" s="114" t="s">
        <v>29</v>
      </c>
      <c r="B114" s="101">
        <f>B3</f>
        <v>18232000000</v>
      </c>
      <c r="C114" s="101">
        <f>C3</f>
        <v>28147000000</v>
      </c>
      <c r="D114" s="101">
        <f>D3</f>
        <v>27430000000</v>
      </c>
      <c r="E114" s="43">
        <f>E126</f>
        <v>25403939032.325722</v>
      </c>
      <c r="F114" s="33">
        <f>F126</f>
        <v>25945721930.437729</v>
      </c>
      <c r="G114" s="18">
        <f>G126</f>
        <v>26499059285.057964</v>
      </c>
      <c r="H114" s="33">
        <f>H126</f>
        <v>27064197514.937675</v>
      </c>
    </row>
    <row r="115" spans="1:8" x14ac:dyDescent="0.25">
      <c r="A115" s="114" t="s">
        <v>30</v>
      </c>
      <c r="B115" s="45">
        <f>B111</f>
        <v>10403000000</v>
      </c>
      <c r="C115" s="45">
        <f>C111</f>
        <v>39520000000</v>
      </c>
      <c r="D115" s="45">
        <f>D111</f>
        <v>61777000000</v>
      </c>
      <c r="E115" s="44">
        <f>E114*$B$58</f>
        <v>35792597066.882126</v>
      </c>
      <c r="F115" s="33">
        <f>F114*$B$58</f>
        <v>36555936049.280693</v>
      </c>
      <c r="G115" s="18">
        <f>G114*$B$58</f>
        <v>37335554554.535912</v>
      </c>
      <c r="H115" s="18">
        <f>H114*$B$58</f>
        <v>38131799771.603874</v>
      </c>
    </row>
    <row r="116" spans="1:8" ht="15.75" thickBot="1" x14ac:dyDescent="0.3">
      <c r="A116" s="114" t="s">
        <v>38</v>
      </c>
      <c r="B116" s="46">
        <f>B115/B114</f>
        <v>0.57059017112768762</v>
      </c>
      <c r="C116" s="46">
        <f>C115/C114</f>
        <v>1.4040572707570966</v>
      </c>
      <c r="D116" s="46">
        <f>D115/D114</f>
        <v>2.2521691578563616</v>
      </c>
      <c r="E116" s="31"/>
      <c r="F116" s="7"/>
      <c r="G116" s="5"/>
      <c r="H116" s="7"/>
    </row>
    <row r="117" spans="1:8" x14ac:dyDescent="0.25">
      <c r="A117" s="36" t="s">
        <v>39</v>
      </c>
      <c r="B117" s="47">
        <f>AVERAGE(B116:D116)</f>
        <v>1.4089388665803819</v>
      </c>
      <c r="C117" s="48"/>
      <c r="D117" s="48"/>
      <c r="E117" s="31"/>
      <c r="F117" s="7"/>
      <c r="G117" s="111"/>
      <c r="H117" s="7"/>
    </row>
    <row r="118" spans="1:8" x14ac:dyDescent="0.25">
      <c r="B118" s="10"/>
      <c r="C118" s="10"/>
      <c r="D118" s="10"/>
      <c r="E118" s="4"/>
      <c r="G118" s="111"/>
    </row>
    <row r="119" spans="1:8" ht="15.75" thickBot="1" x14ac:dyDescent="0.3">
      <c r="A119" s="12" t="s">
        <v>33</v>
      </c>
      <c r="G119" s="6"/>
    </row>
    <row r="120" spans="1:8" x14ac:dyDescent="0.25">
      <c r="A120" s="22" t="s">
        <v>6</v>
      </c>
      <c r="B120" s="101">
        <f>B2</f>
        <v>87352000000</v>
      </c>
      <c r="C120" s="101">
        <f>C2</f>
        <v>91247000000</v>
      </c>
      <c r="D120" s="101">
        <f>D2</f>
        <v>91244000000</v>
      </c>
      <c r="E120" s="57">
        <f>D120*(1+$B$63)</f>
        <v>93189935970.497665</v>
      </c>
      <c r="F120" s="58">
        <f>E120*(1+$B$63)</f>
        <v>95177372388.162003</v>
      </c>
      <c r="G120" s="59">
        <f>F120*(1+$B$63)</f>
        <v>97207194321.74202</v>
      </c>
      <c r="H120" s="58">
        <f>G120*(1+$B$63)</f>
        <v>99280305715.607193</v>
      </c>
    </row>
    <row r="121" spans="1:8" x14ac:dyDescent="0.25">
      <c r="A121" s="22" t="s">
        <v>32</v>
      </c>
      <c r="B121" s="99" t="s">
        <v>4</v>
      </c>
      <c r="C121" s="46">
        <f>1-(B120/C120)</f>
        <v>4.2686334893201949E-2</v>
      </c>
      <c r="D121" s="56">
        <f>1-(C120/D120)</f>
        <v>-3.2878874227426635E-5</v>
      </c>
      <c r="E121" s="7"/>
      <c r="F121" s="7"/>
      <c r="G121" s="111"/>
      <c r="H121" s="7"/>
    </row>
    <row r="122" spans="1:8" x14ac:dyDescent="0.25">
      <c r="A122" s="36" t="s">
        <v>34</v>
      </c>
      <c r="B122" s="47">
        <f>AVERAGE(C121:D121)</f>
        <v>2.1326728009487261E-2</v>
      </c>
      <c r="C122" s="31"/>
      <c r="D122" s="31"/>
      <c r="E122" s="31"/>
      <c r="F122" s="7"/>
      <c r="G122" s="111"/>
      <c r="H122" s="7"/>
    </row>
    <row r="123" spans="1:8" x14ac:dyDescent="0.25">
      <c r="B123" s="35"/>
      <c r="C123" s="7"/>
      <c r="D123" s="7"/>
      <c r="E123" s="7"/>
      <c r="F123" s="7"/>
      <c r="G123" s="17"/>
      <c r="H123" s="7"/>
    </row>
    <row r="124" spans="1:8" ht="15.75" thickBot="1" x14ac:dyDescent="0.3">
      <c r="A124" s="12" t="s">
        <v>35</v>
      </c>
      <c r="B124" s="7"/>
      <c r="C124" s="7"/>
      <c r="D124" s="7"/>
      <c r="E124" s="7"/>
      <c r="F124" s="7"/>
      <c r="G124" s="111"/>
      <c r="H124" s="7"/>
    </row>
    <row r="125" spans="1:8" x14ac:dyDescent="0.25">
      <c r="A125" s="22" t="s">
        <v>6</v>
      </c>
      <c r="B125" s="101">
        <f t="shared" ref="B125:D126" si="3">B2</f>
        <v>87352000000</v>
      </c>
      <c r="C125" s="101">
        <f t="shared" si="3"/>
        <v>91247000000</v>
      </c>
      <c r="D125" s="101">
        <f t="shared" si="3"/>
        <v>91244000000</v>
      </c>
      <c r="E125" s="44">
        <f>E120</f>
        <v>93189935970.497665</v>
      </c>
      <c r="F125" s="33">
        <f>F120</f>
        <v>95177372388.162003</v>
      </c>
      <c r="G125" s="18">
        <f>G120</f>
        <v>97207194321.74202</v>
      </c>
      <c r="H125" s="33">
        <f>H120</f>
        <v>99280305715.607193</v>
      </c>
    </row>
    <row r="126" spans="1:8" x14ac:dyDescent="0.25">
      <c r="A126" s="22" t="s">
        <v>29</v>
      </c>
      <c r="B126" s="101">
        <f t="shared" si="3"/>
        <v>18232000000</v>
      </c>
      <c r="C126" s="101">
        <f t="shared" si="3"/>
        <v>28147000000</v>
      </c>
      <c r="D126" s="101">
        <f t="shared" si="3"/>
        <v>27430000000</v>
      </c>
      <c r="E126" s="62">
        <f>E125*$B$69</f>
        <v>25403939032.325722</v>
      </c>
      <c r="F126" s="58">
        <f>F125*$B$69</f>
        <v>25945721930.437729</v>
      </c>
      <c r="G126" s="58">
        <f>G125*$B$69</f>
        <v>26499059285.057964</v>
      </c>
      <c r="H126" s="58">
        <f>H125*$B$69</f>
        <v>27064197514.937675</v>
      </c>
    </row>
    <row r="127" spans="1:8" x14ac:dyDescent="0.25">
      <c r="A127" s="22" t="s">
        <v>35</v>
      </c>
      <c r="B127" s="46">
        <f>B126/B125</f>
        <v>0.2087187471380163</v>
      </c>
      <c r="C127" s="46">
        <f>C126/C125</f>
        <v>0.30847041546571397</v>
      </c>
      <c r="D127" s="56">
        <f>D126/D125</f>
        <v>0.3006225066853711</v>
      </c>
      <c r="E127" s="7"/>
      <c r="F127" s="7"/>
      <c r="G127" s="17"/>
      <c r="H127" s="7"/>
    </row>
    <row r="128" spans="1:8" x14ac:dyDescent="0.25">
      <c r="A128" s="36" t="s">
        <v>36</v>
      </c>
      <c r="B128" s="115">
        <f>AVERAGE(B127:D127)</f>
        <v>0.27260388976303379</v>
      </c>
      <c r="C128" s="31"/>
      <c r="D128" s="31"/>
      <c r="E128" s="31"/>
      <c r="F128" s="7"/>
      <c r="G128" s="111"/>
      <c r="H128" s="7"/>
    </row>
    <row r="129" spans="1:7" ht="15.75" thickBot="1" x14ac:dyDescent="0.3">
      <c r="G129" s="5"/>
    </row>
    <row r="130" spans="1:7" ht="15.75" thickBot="1" x14ac:dyDescent="0.3">
      <c r="A130" s="26" t="s">
        <v>40</v>
      </c>
      <c r="B130" s="1"/>
      <c r="C130" s="4"/>
      <c r="D130" s="4"/>
      <c r="E130" s="4"/>
      <c r="G130" s="5"/>
    </row>
    <row r="131" spans="1:7" x14ac:dyDescent="0.25">
      <c r="A131" s="22" t="s">
        <v>5</v>
      </c>
      <c r="B131" s="51">
        <f>B4</f>
        <v>12340000000</v>
      </c>
      <c r="C131" s="101">
        <f>C4</f>
        <v>18607000000</v>
      </c>
      <c r="D131" s="101">
        <f>D4</f>
        <v>22345000000</v>
      </c>
      <c r="E131" s="4"/>
      <c r="G131" s="111"/>
    </row>
    <row r="132" spans="1:7" x14ac:dyDescent="0.25">
      <c r="A132" s="22" t="s">
        <v>41</v>
      </c>
      <c r="B132" s="51">
        <f t="shared" ref="B132:D133" si="4">B9</f>
        <v>32666000000</v>
      </c>
      <c r="C132" s="101">
        <f t="shared" si="4"/>
        <v>20189000000</v>
      </c>
      <c r="D132" s="101">
        <f t="shared" si="4"/>
        <v>24204000000</v>
      </c>
      <c r="E132" s="4"/>
      <c r="G132" s="111"/>
    </row>
    <row r="133" spans="1:7" x14ac:dyDescent="0.25">
      <c r="A133" s="22" t="s">
        <v>42</v>
      </c>
      <c r="B133" s="51">
        <f t="shared" si="4"/>
        <v>227402000000</v>
      </c>
      <c r="C133" s="101">
        <f t="shared" si="4"/>
        <v>229340000000</v>
      </c>
      <c r="D133" s="101">
        <f t="shared" si="4"/>
        <v>240856000000</v>
      </c>
      <c r="E133" s="4"/>
      <c r="G133" s="111"/>
    </row>
    <row r="134" spans="1:7" x14ac:dyDescent="0.25">
      <c r="A134" s="22" t="s">
        <v>44</v>
      </c>
      <c r="B134" s="52">
        <f>B131/(B132+B133)</f>
        <v>4.7449128689419688E-2</v>
      </c>
      <c r="C134" s="46">
        <f>C131/(C132+C133)</f>
        <v>7.4568487029563701E-2</v>
      </c>
      <c r="D134" s="46">
        <f>D131/(D132+D133)</f>
        <v>8.4301667546970493E-2</v>
      </c>
      <c r="E134" s="4"/>
      <c r="G134" s="111"/>
    </row>
    <row r="135" spans="1:7" x14ac:dyDescent="0.25">
      <c r="A135" s="22" t="s">
        <v>2</v>
      </c>
      <c r="B135" s="51">
        <f t="shared" ref="B135:D136" si="5">B5</f>
        <v>29213000000</v>
      </c>
      <c r="C135" s="101">
        <f t="shared" si="5"/>
        <v>34584000000</v>
      </c>
      <c r="D135" s="101">
        <f t="shared" si="5"/>
        <v>32754000000</v>
      </c>
      <c r="G135" s="6"/>
    </row>
    <row r="136" spans="1:7" ht="15.75" thickBot="1" x14ac:dyDescent="0.3">
      <c r="A136" s="22" t="s">
        <v>3</v>
      </c>
      <c r="B136" s="51">
        <f t="shared" si="5"/>
        <v>10981000000</v>
      </c>
      <c r="C136" s="101">
        <f t="shared" si="5"/>
        <v>6437000000</v>
      </c>
      <c r="D136" s="101">
        <f t="shared" si="5"/>
        <v>5324000000</v>
      </c>
      <c r="E136" s="4"/>
      <c r="G136" s="5"/>
    </row>
    <row r="137" spans="1:7" ht="15.75" thickBot="1" x14ac:dyDescent="0.3">
      <c r="A137" s="22" t="s">
        <v>43</v>
      </c>
      <c r="B137" s="52">
        <f>B136/B135</f>
        <v>0.37589429363639476</v>
      </c>
      <c r="C137" s="46">
        <f>C136/C135</f>
        <v>0.18612653250057831</v>
      </c>
      <c r="D137" s="46">
        <f>D136/D135</f>
        <v>0.16254503266776577</v>
      </c>
      <c r="G137" s="5"/>
    </row>
    <row r="138" spans="1:7" ht="15.75" thickBot="1" x14ac:dyDescent="0.3">
      <c r="A138" s="22" t="s">
        <v>45</v>
      </c>
      <c r="B138" s="52">
        <f>B134*(1-B137)</f>
        <v>2.9613271977047884E-2</v>
      </c>
      <c r="C138" s="46">
        <f>C134*(1-C137)</f>
        <v>6.0689313104936658E-2</v>
      </c>
      <c r="D138" s="47">
        <f>D134*(1-D137)</f>
        <v>7.0598850241601049E-2</v>
      </c>
      <c r="E138" s="4"/>
      <c r="G138" s="5"/>
    </row>
    <row r="139" spans="1:7" x14ac:dyDescent="0.25">
      <c r="A139" s="22"/>
      <c r="B139" s="35"/>
      <c r="C139" s="7"/>
      <c r="D139" s="7"/>
      <c r="G139" s="6"/>
    </row>
    <row r="140" spans="1:7" ht="15.75" thickBot="1" x14ac:dyDescent="0.3">
      <c r="A140" s="22" t="s">
        <v>46</v>
      </c>
      <c r="B140" s="52">
        <f>B23/100</f>
        <v>1.9820000000000001E-2</v>
      </c>
      <c r="C140" s="31"/>
      <c r="D140" s="31"/>
      <c r="E140" s="4"/>
      <c r="G140" s="5"/>
    </row>
    <row r="141" spans="1:7" ht="15.75" thickBot="1" x14ac:dyDescent="0.3">
      <c r="A141" s="22" t="s">
        <v>49</v>
      </c>
      <c r="B141" s="53">
        <f>B18</f>
        <v>1.54</v>
      </c>
      <c r="C141" s="7"/>
      <c r="D141" s="7"/>
      <c r="G141" s="5"/>
    </row>
    <row r="142" spans="1:7" ht="15.75" thickBot="1" x14ac:dyDescent="0.3">
      <c r="A142" s="22" t="s">
        <v>96</v>
      </c>
      <c r="B142" s="53">
        <f>(B141+1)/2</f>
        <v>1.27</v>
      </c>
      <c r="C142" s="7"/>
      <c r="D142" s="7"/>
      <c r="G142" s="5"/>
    </row>
    <row r="143" spans="1:7" ht="15.75" thickBot="1" x14ac:dyDescent="0.3">
      <c r="A143" s="22" t="s">
        <v>48</v>
      </c>
      <c r="B143" s="78">
        <f>B30</f>
        <v>0.1</v>
      </c>
      <c r="C143" s="31"/>
      <c r="D143" s="31"/>
      <c r="E143" s="4"/>
      <c r="G143" s="5"/>
    </row>
    <row r="144" spans="1:7" x14ac:dyDescent="0.25">
      <c r="A144" s="22" t="s">
        <v>50</v>
      </c>
      <c r="B144" s="54">
        <f>B140+B142*(B143-B140)</f>
        <v>0.12164860000000001</v>
      </c>
      <c r="C144" s="7"/>
      <c r="D144" s="7"/>
      <c r="G144" s="6"/>
    </row>
    <row r="145" spans="1:7" ht="15.75" thickBot="1" x14ac:dyDescent="0.3">
      <c r="A145" s="22"/>
      <c r="B145" s="7"/>
      <c r="C145" s="31"/>
      <c r="D145" s="31"/>
      <c r="E145" s="4"/>
      <c r="G145" s="5"/>
    </row>
    <row r="146" spans="1:7" ht="15.75" thickBot="1" x14ac:dyDescent="0.3">
      <c r="A146" s="22" t="s">
        <v>7</v>
      </c>
      <c r="B146" s="51">
        <f>D11</f>
        <v>265060000000</v>
      </c>
      <c r="C146" s="32"/>
      <c r="D146" s="32"/>
      <c r="G146" s="5"/>
    </row>
    <row r="147" spans="1:7" ht="15.75" thickBot="1" x14ac:dyDescent="0.3">
      <c r="A147" s="22" t="s">
        <v>51</v>
      </c>
      <c r="B147" s="51">
        <f>B20</f>
        <v>281151000000</v>
      </c>
      <c r="C147" s="32"/>
      <c r="D147" s="32"/>
      <c r="E147" s="4"/>
      <c r="G147" s="5"/>
    </row>
    <row r="148" spans="1:7" x14ac:dyDescent="0.25">
      <c r="A148" s="22" t="s">
        <v>52</v>
      </c>
      <c r="B148" s="116">
        <f>SUM(B146:B147)</f>
        <v>546211000000</v>
      </c>
      <c r="C148" s="7"/>
      <c r="D148" s="7"/>
      <c r="G148" s="6"/>
    </row>
    <row r="149" spans="1:7" ht="15.75" thickBot="1" x14ac:dyDescent="0.3">
      <c r="A149" s="22"/>
      <c r="B149" s="31"/>
      <c r="C149" s="31"/>
      <c r="D149" s="31"/>
      <c r="E149" s="4"/>
      <c r="G149" s="5"/>
    </row>
    <row r="150" spans="1:7" ht="15.75" thickBot="1" x14ac:dyDescent="0.3">
      <c r="A150" s="22" t="s">
        <v>53</v>
      </c>
      <c r="B150" s="52">
        <f>B146/B148</f>
        <v>0.48527034424425725</v>
      </c>
      <c r="C150" s="7"/>
      <c r="D150" s="7"/>
      <c r="F150" s="5"/>
    </row>
    <row r="151" spans="1:7" ht="15.75" thickBot="1" x14ac:dyDescent="0.3">
      <c r="A151" s="22" t="s">
        <v>54</v>
      </c>
      <c r="B151" s="52">
        <f>B147/B148</f>
        <v>0.5147296557557427</v>
      </c>
      <c r="C151" s="4"/>
      <c r="D151" s="4"/>
      <c r="E151" s="4"/>
      <c r="G151" s="5"/>
    </row>
    <row r="152" spans="1:7" x14ac:dyDescent="0.25">
      <c r="A152" s="22"/>
      <c r="B152" s="7"/>
      <c r="G152" s="6"/>
    </row>
    <row r="153" spans="1:7" ht="15.75" thickBot="1" x14ac:dyDescent="0.3">
      <c r="A153" s="23" t="s">
        <v>40</v>
      </c>
      <c r="B153" s="52">
        <f>B150*D138+B151*B144</f>
        <v>9.6875670361158558E-2</v>
      </c>
      <c r="C153" s="7"/>
      <c r="D153" s="7"/>
      <c r="E153" s="7"/>
      <c r="G153" s="5"/>
    </row>
  </sheetData>
  <mergeCells count="10">
    <mergeCell ref="G1:J1"/>
    <mergeCell ref="G18:L18"/>
    <mergeCell ref="G10:N10"/>
    <mergeCell ref="G2:J2"/>
    <mergeCell ref="D18:E21"/>
    <mergeCell ref="D22:E28"/>
    <mergeCell ref="B36:D36"/>
    <mergeCell ref="E36:I36"/>
    <mergeCell ref="B95:D95"/>
    <mergeCell ref="E95:I95"/>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57540-61DF-417E-BF33-46B971D000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DCF Analysis (Sharpe Ratio)</vt:lpstr>
      <vt:lpstr>DCF Analysis (CCA)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McCue</dc:creator>
  <cp:lastModifiedBy>Clint McCue</cp:lastModifiedBy>
  <dcterms:created xsi:type="dcterms:W3CDTF">2019-08-20T17:01:21Z</dcterms:created>
  <dcterms:modified xsi:type="dcterms:W3CDTF">2022-03-26T18:27:09Z</dcterms:modified>
</cp:coreProperties>
</file>