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lint\Git-Repo\SquintClimpt\spreadsheets\"/>
    </mc:Choice>
  </mc:AlternateContent>
  <xr:revisionPtr revIDLastSave="0" documentId="13_ncr:1_{3435FC77-D91F-4333-BF7D-C1DC8E1977B0}" xr6:coauthVersionLast="47" xr6:coauthVersionMax="47" xr10:uidLastSave="{00000000-0000-0000-0000-000000000000}"/>
  <bookViews>
    <workbookView xWindow="-36510" yWindow="810" windowWidth="32400" windowHeight="17085" xr2:uid="{063EBC0C-301D-4E74-8A2A-B8E1B8A68EF8}"/>
  </bookViews>
  <sheets>
    <sheet name="Mortgage Calculation" sheetId="2" r:id="rId1"/>
    <sheet name="Potential Profit Loss" sheetId="7" r:id="rId2"/>
    <sheet name="PMI MIP Calc"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5" i="2" l="1"/>
  <c r="B3" i="12"/>
  <c r="E17" i="2"/>
  <c r="B20" i="12"/>
  <c r="B22" i="12"/>
  <c r="B21" i="12"/>
  <c r="B19" i="12"/>
  <c r="B23" i="12" s="1"/>
  <c r="H23" i="2" s="1"/>
  <c r="B8" i="12"/>
  <c r="B4" i="12"/>
  <c r="I13" i="12" s="1"/>
  <c r="B9" i="12"/>
  <c r="B2" i="12"/>
  <c r="B6" i="7"/>
  <c r="H7" i="7"/>
  <c r="H6" i="7"/>
  <c r="H5" i="7"/>
  <c r="H2" i="7"/>
  <c r="J15" i="7" s="1"/>
  <c r="J36" i="7" s="1"/>
  <c r="B10" i="7"/>
  <c r="E9" i="7"/>
  <c r="E8" i="7"/>
  <c r="E7" i="7"/>
  <c r="E6" i="7"/>
  <c r="E5" i="7"/>
  <c r="E4" i="7"/>
  <c r="E3" i="7"/>
  <c r="E2" i="7"/>
  <c r="B5" i="7"/>
  <c r="B2" i="7"/>
  <c r="N364" i="2"/>
  <c r="E19" i="2"/>
  <c r="E18" i="2"/>
  <c r="B10" i="12" l="1"/>
  <c r="B11" i="12"/>
  <c r="I4" i="12"/>
  <c r="I5" i="12"/>
  <c r="I7" i="12"/>
  <c r="I8" i="12"/>
  <c r="I10" i="12"/>
  <c r="B5" i="12"/>
  <c r="B13" i="12" s="1"/>
  <c r="K15" i="7" a="1"/>
  <c r="K15" i="7" s="1"/>
  <c r="K19" i="7" s="1"/>
  <c r="B7" i="7"/>
  <c r="O19" i="7"/>
  <c r="F15" i="7" a="1"/>
  <c r="F15" i="7" s="1"/>
  <c r="F17" i="7" s="1"/>
  <c r="O42" i="7"/>
  <c r="O38" i="7"/>
  <c r="O34" i="7"/>
  <c r="O30" i="7"/>
  <c r="O26" i="7"/>
  <c r="O22" i="7"/>
  <c r="O18" i="7"/>
  <c r="O15" i="7"/>
  <c r="O41" i="7"/>
  <c r="O37" i="7"/>
  <c r="O33" i="7"/>
  <c r="O29" i="7"/>
  <c r="O25" i="7"/>
  <c r="O21" i="7"/>
  <c r="O17" i="7"/>
  <c r="O44" i="7"/>
  <c r="O40" i="7"/>
  <c r="O36" i="7"/>
  <c r="O32" i="7"/>
  <c r="O28" i="7"/>
  <c r="O24" i="7"/>
  <c r="O20" i="7"/>
  <c r="O16" i="7"/>
  <c r="B4" i="7"/>
  <c r="O43" i="7"/>
  <c r="O39" i="7"/>
  <c r="O35" i="7"/>
  <c r="O31" i="7"/>
  <c r="O27" i="7"/>
  <c r="O23" i="7"/>
  <c r="J43" i="7"/>
  <c r="J20" i="7"/>
  <c r="J34" i="7"/>
  <c r="J39" i="7"/>
  <c r="J30" i="7"/>
  <c r="J17" i="7"/>
  <c r="J26" i="7"/>
  <c r="J23" i="7"/>
  <c r="J19" i="7"/>
  <c r="J33" i="7"/>
  <c r="J29" i="7"/>
  <c r="J25" i="7"/>
  <c r="J42" i="7"/>
  <c r="J38" i="7"/>
  <c r="J22" i="7"/>
  <c r="J18" i="7"/>
  <c r="J32" i="7"/>
  <c r="J28" i="7"/>
  <c r="J24" i="7"/>
  <c r="J41" i="7"/>
  <c r="J37" i="7"/>
  <c r="J16" i="7"/>
  <c r="J21" i="7"/>
  <c r="J35" i="7"/>
  <c r="J31" i="7"/>
  <c r="J27" i="7"/>
  <c r="J44" i="7"/>
  <c r="J40" i="7"/>
  <c r="E46" i="2" l="1"/>
  <c r="E47" i="2"/>
  <c r="H15" i="2"/>
  <c r="K29" i="7"/>
  <c r="L29" i="7" s="1"/>
  <c r="K33" i="7"/>
  <c r="L33" i="7" s="1"/>
  <c r="K37" i="7"/>
  <c r="L37" i="7" s="1"/>
  <c r="K17" i="7"/>
  <c r="K31" i="7"/>
  <c r="K39" i="7"/>
  <c r="L39" i="7" s="1"/>
  <c r="K41" i="7"/>
  <c r="L41" i="7" s="1"/>
  <c r="K21" i="7"/>
  <c r="L21" i="7" s="1"/>
  <c r="K22" i="7"/>
  <c r="L22" i="7" s="1"/>
  <c r="L15" i="7"/>
  <c r="K25" i="7"/>
  <c r="L25" i="7" s="1"/>
  <c r="K23" i="7"/>
  <c r="L23" i="7" s="1"/>
  <c r="K27" i="7"/>
  <c r="L27" i="7" s="1"/>
  <c r="K43" i="7"/>
  <c r="L43" i="7" s="1"/>
  <c r="K16" i="7"/>
  <c r="L16" i="7" s="1"/>
  <c r="K38" i="7"/>
  <c r="L38" i="7" s="1"/>
  <c r="K35" i="7"/>
  <c r="L35" i="7" s="1"/>
  <c r="K18" i="7"/>
  <c r="L18" i="7" s="1"/>
  <c r="L19" i="7"/>
  <c r="K20" i="7"/>
  <c r="L20" i="7" s="1"/>
  <c r="K24" i="7"/>
  <c r="K28" i="7"/>
  <c r="L28" i="7" s="1"/>
  <c r="K34" i="7"/>
  <c r="L34" i="7" s="1"/>
  <c r="K32" i="7"/>
  <c r="L32" i="7" s="1"/>
  <c r="K36" i="7"/>
  <c r="L36" i="7" s="1"/>
  <c r="K42" i="7"/>
  <c r="L42" i="7" s="1"/>
  <c r="K40" i="7"/>
  <c r="L40" i="7" s="1"/>
  <c r="K44" i="7"/>
  <c r="L44" i="7" s="1"/>
  <c r="K26" i="7"/>
  <c r="L26" i="7" s="1"/>
  <c r="K30" i="7"/>
  <c r="L30" i="7" s="1"/>
  <c r="F42" i="7"/>
  <c r="F27" i="7"/>
  <c r="F32" i="7"/>
  <c r="F37" i="7"/>
  <c r="F19" i="7"/>
  <c r="F31" i="7"/>
  <c r="F36" i="7"/>
  <c r="F41" i="7"/>
  <c r="F34" i="7"/>
  <c r="F16" i="7"/>
  <c r="F35" i="7"/>
  <c r="F24" i="7"/>
  <c r="F40" i="7"/>
  <c r="F29" i="7"/>
  <c r="F18" i="7"/>
  <c r="F26" i="7"/>
  <c r="F43" i="7"/>
  <c r="F21" i="7"/>
  <c r="F30" i="7"/>
  <c r="F20" i="7"/>
  <c r="F25" i="7"/>
  <c r="F22" i="7"/>
  <c r="F38" i="7"/>
  <c r="F23" i="7"/>
  <c r="F39" i="7"/>
  <c r="F28" i="7"/>
  <c r="F44" i="7"/>
  <c r="F33" i="7"/>
  <c r="L17" i="7"/>
  <c r="L24" i="7"/>
  <c r="L31" i="7"/>
  <c r="B12" i="12" l="1"/>
  <c r="B14" i="12" s="1" a="1"/>
  <c r="B14" i="12" s="1"/>
  <c r="B15" i="12" s="1"/>
  <c r="H18" i="2"/>
  <c r="E16" i="2" s="1"/>
  <c r="B16" i="12" l="1" a="1"/>
  <c r="B16" i="12" s="1"/>
  <c r="B3" i="7" l="1"/>
  <c r="B8" i="7" s="1"/>
  <c r="E20" i="2"/>
  <c r="O3" i="2"/>
  <c r="L3" i="2" s="1"/>
  <c r="K3" i="2" l="1"/>
  <c r="E21" i="2"/>
  <c r="E22" i="2" s="1"/>
  <c r="M3" i="2"/>
  <c r="O4" i="2" l="1"/>
  <c r="L4" i="2" l="1"/>
  <c r="K4" i="2"/>
  <c r="M4" i="2" l="1"/>
  <c r="O5" i="2" l="1"/>
  <c r="K5" i="2" l="1"/>
  <c r="L5" i="2"/>
  <c r="M5" i="2" l="1"/>
  <c r="O6" i="2" l="1"/>
  <c r="L6" i="2" l="1"/>
  <c r="K6" i="2"/>
  <c r="M6" i="2" l="1"/>
  <c r="O7" i="2" l="1"/>
  <c r="L7" i="2" l="1"/>
  <c r="K7" i="2"/>
  <c r="M7" i="2" l="1"/>
  <c r="O8" i="2" l="1"/>
  <c r="K8" i="2" l="1"/>
  <c r="L8" i="2"/>
  <c r="M8" i="2" l="1"/>
  <c r="O9" i="2" l="1"/>
  <c r="L9" i="2" l="1"/>
  <c r="K9" i="2"/>
  <c r="M9" i="2" l="1"/>
  <c r="O10" i="2" s="1"/>
  <c r="K10" i="2" s="1"/>
  <c r="L10" i="2" l="1"/>
  <c r="M10" i="2" s="1"/>
  <c r="O11" i="2" s="1"/>
  <c r="K11" i="2" l="1"/>
  <c r="L11" i="2"/>
  <c r="M11" i="2" l="1"/>
  <c r="O12" i="2" s="1"/>
  <c r="L12" i="2" l="1"/>
  <c r="K12" i="2"/>
  <c r="M12" i="2" l="1"/>
  <c r="O13" i="2" s="1"/>
  <c r="K13" i="2" s="1"/>
  <c r="L13" i="2" l="1"/>
  <c r="M13" i="2" s="1"/>
  <c r="O14" i="2" s="1"/>
  <c r="K14" i="2" l="1"/>
  <c r="L14" i="2"/>
  <c r="M14" i="2" l="1"/>
  <c r="O15" i="2" s="1"/>
  <c r="O3" i="12" l="1"/>
  <c r="P3" i="12" s="1"/>
  <c r="F17" i="12"/>
  <c r="G17" i="12" s="1"/>
  <c r="H24" i="2" s="1"/>
  <c r="L15" i="2"/>
  <c r="C15" i="7" s="1"/>
  <c r="E15" i="7"/>
  <c r="K15" i="2"/>
  <c r="E29" i="2" l="1"/>
  <c r="H19" i="2"/>
  <c r="M15" i="2"/>
  <c r="B15" i="7"/>
  <c r="P15" i="7" l="1"/>
  <c r="Q15" i="7" s="1"/>
  <c r="V15" i="7" s="1"/>
  <c r="H3" i="2" s="1"/>
  <c r="R15" i="7"/>
  <c r="S15" i="7" s="1"/>
  <c r="G15" i="7"/>
  <c r="O16" i="2"/>
  <c r="D15" i="7"/>
  <c r="L16" i="2" l="1"/>
  <c r="K16" i="2"/>
  <c r="M16" i="2" l="1"/>
  <c r="O17" i="2" s="1"/>
  <c r="K17" i="2" s="1"/>
  <c r="L17" i="2" l="1"/>
  <c r="M17" i="2" s="1"/>
  <c r="O18" i="2" s="1"/>
  <c r="L18" i="2" l="1"/>
  <c r="K18" i="2"/>
  <c r="M18" i="2" l="1"/>
  <c r="O19" i="2" s="1"/>
  <c r="L19" i="2" s="1"/>
  <c r="K19" i="2" l="1"/>
  <c r="M19" i="2" s="1"/>
  <c r="O20" i="2" s="1"/>
  <c r="L20" i="2" s="1"/>
  <c r="K20" i="2" l="1"/>
  <c r="M20" i="2" s="1"/>
  <c r="O21" i="2" s="1"/>
  <c r="L21" i="2" l="1"/>
  <c r="K21" i="2"/>
  <c r="M21" i="2" s="1"/>
  <c r="O22" i="2" s="1"/>
  <c r="L22" i="2" s="1"/>
  <c r="K22" i="2" l="1"/>
  <c r="M22" i="2" s="1"/>
  <c r="O23" i="2" s="1"/>
  <c r="K23" i="2" s="1"/>
  <c r="L23" i="2" l="1"/>
  <c r="M23" i="2" s="1"/>
  <c r="O24" i="2" s="1"/>
  <c r="L24" i="2" l="1"/>
  <c r="K24" i="2"/>
  <c r="M24" i="2" l="1"/>
  <c r="O25" i="2" s="1"/>
  <c r="L25" i="2" s="1"/>
  <c r="K25" i="2" l="1"/>
  <c r="M25" i="2" s="1"/>
  <c r="O26" i="2" s="1"/>
  <c r="L26" i="2" s="1"/>
  <c r="K26" i="2" l="1"/>
  <c r="M26" i="2" s="1"/>
  <c r="O27" i="2" s="1"/>
  <c r="E16" i="7" s="1"/>
  <c r="L27" i="2" l="1"/>
  <c r="C16" i="7" s="1"/>
  <c r="K27" i="2"/>
  <c r="B16" i="7" s="1"/>
  <c r="O4" i="12"/>
  <c r="P4" i="12" s="1"/>
  <c r="F18" i="12"/>
  <c r="R16" i="7" l="1"/>
  <c r="P16" i="7"/>
  <c r="G18" i="12"/>
  <c r="M27" i="2"/>
  <c r="G16" i="7"/>
  <c r="S16" i="7"/>
  <c r="Q16" i="7"/>
  <c r="V16" i="7" s="1"/>
  <c r="H4" i="2" s="1"/>
  <c r="O28" i="2"/>
  <c r="D16" i="7"/>
  <c r="E30" i="2" l="1"/>
  <c r="L28" i="2"/>
  <c r="K28" i="2"/>
  <c r="M28" i="2" s="1"/>
  <c r="O29" i="2" s="1"/>
  <c r="L29" i="2" l="1"/>
  <c r="K29" i="2"/>
  <c r="M29" i="2" s="1"/>
  <c r="O30" i="2" s="1"/>
  <c r="L30" i="2" l="1"/>
  <c r="K30" i="2"/>
  <c r="M30" i="2" s="1"/>
  <c r="O31" i="2" s="1"/>
  <c r="K31" i="2" l="1"/>
  <c r="L31" i="2"/>
  <c r="M31" i="2" l="1"/>
  <c r="O32" i="2" s="1"/>
  <c r="L32" i="2" l="1"/>
  <c r="K32" i="2"/>
  <c r="M32" i="2" s="1"/>
  <c r="O33" i="2" s="1"/>
  <c r="L33" i="2" l="1"/>
  <c r="K33" i="2"/>
  <c r="M33" i="2" l="1"/>
  <c r="O34" i="2" s="1"/>
  <c r="L34" i="2" s="1"/>
  <c r="K34" i="2" l="1"/>
  <c r="M34" i="2" s="1"/>
  <c r="O35" i="2" s="1"/>
  <c r="K35" i="2" l="1"/>
  <c r="L35" i="2"/>
  <c r="M35" i="2" s="1"/>
  <c r="O36" i="2" s="1"/>
  <c r="L36" i="2" s="1"/>
  <c r="K36" i="2" l="1"/>
  <c r="M36" i="2" s="1"/>
  <c r="O37" i="2" s="1"/>
  <c r="L37" i="2" s="1"/>
  <c r="K37" i="2" l="1"/>
  <c r="M37" i="2" s="1"/>
  <c r="O38" i="2" s="1"/>
  <c r="L38" i="2" s="1"/>
  <c r="K38" i="2" l="1"/>
  <c r="M38" i="2" s="1"/>
  <c r="O39" i="2" s="1"/>
  <c r="O5" i="12" l="1"/>
  <c r="P5" i="12" s="1"/>
  <c r="F19" i="12"/>
  <c r="G19" i="12" s="1"/>
  <c r="E17" i="7"/>
  <c r="L39" i="2"/>
  <c r="C17" i="7" s="1"/>
  <c r="K39" i="2"/>
  <c r="E31" i="2" l="1"/>
  <c r="M39" i="2"/>
  <c r="B17" i="7"/>
  <c r="O40" i="2"/>
  <c r="D17" i="7"/>
  <c r="G17" i="7" l="1"/>
  <c r="R17" i="7"/>
  <c r="P17" i="7"/>
  <c r="S17" i="7"/>
  <c r="Q17" i="7"/>
  <c r="V17" i="7" s="1"/>
  <c r="H5" i="2" s="1"/>
  <c r="L40" i="2"/>
  <c r="K40" i="2"/>
  <c r="M40" i="2" l="1"/>
  <c r="O41" i="2" s="1"/>
  <c r="L41" i="2" s="1"/>
  <c r="K41" i="2" l="1"/>
  <c r="M41" i="2" s="1"/>
  <c r="O42" i="2" s="1"/>
  <c r="K42" i="2" s="1"/>
  <c r="L42" i="2" l="1"/>
  <c r="M42" i="2" s="1"/>
  <c r="O43" i="2" s="1"/>
  <c r="L43" i="2" l="1"/>
  <c r="K43" i="2"/>
  <c r="M43" i="2" l="1"/>
  <c r="O44" i="2" s="1"/>
  <c r="K44" i="2" s="1"/>
  <c r="L44" i="2" l="1"/>
  <c r="M44" i="2" s="1"/>
  <c r="O45" i="2" s="1"/>
  <c r="K45" i="2" l="1"/>
  <c r="L45" i="2"/>
  <c r="M45" i="2" l="1"/>
  <c r="O46" i="2" s="1"/>
  <c r="L46" i="2" l="1"/>
  <c r="K46" i="2"/>
  <c r="M46" i="2" l="1"/>
  <c r="O47" i="2" s="1"/>
  <c r="L47" i="2" s="1"/>
  <c r="K47" i="2" l="1"/>
  <c r="M47" i="2" s="1"/>
  <c r="O48" i="2" s="1"/>
  <c r="K48" i="2" l="1"/>
  <c r="L48" i="2"/>
  <c r="M48" i="2" l="1"/>
  <c r="O49" i="2" s="1"/>
  <c r="L49" i="2" s="1"/>
  <c r="K49" i="2"/>
  <c r="M49" i="2" l="1"/>
  <c r="O50" i="2" s="1"/>
  <c r="L50" i="2" s="1"/>
  <c r="K50" i="2" l="1"/>
  <c r="M50" i="2" s="1"/>
  <c r="O51" i="2" s="1"/>
  <c r="O6" i="12" l="1"/>
  <c r="P6" i="12" s="1"/>
  <c r="F20" i="12"/>
  <c r="L51" i="2"/>
  <c r="C18" i="7" s="1"/>
  <c r="K51" i="2"/>
  <c r="E18" i="7"/>
  <c r="G20" i="12" l="1"/>
  <c r="M51" i="2"/>
  <c r="O52" i="2" s="1"/>
  <c r="B18" i="7"/>
  <c r="D18" i="7"/>
  <c r="G18" i="7" l="1"/>
  <c r="R18" i="7"/>
  <c r="P18" i="7"/>
  <c r="E32" i="2"/>
  <c r="S18" i="7"/>
  <c r="Q18" i="7"/>
  <c r="V18" i="7" s="1"/>
  <c r="H6" i="2" s="1"/>
  <c r="K52" i="2"/>
  <c r="L52" i="2"/>
  <c r="M52" i="2" l="1"/>
  <c r="O53" i="2" s="1"/>
  <c r="K53" i="2" l="1"/>
  <c r="L53" i="2"/>
  <c r="M53" i="2" l="1"/>
  <c r="O54" i="2" s="1"/>
  <c r="L54" i="2" l="1"/>
  <c r="K54" i="2"/>
  <c r="M54" i="2" l="1"/>
  <c r="O55" i="2" s="1"/>
  <c r="K55" i="2" s="1"/>
  <c r="L55" i="2" l="1"/>
  <c r="M55" i="2" s="1"/>
  <c r="O56" i="2" s="1"/>
  <c r="L56" i="2" l="1"/>
  <c r="K56" i="2"/>
  <c r="M56" i="2" s="1"/>
  <c r="O57" i="2" s="1"/>
  <c r="K57" i="2" l="1"/>
  <c r="L57" i="2"/>
  <c r="M57" i="2" l="1"/>
  <c r="O58" i="2" s="1"/>
  <c r="L58" i="2" l="1"/>
  <c r="K58" i="2"/>
  <c r="M58" i="2" l="1"/>
  <c r="O59" i="2" s="1"/>
  <c r="L59" i="2" s="1"/>
  <c r="K59" i="2" l="1"/>
  <c r="M59" i="2" s="1"/>
  <c r="O60" i="2" s="1"/>
  <c r="K60" i="2" s="1"/>
  <c r="L60" i="2" l="1"/>
  <c r="M60" i="2" s="1"/>
  <c r="O61" i="2" s="1"/>
  <c r="K61" i="2" l="1"/>
  <c r="L61" i="2"/>
  <c r="M61" i="2" l="1"/>
  <c r="O62" i="2" s="1"/>
  <c r="L62" i="2" l="1"/>
  <c r="K62" i="2"/>
  <c r="M62" i="2" s="1"/>
  <c r="O63" i="2" s="1"/>
  <c r="O7" i="12" l="1"/>
  <c r="P7" i="12" s="1"/>
  <c r="F21" i="12"/>
  <c r="L63" i="2"/>
  <c r="C19" i="7" s="1"/>
  <c r="K63" i="2"/>
  <c r="E19" i="7"/>
  <c r="G21" i="12" l="1"/>
  <c r="E33" i="2" s="1"/>
  <c r="M63" i="2"/>
  <c r="B19" i="7"/>
  <c r="R19" i="7" l="1"/>
  <c r="P19" i="7"/>
  <c r="Q19" i="7" s="1"/>
  <c r="V19" i="7" s="1"/>
  <c r="H7" i="2" s="1"/>
  <c r="G19" i="7"/>
  <c r="S19" i="7"/>
  <c r="O64" i="2"/>
  <c r="D19" i="7"/>
  <c r="L64" i="2" l="1"/>
  <c r="K64" i="2"/>
  <c r="M64" i="2" l="1"/>
  <c r="O65" i="2" s="1"/>
  <c r="L65" i="2" s="1"/>
  <c r="K65" i="2" l="1"/>
  <c r="M65" i="2" s="1"/>
  <c r="O66" i="2" s="1"/>
  <c r="K66" i="2" s="1"/>
  <c r="L66" i="2" l="1"/>
  <c r="M66" i="2" s="1"/>
  <c r="O67" i="2" s="1"/>
  <c r="L67" i="2" l="1"/>
  <c r="K67" i="2"/>
  <c r="M67" i="2" l="1"/>
  <c r="O68" i="2" s="1"/>
  <c r="L68" i="2" s="1"/>
  <c r="K68" i="2" l="1"/>
  <c r="M68" i="2" s="1"/>
  <c r="O69" i="2" s="1"/>
  <c r="L69" i="2" s="1"/>
  <c r="K69" i="2" l="1"/>
  <c r="M69" i="2" s="1"/>
  <c r="O70" i="2" s="1"/>
  <c r="L70" i="2" l="1"/>
  <c r="K70" i="2"/>
  <c r="M70" i="2" l="1"/>
  <c r="O71" i="2" s="1"/>
  <c r="L71" i="2" s="1"/>
  <c r="K71" i="2" l="1"/>
  <c r="M71" i="2" s="1"/>
  <c r="O72" i="2" s="1"/>
  <c r="K72" i="2" s="1"/>
  <c r="L72" i="2" l="1"/>
  <c r="M72" i="2" s="1"/>
  <c r="O73" i="2" s="1"/>
  <c r="L73" i="2" s="1"/>
  <c r="K73" i="2" l="1"/>
  <c r="M73" i="2" s="1"/>
  <c r="O74" i="2" s="1"/>
  <c r="L74" i="2" s="1"/>
  <c r="K74" i="2" l="1"/>
  <c r="M74" i="2" s="1"/>
  <c r="O75" i="2" s="1"/>
  <c r="O8" i="12" l="1"/>
  <c r="P8" i="12" s="1"/>
  <c r="F22" i="12"/>
  <c r="L75" i="2"/>
  <c r="C20" i="7" s="1"/>
  <c r="K75" i="2"/>
  <c r="B20" i="7" s="1"/>
  <c r="E20" i="7"/>
  <c r="G20" i="7" l="1"/>
  <c r="P20" i="7"/>
  <c r="R20" i="7"/>
  <c r="G22" i="12"/>
  <c r="E34" i="2" s="1"/>
  <c r="Q20" i="7"/>
  <c r="V20" i="7" s="1"/>
  <c r="H8" i="2" s="1"/>
  <c r="S20" i="7"/>
  <c r="M75" i="2"/>
  <c r="O76" i="2" l="1"/>
  <c r="D20" i="7"/>
  <c r="K76" i="2" l="1"/>
  <c r="L76" i="2"/>
  <c r="M76" i="2" l="1"/>
  <c r="O77" i="2" s="1"/>
  <c r="L77" i="2" l="1"/>
  <c r="K77" i="2"/>
  <c r="M77" i="2" l="1"/>
  <c r="O78" i="2" s="1"/>
  <c r="K78" i="2" s="1"/>
  <c r="L78" i="2" l="1"/>
  <c r="M78" i="2"/>
  <c r="O79" i="2" s="1"/>
  <c r="L79" i="2" l="1"/>
  <c r="K79" i="2"/>
  <c r="M79" i="2" l="1"/>
  <c r="O80" i="2" s="1"/>
  <c r="K80" i="2" s="1"/>
  <c r="L80" i="2" l="1"/>
  <c r="M80" i="2" s="1"/>
  <c r="O81" i="2" s="1"/>
  <c r="L81" i="2" s="1"/>
  <c r="K81" i="2" l="1"/>
  <c r="M81" i="2" s="1"/>
  <c r="O82" i="2" s="1"/>
  <c r="L82" i="2" s="1"/>
  <c r="K82" i="2" l="1"/>
  <c r="M82" i="2" s="1"/>
  <c r="O83" i="2" s="1"/>
  <c r="L83" i="2" s="1"/>
  <c r="K83" i="2" l="1"/>
  <c r="M83" i="2" s="1"/>
  <c r="O84" i="2" s="1"/>
  <c r="L84" i="2" s="1"/>
  <c r="K84" i="2" l="1"/>
  <c r="M84" i="2" s="1"/>
  <c r="O85" i="2" s="1"/>
  <c r="L85" i="2" s="1"/>
  <c r="K85" i="2" l="1"/>
  <c r="M85" i="2" s="1"/>
  <c r="O86" i="2" s="1"/>
  <c r="L86" i="2" s="1"/>
  <c r="K86" i="2" l="1"/>
  <c r="M86" i="2" s="1"/>
  <c r="O87" i="2" s="1"/>
  <c r="O9" i="12" l="1"/>
  <c r="P9" i="12" s="1"/>
  <c r="F23" i="12"/>
  <c r="E21" i="7"/>
  <c r="L87" i="2"/>
  <c r="C21" i="7" s="1"/>
  <c r="K87" i="2"/>
  <c r="G23" i="12" l="1"/>
  <c r="B24" i="12" s="1"/>
  <c r="H22" i="2" s="1"/>
  <c r="M87" i="2"/>
  <c r="B21" i="7"/>
  <c r="P21" i="7" l="1"/>
  <c r="Q21" i="7" s="1"/>
  <c r="V21" i="7" s="1"/>
  <c r="H9" i="2" s="1"/>
  <c r="R21" i="7"/>
  <c r="E35" i="2"/>
  <c r="G21" i="7"/>
  <c r="S21" i="7"/>
  <c r="O88" i="2"/>
  <c r="D21" i="7"/>
  <c r="K88" i="2" l="1"/>
  <c r="L88" i="2"/>
  <c r="M88" i="2" l="1"/>
  <c r="O89" i="2" s="1"/>
  <c r="K89" i="2" l="1"/>
  <c r="L89" i="2"/>
  <c r="M89" i="2" l="1"/>
  <c r="O90" i="2" s="1"/>
  <c r="K90" i="2"/>
  <c r="L90" i="2"/>
  <c r="M90" i="2" l="1"/>
  <c r="O91" i="2" s="1"/>
  <c r="K91" i="2" l="1"/>
  <c r="L91" i="2"/>
  <c r="M91" i="2" l="1"/>
  <c r="O92" i="2" s="1"/>
  <c r="L92" i="2" s="1"/>
  <c r="K92" i="2" l="1"/>
  <c r="M92" i="2" s="1"/>
  <c r="O93" i="2" s="1"/>
  <c r="L93" i="2" s="1"/>
  <c r="K93" i="2" l="1"/>
  <c r="M93" i="2" s="1"/>
  <c r="O94" i="2" s="1"/>
  <c r="K94" i="2" s="1"/>
  <c r="L94" i="2" l="1"/>
  <c r="M94" i="2" s="1"/>
  <c r="O95" i="2" s="1"/>
  <c r="L95" i="2" s="1"/>
  <c r="K95" i="2" l="1"/>
  <c r="M95" i="2" s="1"/>
  <c r="O96" i="2" s="1"/>
  <c r="L96" i="2" s="1"/>
  <c r="K96" i="2" l="1"/>
  <c r="M96" i="2" s="1"/>
  <c r="O97" i="2" s="1"/>
  <c r="L97" i="2" s="1"/>
  <c r="K97" i="2" l="1"/>
  <c r="M97" i="2" s="1"/>
  <c r="O98" i="2" s="1"/>
  <c r="L98" i="2" s="1"/>
  <c r="K98" i="2" l="1"/>
  <c r="M98" i="2" s="1"/>
  <c r="O99" i="2" s="1"/>
  <c r="F24" i="12" s="1"/>
  <c r="G24" i="12" s="1"/>
  <c r="O10" i="12" l="1"/>
  <c r="P10" i="12" s="1"/>
  <c r="E36" i="2" s="1"/>
  <c r="E22" i="7"/>
  <c r="K99" i="2"/>
  <c r="L99" i="2"/>
  <c r="C22" i="7" s="1"/>
  <c r="B22" i="7"/>
  <c r="R22" i="7" l="1"/>
  <c r="S22" i="7" s="1"/>
  <c r="P22" i="7"/>
  <c r="Q22" i="7" s="1"/>
  <c r="V22" i="7" s="1"/>
  <c r="H10" i="2" s="1"/>
  <c r="M99" i="2"/>
  <c r="G22" i="7"/>
  <c r="O100" i="2"/>
  <c r="D22" i="7"/>
  <c r="L100" i="2" l="1"/>
  <c r="K100" i="2"/>
  <c r="M100" i="2" l="1"/>
  <c r="O101" i="2" s="1"/>
  <c r="L101" i="2" s="1"/>
  <c r="K101" i="2" l="1"/>
  <c r="M101" i="2"/>
  <c r="O102" i="2" s="1"/>
  <c r="L102" i="2"/>
  <c r="K102" i="2"/>
  <c r="M102" i="2" l="1"/>
  <c r="O103" i="2" s="1"/>
  <c r="L103" i="2" s="1"/>
  <c r="K103" i="2" l="1"/>
  <c r="M103" i="2" s="1"/>
  <c r="O104" i="2" s="1"/>
  <c r="K104" i="2" s="1"/>
  <c r="L104" i="2" l="1"/>
  <c r="M104" i="2" s="1"/>
  <c r="O105" i="2" s="1"/>
  <c r="L105" i="2" l="1"/>
  <c r="K105" i="2"/>
  <c r="M105" i="2" s="1"/>
  <c r="O106" i="2" s="1"/>
  <c r="K106" i="2" l="1"/>
  <c r="L106" i="2"/>
  <c r="M106" i="2" l="1"/>
  <c r="O107" i="2" s="1"/>
  <c r="L107" i="2" l="1"/>
  <c r="K107" i="2"/>
  <c r="M107" i="2" l="1"/>
  <c r="O108" i="2" s="1"/>
  <c r="L108" i="2" s="1"/>
  <c r="K108" i="2" l="1"/>
  <c r="M108" i="2" s="1"/>
  <c r="O109" i="2" s="1"/>
  <c r="L109" i="2" s="1"/>
  <c r="K109" i="2" l="1"/>
  <c r="M109" i="2" s="1"/>
  <c r="O110" i="2" s="1"/>
  <c r="L110" i="2" s="1"/>
  <c r="K110" i="2" l="1"/>
  <c r="M110" i="2" s="1"/>
  <c r="O111" i="2" s="1"/>
  <c r="E23" i="7" s="1"/>
  <c r="O11" i="12" l="1"/>
  <c r="P11" i="12" s="1"/>
  <c r="F25" i="12"/>
  <c r="L111" i="2"/>
  <c r="C23" i="7" s="1"/>
  <c r="K111" i="2"/>
  <c r="M111" i="2" l="1"/>
  <c r="G25" i="12"/>
  <c r="E37" i="2" s="1"/>
  <c r="B23" i="7"/>
  <c r="O112" i="2"/>
  <c r="D23" i="7"/>
  <c r="G23" i="7" l="1"/>
  <c r="P23" i="7"/>
  <c r="Q23" i="7" s="1"/>
  <c r="V23" i="7" s="1"/>
  <c r="H11" i="2" s="1"/>
  <c r="R23" i="7"/>
  <c r="S23" i="7"/>
  <c r="K112" i="2"/>
  <c r="L112" i="2"/>
  <c r="M112" i="2" l="1"/>
  <c r="O113" i="2" s="1"/>
  <c r="K113" i="2" l="1"/>
  <c r="L113" i="2"/>
  <c r="M113" i="2" l="1"/>
  <c r="O114" i="2" s="1"/>
  <c r="L114" i="2" s="1"/>
  <c r="K114" i="2" l="1"/>
  <c r="M114" i="2" s="1"/>
  <c r="O115" i="2" s="1"/>
  <c r="L115" i="2" s="1"/>
  <c r="K115" i="2" l="1"/>
  <c r="M115" i="2" s="1"/>
  <c r="O116" i="2" s="1"/>
  <c r="K116" i="2" l="1"/>
  <c r="L116" i="2"/>
  <c r="M116" i="2" l="1"/>
  <c r="O117" i="2" s="1"/>
  <c r="L117" i="2" s="1"/>
  <c r="K117" i="2" l="1"/>
  <c r="M117" i="2" s="1"/>
  <c r="O118" i="2" s="1"/>
  <c r="K118" i="2" l="1"/>
  <c r="L118" i="2"/>
  <c r="M118" i="2" l="1"/>
  <c r="O119" i="2" s="1"/>
  <c r="L119" i="2" s="1"/>
  <c r="K119" i="2" l="1"/>
  <c r="M119" i="2" s="1"/>
  <c r="O120" i="2" s="1"/>
  <c r="K120" i="2" s="1"/>
  <c r="L120" i="2" l="1"/>
  <c r="M120" i="2" s="1"/>
  <c r="O121" i="2" s="1"/>
  <c r="L121" i="2" s="1"/>
  <c r="K121" i="2" l="1"/>
  <c r="M121" i="2" s="1"/>
  <c r="O122" i="2" s="1"/>
  <c r="L122" i="2" l="1"/>
  <c r="K122" i="2"/>
  <c r="M122" i="2" s="1"/>
  <c r="O123" i="2" s="1"/>
  <c r="F26" i="12" l="1"/>
  <c r="E24" i="7"/>
  <c r="L123" i="2"/>
  <c r="C24" i="7" s="1"/>
  <c r="O12" i="12"/>
  <c r="P12" i="12" s="1"/>
  <c r="K123" i="2"/>
  <c r="M123" i="2" s="1"/>
  <c r="G26" i="12"/>
  <c r="E38" i="2" s="1"/>
  <c r="B24" i="7"/>
  <c r="P24" i="7" l="1"/>
  <c r="R24" i="7"/>
  <c r="S24" i="7" s="1"/>
  <c r="G24" i="7"/>
  <c r="Q24" i="7"/>
  <c r="V24" i="7" s="1"/>
  <c r="H12" i="2" s="1"/>
  <c r="O124" i="2"/>
  <c r="D24" i="7"/>
  <c r="L124" i="2" l="1"/>
  <c r="K124" i="2"/>
  <c r="M124" i="2" l="1"/>
  <c r="O125" i="2" s="1"/>
  <c r="L125" i="2" s="1"/>
  <c r="K125" i="2"/>
  <c r="M125" i="2" l="1"/>
  <c r="O126" i="2" s="1"/>
  <c r="L126" i="2" s="1"/>
  <c r="K126" i="2" l="1"/>
  <c r="M126" i="2" s="1"/>
  <c r="O127" i="2" s="1"/>
  <c r="L127" i="2" s="1"/>
  <c r="K127" i="2" l="1"/>
  <c r="M127" i="2" s="1"/>
  <c r="O128" i="2" s="1"/>
  <c r="L128" i="2" s="1"/>
  <c r="K128" i="2" l="1"/>
  <c r="M128" i="2" s="1"/>
  <c r="O129" i="2" s="1"/>
  <c r="L129" i="2" s="1"/>
  <c r="K129" i="2" l="1"/>
  <c r="M129" i="2" s="1"/>
  <c r="O130" i="2" s="1"/>
  <c r="L130" i="2" s="1"/>
  <c r="K130" i="2" l="1"/>
  <c r="M130" i="2" s="1"/>
  <c r="O131" i="2" s="1"/>
  <c r="L131" i="2" s="1"/>
  <c r="K131" i="2" l="1"/>
  <c r="M131" i="2" s="1"/>
  <c r="O132" i="2" s="1"/>
  <c r="L132" i="2" l="1"/>
  <c r="K132" i="2"/>
  <c r="M132" i="2" s="1"/>
  <c r="O133" i="2" s="1"/>
  <c r="L133" i="2" s="1"/>
  <c r="K133" i="2" l="1"/>
  <c r="M133" i="2" s="1"/>
  <c r="O134" i="2" s="1"/>
  <c r="L134" i="2" s="1"/>
  <c r="K134" i="2" l="1"/>
  <c r="M134" i="2" s="1"/>
  <c r="O135" i="2" s="1"/>
  <c r="O13" i="12" l="1"/>
  <c r="P13" i="12" s="1"/>
  <c r="F27" i="12"/>
  <c r="K135" i="2"/>
  <c r="E25" i="7"/>
  <c r="L135" i="2"/>
  <c r="C25" i="7" s="1"/>
  <c r="B25" i="7"/>
  <c r="R25" i="7" l="1"/>
  <c r="P25" i="7"/>
  <c r="G27" i="12"/>
  <c r="E39" i="2" s="1"/>
  <c r="M135" i="2"/>
  <c r="O136" i="2" s="1"/>
  <c r="G25" i="7"/>
  <c r="S25" i="7"/>
  <c r="Q25" i="7"/>
  <c r="V25" i="7" s="1"/>
  <c r="D25" i="7"/>
  <c r="K136" i="2" l="1"/>
  <c r="L136" i="2"/>
  <c r="M136" i="2" l="1"/>
  <c r="O137" i="2" s="1"/>
  <c r="K137" i="2" l="1"/>
  <c r="L137" i="2"/>
  <c r="M137" i="2" l="1"/>
  <c r="O138" i="2" s="1"/>
  <c r="L138" i="2" l="1"/>
  <c r="K138" i="2"/>
  <c r="M138" i="2" l="1"/>
  <c r="O139" i="2" s="1"/>
  <c r="L139" i="2" s="1"/>
  <c r="K139" i="2" l="1"/>
  <c r="M139" i="2" s="1"/>
  <c r="O140" i="2" s="1"/>
  <c r="L140" i="2" s="1"/>
  <c r="K140" i="2" l="1"/>
  <c r="M140" i="2" s="1"/>
  <c r="O141" i="2" s="1"/>
  <c r="L141" i="2" s="1"/>
  <c r="K141" i="2" l="1"/>
  <c r="M141" i="2" s="1"/>
  <c r="O142" i="2" s="1"/>
  <c r="L142" i="2" s="1"/>
  <c r="K142" i="2" l="1"/>
  <c r="M142" i="2" s="1"/>
  <c r="O143" i="2" s="1"/>
  <c r="L143" i="2" l="1"/>
  <c r="K143" i="2"/>
  <c r="M143" i="2" s="1"/>
  <c r="O144" i="2" s="1"/>
  <c r="L144" i="2" s="1"/>
  <c r="K144" i="2" l="1"/>
  <c r="M144" i="2" s="1"/>
  <c r="O145" i="2" s="1"/>
  <c r="L145" i="2" s="1"/>
  <c r="K145" i="2" l="1"/>
  <c r="M145" i="2" s="1"/>
  <c r="O146" i="2" s="1"/>
  <c r="L146" i="2" l="1"/>
  <c r="K146" i="2"/>
  <c r="M146" i="2" s="1"/>
  <c r="O147" i="2" s="1"/>
  <c r="O14" i="12" l="1"/>
  <c r="P14" i="12" s="1"/>
  <c r="F28" i="12"/>
  <c r="E26" i="7"/>
  <c r="L147" i="2"/>
  <c r="C26" i="7" s="1"/>
  <c r="K147" i="2"/>
  <c r="G28" i="12" l="1"/>
  <c r="E40" i="2" s="1"/>
  <c r="M147" i="2"/>
  <c r="B26" i="7"/>
  <c r="P26" i="7" l="1"/>
  <c r="R26" i="7"/>
  <c r="S26" i="7" s="1"/>
  <c r="G26" i="7"/>
  <c r="Q26" i="7"/>
  <c r="V26" i="7" s="1"/>
  <c r="O148" i="2"/>
  <c r="D26" i="7"/>
  <c r="L148" i="2" l="1"/>
  <c r="K148" i="2"/>
  <c r="M148" i="2" l="1"/>
  <c r="O149" i="2" s="1"/>
  <c r="K149" i="2"/>
  <c r="L149" i="2"/>
  <c r="M149" i="2" l="1"/>
  <c r="O150" i="2" s="1"/>
  <c r="L150" i="2" l="1"/>
  <c r="K150" i="2"/>
  <c r="M150" i="2" l="1"/>
  <c r="O151" i="2" s="1"/>
  <c r="L151" i="2" s="1"/>
  <c r="K151" i="2"/>
  <c r="M151" i="2" l="1"/>
  <c r="O152" i="2" s="1"/>
  <c r="L152" i="2"/>
  <c r="K152" i="2"/>
  <c r="M152" i="2" l="1"/>
  <c r="O153" i="2" s="1"/>
  <c r="L153" i="2" s="1"/>
  <c r="K153" i="2" l="1"/>
  <c r="M153" i="2" s="1"/>
  <c r="O154" i="2" s="1"/>
  <c r="L154" i="2" s="1"/>
  <c r="K154" i="2" l="1"/>
  <c r="M154" i="2" s="1"/>
  <c r="O155" i="2" s="1"/>
  <c r="K155" i="2" l="1"/>
  <c r="L155" i="2"/>
  <c r="M155" i="2" l="1"/>
  <c r="O156" i="2" s="1"/>
  <c r="L156" i="2" s="1"/>
  <c r="K156" i="2" l="1"/>
  <c r="M156" i="2" s="1"/>
  <c r="O157" i="2" s="1"/>
  <c r="L157" i="2" s="1"/>
  <c r="K157" i="2" l="1"/>
  <c r="M157" i="2" s="1"/>
  <c r="O158" i="2" s="1"/>
  <c r="L158" i="2" l="1"/>
  <c r="K158" i="2"/>
  <c r="M158" i="2" s="1"/>
  <c r="O159" i="2" s="1"/>
  <c r="O15" i="12" l="1"/>
  <c r="P15" i="12" s="1"/>
  <c r="F29" i="12"/>
  <c r="G29" i="12" s="1"/>
  <c r="L159" i="2"/>
  <c r="C27" i="7" s="1"/>
  <c r="E27" i="7"/>
  <c r="K159" i="2"/>
  <c r="E41" i="2" l="1"/>
  <c r="M159" i="2"/>
  <c r="B27" i="7"/>
  <c r="P27" i="7" l="1"/>
  <c r="R27" i="7"/>
  <c r="G27" i="7"/>
  <c r="Q27" i="7"/>
  <c r="V27" i="7" s="1"/>
  <c r="S27" i="7"/>
  <c r="O160" i="2"/>
  <c r="D27" i="7"/>
  <c r="L160" i="2" l="1"/>
  <c r="K160" i="2"/>
  <c r="M160" i="2" l="1"/>
  <c r="O161" i="2" s="1"/>
  <c r="K161" i="2" s="1"/>
  <c r="L161" i="2" l="1"/>
  <c r="M161" i="2" s="1"/>
  <c r="O162" i="2" s="1"/>
  <c r="L162" i="2" l="1"/>
  <c r="K162" i="2"/>
  <c r="M162" i="2" s="1"/>
  <c r="O163" i="2" s="1"/>
  <c r="L163" i="2" l="1"/>
  <c r="K163" i="2"/>
  <c r="M163" i="2" s="1"/>
  <c r="O164" i="2" s="1"/>
  <c r="L164" i="2" l="1"/>
  <c r="K164" i="2"/>
  <c r="M164" i="2" l="1"/>
  <c r="O165" i="2" s="1"/>
  <c r="K165" i="2" s="1"/>
  <c r="L165" i="2" l="1"/>
  <c r="M165" i="2"/>
  <c r="O166" i="2" s="1"/>
  <c r="L166" i="2" l="1"/>
  <c r="K166" i="2"/>
  <c r="M166" i="2" l="1"/>
  <c r="O167" i="2" s="1"/>
  <c r="L167" i="2" s="1"/>
  <c r="K167" i="2" l="1"/>
  <c r="M167" i="2" s="1"/>
  <c r="O168" i="2" s="1"/>
  <c r="K168" i="2" s="1"/>
  <c r="L168" i="2" l="1"/>
  <c r="M168" i="2" s="1"/>
  <c r="O169" i="2" s="1"/>
  <c r="L169" i="2" l="1"/>
  <c r="K169" i="2"/>
  <c r="M169" i="2" l="1"/>
  <c r="O170" i="2" s="1"/>
  <c r="L170" i="2" s="1"/>
  <c r="K170" i="2" l="1"/>
  <c r="M170" i="2" s="1"/>
  <c r="O171" i="2" s="1"/>
  <c r="F30" i="12" s="1"/>
  <c r="G30" i="12" s="1"/>
  <c r="O16" i="12" l="1"/>
  <c r="E28" i="7"/>
  <c r="K171" i="2"/>
  <c r="L171" i="2"/>
  <c r="C28" i="7" s="1"/>
  <c r="B28" i="7"/>
  <c r="P28" i="7" l="1"/>
  <c r="R28" i="7"/>
  <c r="P16" i="12"/>
  <c r="E42" i="2" s="1"/>
  <c r="M171" i="2"/>
  <c r="G28" i="7"/>
  <c r="S28" i="7"/>
  <c r="Q28" i="7"/>
  <c r="V28" i="7" s="1"/>
  <c r="O172" i="2"/>
  <c r="D28" i="7"/>
  <c r="L172" i="2" l="1"/>
  <c r="K172" i="2"/>
  <c r="M172" i="2" l="1"/>
  <c r="O173" i="2" s="1"/>
  <c r="K173" i="2" s="1"/>
  <c r="L173" i="2" l="1"/>
  <c r="M173" i="2" s="1"/>
  <c r="O174" i="2" s="1"/>
  <c r="K174" i="2" l="1"/>
  <c r="L174" i="2"/>
  <c r="M174" i="2" l="1"/>
  <c r="O175" i="2" s="1"/>
  <c r="K175" i="2" l="1"/>
  <c r="L175" i="2"/>
  <c r="M175" i="2" l="1"/>
  <c r="O176" i="2" s="1"/>
  <c r="K176" i="2" l="1"/>
  <c r="L176" i="2"/>
  <c r="M176" i="2" l="1"/>
  <c r="O177" i="2" s="1"/>
  <c r="L177" i="2" l="1"/>
  <c r="K177" i="2"/>
  <c r="M177" i="2" l="1"/>
  <c r="O178" i="2" s="1"/>
  <c r="L178" i="2" s="1"/>
  <c r="K178" i="2" l="1"/>
  <c r="M178" i="2" s="1"/>
  <c r="O179" i="2" s="1"/>
  <c r="L179" i="2" s="1"/>
  <c r="K179" i="2" l="1"/>
  <c r="M179" i="2" s="1"/>
  <c r="O180" i="2" s="1"/>
  <c r="L180" i="2" s="1"/>
  <c r="K180" i="2" l="1"/>
  <c r="M180" i="2" s="1"/>
  <c r="O181" i="2" s="1"/>
  <c r="L181" i="2" s="1"/>
  <c r="K181" i="2" l="1"/>
  <c r="M181" i="2" s="1"/>
  <c r="O182" i="2" s="1"/>
  <c r="K182" i="2" s="1"/>
  <c r="L182" i="2" l="1"/>
  <c r="M182" i="2" s="1"/>
  <c r="O183" i="2" s="1"/>
  <c r="O17" i="12" l="1"/>
  <c r="P17" i="12" s="1"/>
  <c r="F31" i="12"/>
  <c r="E29" i="7"/>
  <c r="K183" i="2"/>
  <c r="L183" i="2"/>
  <c r="C29" i="7" s="1"/>
  <c r="B29" i="7"/>
  <c r="P29" i="7" l="1"/>
  <c r="R29" i="7"/>
  <c r="G31" i="12"/>
  <c r="E43" i="2" s="1"/>
  <c r="M183" i="2"/>
  <c r="O184" i="2" s="1"/>
  <c r="G29" i="7"/>
  <c r="Q29" i="7"/>
  <c r="V29" i="7" s="1"/>
  <c r="S29" i="7"/>
  <c r="D29" i="7"/>
  <c r="L184" i="2" l="1"/>
  <c r="K184" i="2"/>
  <c r="M184" i="2" l="1"/>
  <c r="O185" i="2" s="1"/>
  <c r="L185" i="2" s="1"/>
  <c r="K185" i="2" l="1"/>
  <c r="M185" i="2" s="1"/>
  <c r="O186" i="2" s="1"/>
  <c r="L186" i="2" l="1"/>
  <c r="K186" i="2"/>
  <c r="M186" i="2" l="1"/>
  <c r="O187" i="2" s="1"/>
  <c r="L187" i="2" s="1"/>
  <c r="K187" i="2" l="1"/>
  <c r="M187" i="2" s="1"/>
  <c r="O188" i="2" s="1"/>
  <c r="L188" i="2" s="1"/>
  <c r="K188" i="2" l="1"/>
  <c r="M188" i="2" s="1"/>
  <c r="O189" i="2" s="1"/>
  <c r="L189" i="2" l="1"/>
  <c r="K189" i="2"/>
  <c r="M189" i="2" s="1"/>
  <c r="O190" i="2" s="1"/>
  <c r="L190" i="2" s="1"/>
  <c r="K190" i="2" l="1"/>
  <c r="M190" i="2" s="1"/>
  <c r="O191" i="2" s="1"/>
  <c r="L191" i="2" s="1"/>
  <c r="K191" i="2" l="1"/>
  <c r="M191" i="2" s="1"/>
  <c r="O192" i="2" s="1"/>
  <c r="L192" i="2" s="1"/>
  <c r="K192" i="2" l="1"/>
  <c r="M192" i="2" s="1"/>
  <c r="O193" i="2" s="1"/>
  <c r="L193" i="2" l="1"/>
  <c r="K193" i="2"/>
  <c r="M193" i="2" l="1"/>
  <c r="O194" i="2" s="1"/>
  <c r="L194" i="2" s="1"/>
  <c r="K194" i="2" l="1"/>
  <c r="M194" i="2" s="1"/>
  <c r="O195" i="2" s="1"/>
  <c r="O18" i="12" l="1"/>
  <c r="P18" i="12" s="1"/>
  <c r="F32" i="12"/>
  <c r="G32" i="12" s="1"/>
  <c r="L195" i="2"/>
  <c r="C30" i="7" s="1"/>
  <c r="K195" i="2"/>
  <c r="B30" i="7" s="1"/>
  <c r="E30" i="7"/>
  <c r="G30" i="7" l="1"/>
  <c r="P30" i="7"/>
  <c r="R30" i="7"/>
  <c r="M195" i="2"/>
  <c r="S30" i="7"/>
  <c r="Q30" i="7"/>
  <c r="V30" i="7" s="1"/>
  <c r="O196" i="2" l="1"/>
  <c r="D30" i="7"/>
  <c r="K196" i="2" l="1"/>
  <c r="L196" i="2"/>
  <c r="M196" i="2" l="1"/>
  <c r="O197" i="2" s="1"/>
  <c r="K197" i="2" l="1"/>
  <c r="L197" i="2"/>
  <c r="M197" i="2" l="1"/>
  <c r="O198" i="2" s="1"/>
  <c r="L198" i="2" l="1"/>
  <c r="K198" i="2"/>
  <c r="M198" i="2" l="1"/>
  <c r="O199" i="2" s="1"/>
  <c r="K199" i="2" s="1"/>
  <c r="L199" i="2" l="1"/>
  <c r="M199" i="2" s="1"/>
  <c r="O200" i="2" s="1"/>
  <c r="K200" i="2" l="1"/>
  <c r="L200" i="2"/>
  <c r="M200" i="2" l="1"/>
  <c r="O201" i="2" s="1"/>
  <c r="L201" i="2" s="1"/>
  <c r="K201" i="2" l="1"/>
  <c r="M201" i="2" s="1"/>
  <c r="O202" i="2" s="1"/>
  <c r="L202" i="2" s="1"/>
  <c r="K202" i="2" l="1"/>
  <c r="M202" i="2" s="1"/>
  <c r="O203" i="2" s="1"/>
  <c r="K203" i="2" s="1"/>
  <c r="L203" i="2" l="1"/>
  <c r="M203" i="2" s="1"/>
  <c r="O204" i="2" s="1"/>
  <c r="L204" i="2" l="1"/>
  <c r="K204" i="2"/>
  <c r="M204" i="2" s="1"/>
  <c r="O205" i="2" s="1"/>
  <c r="L205" i="2" l="1"/>
  <c r="K205" i="2"/>
  <c r="M205" i="2" l="1"/>
  <c r="O206" i="2" s="1"/>
  <c r="L206" i="2" s="1"/>
  <c r="K206" i="2" l="1"/>
  <c r="M206" i="2"/>
  <c r="O207" i="2" l="1"/>
  <c r="F33" i="12" s="1"/>
  <c r="G33" i="12" s="1"/>
  <c r="O19" i="12" l="1"/>
  <c r="P19" i="12" s="1"/>
  <c r="L207" i="2"/>
  <c r="C31" i="7" s="1"/>
  <c r="K207" i="2"/>
  <c r="E31" i="7"/>
  <c r="M207" i="2" l="1"/>
  <c r="B31" i="7"/>
  <c r="P31" i="7" l="1"/>
  <c r="R31" i="7"/>
  <c r="S31" i="7" s="1"/>
  <c r="G31" i="7"/>
  <c r="Q31" i="7"/>
  <c r="V31" i="7" s="1"/>
  <c r="D31" i="7"/>
  <c r="O208" i="2"/>
  <c r="L208" i="2" l="1"/>
  <c r="K208" i="2"/>
  <c r="M208" i="2" l="1"/>
  <c r="O209" i="2" s="1"/>
  <c r="K209" i="2" s="1"/>
  <c r="L209" i="2" l="1"/>
  <c r="M209" i="2" s="1"/>
  <c r="O210" i="2" s="1"/>
  <c r="K210" i="2" l="1"/>
  <c r="L210" i="2"/>
  <c r="M210" i="2" l="1"/>
  <c r="O211" i="2" s="1"/>
  <c r="L211" i="2" s="1"/>
  <c r="K211" i="2" l="1"/>
  <c r="M211" i="2" s="1"/>
  <c r="O212" i="2" s="1"/>
  <c r="K212" i="2" s="1"/>
  <c r="L212" i="2" l="1"/>
  <c r="M212" i="2" s="1"/>
  <c r="O213" i="2" s="1"/>
  <c r="L213" i="2" s="1"/>
  <c r="K213" i="2" l="1"/>
  <c r="M213" i="2" s="1"/>
  <c r="O214" i="2" s="1"/>
  <c r="L214" i="2" s="1"/>
  <c r="K214" i="2" l="1"/>
  <c r="M214" i="2" s="1"/>
  <c r="O215" i="2" s="1"/>
  <c r="K215" i="2" s="1"/>
  <c r="L215" i="2" l="1"/>
  <c r="M215" i="2" s="1"/>
  <c r="O216" i="2" s="1"/>
  <c r="L216" i="2" l="1"/>
  <c r="K216" i="2"/>
  <c r="M216" i="2" s="1"/>
  <c r="O217" i="2" s="1"/>
  <c r="L217" i="2" l="1"/>
  <c r="K217" i="2"/>
  <c r="M217" i="2" s="1"/>
  <c r="O218" i="2" s="1"/>
  <c r="K218" i="2" l="1"/>
  <c r="L218" i="2"/>
  <c r="M218" i="2" l="1"/>
  <c r="O219" i="2" s="1"/>
  <c r="K219" i="2" s="1"/>
  <c r="E32" i="7" l="1"/>
  <c r="L219" i="2"/>
  <c r="C32" i="7" s="1"/>
  <c r="O20" i="12"/>
  <c r="P20" i="12" s="1"/>
  <c r="F34" i="12"/>
  <c r="G34" i="12" s="1"/>
  <c r="M219" i="2"/>
  <c r="B32" i="7"/>
  <c r="P32" i="7" l="1"/>
  <c r="R32" i="7"/>
  <c r="G32" i="7"/>
  <c r="S32" i="7"/>
  <c r="Q32" i="7"/>
  <c r="V32" i="7" s="1"/>
  <c r="D32" i="7"/>
  <c r="O220" i="2"/>
  <c r="L220" i="2" l="1"/>
  <c r="K220" i="2"/>
  <c r="M220" i="2" l="1"/>
  <c r="O221" i="2" s="1"/>
  <c r="L221" i="2" s="1"/>
  <c r="K221" i="2" l="1"/>
  <c r="M221" i="2" s="1"/>
  <c r="O222" i="2" s="1"/>
  <c r="K222" i="2" s="1"/>
  <c r="L222" i="2" l="1"/>
  <c r="M222" i="2" s="1"/>
  <c r="O223" i="2" s="1"/>
  <c r="L223" i="2" l="1"/>
  <c r="K223" i="2"/>
  <c r="M223" i="2" s="1"/>
  <c r="O224" i="2" s="1"/>
  <c r="L224" i="2" l="1"/>
  <c r="K224" i="2"/>
  <c r="M224" i="2" s="1"/>
  <c r="O225" i="2" s="1"/>
  <c r="L225" i="2" l="1"/>
  <c r="K225" i="2"/>
  <c r="M225" i="2" l="1"/>
  <c r="O226" i="2" s="1"/>
  <c r="K226" i="2" s="1"/>
  <c r="L226" i="2" l="1"/>
  <c r="M226" i="2" s="1"/>
  <c r="O227" i="2" s="1"/>
  <c r="L227" i="2" s="1"/>
  <c r="K227" i="2" l="1"/>
  <c r="M227" i="2" s="1"/>
  <c r="O228" i="2" s="1"/>
  <c r="L228" i="2" l="1"/>
  <c r="K228" i="2"/>
  <c r="M228" i="2" s="1"/>
  <c r="O229" i="2" s="1"/>
  <c r="K229" i="2" s="1"/>
  <c r="L229" i="2" l="1"/>
  <c r="M229" i="2" s="1"/>
  <c r="O230" i="2" s="1"/>
  <c r="L230" i="2" l="1"/>
  <c r="K230" i="2"/>
  <c r="M230" i="2" l="1"/>
  <c r="O231" i="2" l="1"/>
  <c r="F35" i="12" l="1"/>
  <c r="G35" i="12" s="1"/>
  <c r="O21" i="12"/>
  <c r="P21" i="12" s="1"/>
  <c r="E33" i="7"/>
  <c r="L231" i="2"/>
  <c r="C33" i="7" s="1"/>
  <c r="K231" i="2"/>
  <c r="M231" i="2" l="1"/>
  <c r="B33" i="7"/>
  <c r="R33" i="7" l="1"/>
  <c r="P33" i="7"/>
  <c r="Q33" i="7" s="1"/>
  <c r="V33" i="7" s="1"/>
  <c r="G33" i="7"/>
  <c r="S33" i="7"/>
  <c r="D33" i="7"/>
  <c r="O232" i="2"/>
  <c r="L232" i="2" l="1"/>
  <c r="K232" i="2"/>
  <c r="M232" i="2" l="1"/>
  <c r="O233" i="2" s="1"/>
  <c r="L233" i="2" s="1"/>
  <c r="K233" i="2" l="1"/>
  <c r="M233" i="2" s="1"/>
  <c r="O234" i="2" s="1"/>
  <c r="K234" i="2" s="1"/>
  <c r="L234" i="2" l="1"/>
  <c r="M234" i="2"/>
  <c r="O235" i="2" s="1"/>
  <c r="K235" i="2" s="1"/>
  <c r="L235" i="2" l="1"/>
  <c r="M235" i="2" s="1"/>
  <c r="O236" i="2" s="1"/>
  <c r="L236" i="2" l="1"/>
  <c r="K236" i="2"/>
  <c r="M236" i="2" s="1"/>
  <c r="O237" i="2" s="1"/>
  <c r="L237" i="2" l="1"/>
  <c r="K237" i="2"/>
  <c r="M237" i="2" l="1"/>
  <c r="O238" i="2" s="1"/>
  <c r="L238" i="2" s="1"/>
  <c r="K238" i="2"/>
  <c r="M238" i="2" l="1"/>
  <c r="O239" i="2" s="1"/>
  <c r="K239" i="2" s="1"/>
  <c r="L239" i="2" l="1"/>
  <c r="M239" i="2" s="1"/>
  <c r="O240" i="2" s="1"/>
  <c r="L240" i="2" l="1"/>
  <c r="K240" i="2"/>
  <c r="M240" i="2" l="1"/>
  <c r="O241" i="2" l="1"/>
  <c r="K241" i="2" l="1"/>
  <c r="L241" i="2"/>
  <c r="M241" i="2" l="1"/>
  <c r="O242" i="2" l="1"/>
  <c r="L242" i="2" l="1"/>
  <c r="K242" i="2"/>
  <c r="M242" i="2" l="1"/>
  <c r="O243" i="2" l="1"/>
  <c r="F36" i="12" s="1"/>
  <c r="G36" i="12" s="1"/>
  <c r="K243" i="2" l="1"/>
  <c r="L243" i="2"/>
  <c r="C34" i="7" s="1"/>
  <c r="O22" i="12"/>
  <c r="P22" i="12" s="1"/>
  <c r="E34" i="7"/>
  <c r="M243" i="2" l="1"/>
  <c r="B34" i="7"/>
  <c r="R34" i="7" l="1"/>
  <c r="S34" i="7" s="1"/>
  <c r="P34" i="7"/>
  <c r="G34" i="7"/>
  <c r="Q34" i="7"/>
  <c r="V34" i="7" s="1"/>
  <c r="D34" i="7"/>
  <c r="O244" i="2"/>
  <c r="L244" i="2" l="1"/>
  <c r="K244" i="2"/>
  <c r="M244" i="2" l="1"/>
  <c r="O245" i="2" s="1"/>
  <c r="L245" i="2" s="1"/>
  <c r="K245" i="2" l="1"/>
  <c r="M245" i="2" s="1"/>
  <c r="O246" i="2" s="1"/>
  <c r="K246" i="2" s="1"/>
  <c r="L246" i="2" l="1"/>
  <c r="M246" i="2"/>
  <c r="O247" i="2" s="1"/>
  <c r="L247" i="2" s="1"/>
  <c r="K247" i="2" l="1"/>
  <c r="M247" i="2" s="1"/>
  <c r="O248" i="2" s="1"/>
  <c r="K248" i="2" s="1"/>
  <c r="L248" i="2" l="1"/>
  <c r="M248" i="2" s="1"/>
  <c r="O249" i="2" s="1"/>
  <c r="K249" i="2" s="1"/>
  <c r="L249" i="2" l="1"/>
  <c r="M249" i="2" s="1"/>
  <c r="O250" i="2" l="1"/>
  <c r="L250" i="2" l="1"/>
  <c r="K250" i="2"/>
  <c r="M250" i="2" l="1"/>
  <c r="O251" i="2" l="1"/>
  <c r="L251" i="2" l="1"/>
  <c r="K251" i="2"/>
  <c r="M251" i="2" l="1"/>
  <c r="O252" i="2" l="1"/>
  <c r="L252" i="2" l="1"/>
  <c r="K252" i="2"/>
  <c r="M252" i="2" l="1"/>
  <c r="O253" i="2" l="1"/>
  <c r="K253" i="2" l="1"/>
  <c r="L253" i="2"/>
  <c r="M253" i="2" l="1"/>
  <c r="O254" i="2" s="1"/>
  <c r="L254" i="2" l="1"/>
  <c r="K254" i="2"/>
  <c r="M254" i="2" s="1"/>
  <c r="O255" i="2" s="1"/>
  <c r="F37" i="12" s="1"/>
  <c r="G37" i="12" s="1"/>
  <c r="O23" i="12" l="1"/>
  <c r="P23" i="12" s="1"/>
  <c r="L255" i="2"/>
  <c r="C35" i="7" s="1"/>
  <c r="E35" i="7"/>
  <c r="K255" i="2"/>
  <c r="M255" i="2" l="1"/>
  <c r="B35" i="7"/>
  <c r="R35" i="7" l="1"/>
  <c r="P35" i="7"/>
  <c r="Q35" i="7" s="1"/>
  <c r="V35" i="7" s="1"/>
  <c r="G35" i="7"/>
  <c r="S35" i="7"/>
  <c r="D35" i="7"/>
  <c r="O256" i="2"/>
  <c r="L256" i="2" l="1"/>
  <c r="K256" i="2"/>
  <c r="M256" i="2" l="1"/>
  <c r="O257" i="2" l="1"/>
  <c r="K257" i="2" l="1"/>
  <c r="L257" i="2"/>
  <c r="M257" i="2" l="1"/>
  <c r="O258" i="2" l="1"/>
  <c r="L258" i="2" l="1"/>
  <c r="K258" i="2"/>
  <c r="M258" i="2" l="1"/>
  <c r="O259" i="2" l="1"/>
  <c r="K259" i="2" l="1"/>
  <c r="L259" i="2"/>
  <c r="M259" i="2" l="1"/>
  <c r="O260" i="2" l="1"/>
  <c r="K260" i="2" l="1"/>
  <c r="L260" i="2"/>
  <c r="M260" i="2" l="1"/>
  <c r="O261" i="2" l="1"/>
  <c r="L261" i="2" l="1"/>
  <c r="K261" i="2"/>
  <c r="M261" i="2" l="1"/>
  <c r="O262" i="2" s="1"/>
  <c r="L262" i="2"/>
  <c r="K262" i="2"/>
  <c r="M262" i="2" l="1"/>
  <c r="O263" i="2" s="1"/>
  <c r="L263" i="2" s="1"/>
  <c r="K263" i="2" l="1"/>
  <c r="M263" i="2" s="1"/>
  <c r="O264" i="2" l="1"/>
  <c r="L264" i="2" l="1"/>
  <c r="K264" i="2"/>
  <c r="M264" i="2" l="1"/>
  <c r="O265" i="2" l="1"/>
  <c r="L265" i="2" l="1"/>
  <c r="K265" i="2"/>
  <c r="M265" i="2" l="1"/>
  <c r="O266" i="2" l="1"/>
  <c r="K266" i="2" l="1"/>
  <c r="L266" i="2"/>
  <c r="M266" i="2" l="1"/>
  <c r="O267" i="2" l="1"/>
  <c r="F38" i="12" l="1"/>
  <c r="G38" i="12" s="1"/>
  <c r="O24" i="12"/>
  <c r="P24" i="12" s="1"/>
  <c r="K267" i="2"/>
  <c r="L267" i="2"/>
  <c r="C36" i="7" s="1"/>
  <c r="E36" i="7"/>
  <c r="M267" i="2" l="1"/>
  <c r="B36" i="7"/>
  <c r="P36" i="7" l="1"/>
  <c r="R36" i="7"/>
  <c r="S36" i="7" s="1"/>
  <c r="G36" i="7"/>
  <c r="Q36" i="7"/>
  <c r="V36" i="7" s="1"/>
  <c r="D36" i="7"/>
  <c r="O268" i="2"/>
  <c r="L268" i="2" l="1"/>
  <c r="K268" i="2"/>
  <c r="M268" i="2" l="1"/>
  <c r="O269" i="2" s="1"/>
  <c r="L269" i="2" s="1"/>
  <c r="K269" i="2" l="1"/>
  <c r="M269" i="2" s="1"/>
  <c r="O270" i="2" l="1"/>
  <c r="K270" i="2" l="1"/>
  <c r="L270" i="2"/>
  <c r="M270" i="2" l="1"/>
  <c r="O271" i="2" l="1"/>
  <c r="L271" i="2" l="1"/>
  <c r="K271" i="2"/>
  <c r="M271" i="2" l="1"/>
  <c r="O272" i="2" l="1"/>
  <c r="K272" i="2" l="1"/>
  <c r="L272" i="2"/>
  <c r="M272" i="2" l="1"/>
  <c r="O273" i="2" l="1"/>
  <c r="K273" i="2" l="1"/>
  <c r="L273" i="2"/>
  <c r="M273" i="2" l="1"/>
  <c r="O274" i="2" l="1"/>
  <c r="K274" i="2" l="1"/>
  <c r="L274" i="2"/>
  <c r="M274" i="2" l="1"/>
  <c r="O275" i="2" l="1"/>
  <c r="K275" i="2" l="1"/>
  <c r="L275" i="2"/>
  <c r="M275" i="2" l="1"/>
  <c r="O276" i="2" l="1"/>
  <c r="K276" i="2" l="1"/>
  <c r="L276" i="2"/>
  <c r="M276" i="2" l="1"/>
  <c r="O277" i="2" l="1"/>
  <c r="L277" i="2" l="1"/>
  <c r="K277" i="2"/>
  <c r="M277" i="2" l="1"/>
  <c r="O278" i="2" l="1"/>
  <c r="L278" i="2" l="1"/>
  <c r="K278" i="2"/>
  <c r="M278" i="2" l="1"/>
  <c r="O279" i="2" l="1"/>
  <c r="F39" i="12" s="1"/>
  <c r="G39" i="12" s="1"/>
  <c r="E37" i="7" l="1"/>
  <c r="L279" i="2"/>
  <c r="C37" i="7" s="1"/>
  <c r="O25" i="12"/>
  <c r="P25" i="12" s="1"/>
  <c r="K279" i="2"/>
  <c r="M279" i="2" l="1"/>
  <c r="B37" i="7"/>
  <c r="P37" i="7" l="1"/>
  <c r="R37" i="7"/>
  <c r="S37" i="7" s="1"/>
  <c r="G37" i="7"/>
  <c r="Q37" i="7"/>
  <c r="V37" i="7" s="1"/>
  <c r="D37" i="7"/>
  <c r="O280" i="2"/>
  <c r="L280" i="2" l="1"/>
  <c r="K280" i="2"/>
  <c r="M280" i="2" l="1"/>
  <c r="O281" i="2" l="1"/>
  <c r="K281" i="2" l="1"/>
  <c r="L281" i="2"/>
  <c r="M281" i="2" l="1"/>
  <c r="O282" i="2" l="1"/>
  <c r="K282" i="2" l="1"/>
  <c r="L282" i="2"/>
  <c r="M282" i="2" l="1"/>
  <c r="O283" i="2" s="1"/>
  <c r="K283" i="2" l="1"/>
  <c r="L283" i="2"/>
  <c r="M283" i="2" l="1"/>
  <c r="O284" i="2" l="1"/>
  <c r="L284" i="2" l="1"/>
  <c r="K284" i="2"/>
  <c r="M284" i="2" l="1"/>
  <c r="O285" i="2" s="1"/>
  <c r="L285" i="2"/>
  <c r="K285" i="2"/>
  <c r="M285" i="2" l="1"/>
  <c r="O286" i="2" l="1"/>
  <c r="L286" i="2" l="1"/>
  <c r="K286" i="2"/>
  <c r="M286" i="2" l="1"/>
  <c r="O287" i="2" l="1"/>
  <c r="K287" i="2" l="1"/>
  <c r="L287" i="2"/>
  <c r="M287" i="2" l="1"/>
  <c r="O288" i="2" l="1"/>
  <c r="L288" i="2" l="1"/>
  <c r="K288" i="2"/>
  <c r="M288" i="2" l="1"/>
  <c r="O289" i="2" l="1"/>
  <c r="K289" i="2" l="1"/>
  <c r="L289" i="2"/>
  <c r="M289" i="2" l="1"/>
  <c r="O290" i="2" l="1"/>
  <c r="L290" i="2" l="1"/>
  <c r="K290" i="2"/>
  <c r="M290" i="2" l="1"/>
  <c r="O291" i="2" l="1"/>
  <c r="F40" i="12" s="1"/>
  <c r="G40" i="12" s="1"/>
  <c r="O26" i="12" l="1"/>
  <c r="P26" i="12" s="1"/>
  <c r="L291" i="2"/>
  <c r="C38" i="7" s="1"/>
  <c r="K291" i="2"/>
  <c r="E38" i="7"/>
  <c r="M291" i="2" l="1"/>
  <c r="B38" i="7"/>
  <c r="P38" i="7" l="1"/>
  <c r="R38" i="7"/>
  <c r="G38" i="7"/>
  <c r="S38" i="7"/>
  <c r="Q38" i="7"/>
  <c r="V38" i="7" s="1"/>
  <c r="O292" i="2"/>
  <c r="D38" i="7"/>
  <c r="L292" i="2" l="1"/>
  <c r="K292" i="2"/>
  <c r="M292" i="2" l="1"/>
  <c r="O293" i="2" l="1"/>
  <c r="L293" i="2" l="1"/>
  <c r="K293" i="2"/>
  <c r="M293" i="2" l="1"/>
  <c r="O294" i="2" l="1"/>
  <c r="L294" i="2" l="1"/>
  <c r="K294" i="2"/>
  <c r="M294" i="2" l="1"/>
  <c r="O295" i="2" l="1"/>
  <c r="L295" i="2" l="1"/>
  <c r="K295" i="2"/>
  <c r="M295" i="2" l="1"/>
  <c r="O296" i="2" s="1"/>
  <c r="L296" i="2" s="1"/>
  <c r="K296" i="2" l="1"/>
  <c r="M296" i="2" s="1"/>
  <c r="O297" i="2" s="1"/>
  <c r="L297" i="2" s="1"/>
  <c r="K297" i="2" l="1"/>
  <c r="M297" i="2" s="1"/>
  <c r="O298" i="2" l="1"/>
  <c r="L298" i="2" l="1"/>
  <c r="K298" i="2"/>
  <c r="M298" i="2" l="1"/>
  <c r="O299" i="2" l="1"/>
  <c r="L299" i="2" l="1"/>
  <c r="K299" i="2"/>
  <c r="M299" i="2" l="1"/>
  <c r="O300" i="2" l="1"/>
  <c r="K300" i="2" l="1"/>
  <c r="L300" i="2"/>
  <c r="M300" i="2" l="1"/>
  <c r="O301" i="2" l="1"/>
  <c r="L301" i="2" l="1"/>
  <c r="K301" i="2"/>
  <c r="M301" i="2" l="1"/>
  <c r="O302" i="2" l="1"/>
  <c r="L302" i="2" l="1"/>
  <c r="K302" i="2"/>
  <c r="M302" i="2" l="1"/>
  <c r="O303" i="2" s="1"/>
  <c r="F41" i="12" s="1"/>
  <c r="G41" i="12" s="1"/>
  <c r="E39" i="7"/>
  <c r="L303" i="2"/>
  <c r="C39" i="7" s="1"/>
  <c r="K303" i="2" l="1"/>
  <c r="M303" i="2" s="1"/>
  <c r="O27" i="12"/>
  <c r="P27" i="12" s="1"/>
  <c r="B39" i="7"/>
  <c r="P39" i="7" l="1"/>
  <c r="R39" i="7"/>
  <c r="G39" i="7"/>
  <c r="Q39" i="7"/>
  <c r="V39" i="7" s="1"/>
  <c r="S39" i="7"/>
  <c r="O304" i="2"/>
  <c r="D39" i="7"/>
  <c r="L304" i="2" l="1"/>
  <c r="K304" i="2"/>
  <c r="M304" i="2" l="1"/>
  <c r="O305" i="2" l="1"/>
  <c r="L305" i="2" l="1"/>
  <c r="K305" i="2"/>
  <c r="M305" i="2" l="1"/>
  <c r="O306" i="2" l="1"/>
  <c r="L306" i="2" l="1"/>
  <c r="K306" i="2"/>
  <c r="M306" i="2" l="1"/>
  <c r="O307" i="2" l="1"/>
  <c r="L307" i="2" l="1"/>
  <c r="K307" i="2"/>
  <c r="M307" i="2" l="1"/>
  <c r="O308" i="2" l="1"/>
  <c r="K308" i="2" l="1"/>
  <c r="L308" i="2"/>
  <c r="M308" i="2" l="1"/>
  <c r="O309" i="2" l="1"/>
  <c r="L309" i="2" l="1"/>
  <c r="K309" i="2"/>
  <c r="M309" i="2" l="1"/>
  <c r="O310" i="2" s="1"/>
  <c r="L310" i="2" s="1"/>
  <c r="K310" i="2" l="1"/>
  <c r="M310" i="2" s="1"/>
  <c r="O311" i="2" s="1"/>
  <c r="L311" i="2" s="1"/>
  <c r="K311" i="2" l="1"/>
  <c r="M311" i="2" s="1"/>
  <c r="O312" i="2" s="1"/>
  <c r="L312" i="2" s="1"/>
  <c r="K312" i="2" l="1"/>
  <c r="M312" i="2" s="1"/>
  <c r="O313" i="2" s="1"/>
  <c r="L313" i="2" s="1"/>
  <c r="K313" i="2" l="1"/>
  <c r="M313" i="2"/>
  <c r="O314" i="2" s="1"/>
  <c r="L314" i="2" s="1"/>
  <c r="K314" i="2" l="1"/>
  <c r="M314" i="2" s="1"/>
  <c r="O315" i="2" s="1"/>
  <c r="F42" i="12" l="1"/>
  <c r="G42" i="12" s="1"/>
  <c r="O28" i="12"/>
  <c r="P28" i="12" s="1"/>
  <c r="E40" i="7"/>
  <c r="L315" i="2"/>
  <c r="C40" i="7" s="1"/>
  <c r="K315" i="2"/>
  <c r="B40" i="7"/>
  <c r="R40" i="7" l="1"/>
  <c r="S40" i="7" s="1"/>
  <c r="P40" i="7"/>
  <c r="M315" i="2"/>
  <c r="Q40" i="7"/>
  <c r="V40" i="7" s="1"/>
  <c r="G40" i="7"/>
  <c r="D40" i="7"/>
  <c r="O316" i="2"/>
  <c r="L316" i="2" l="1"/>
  <c r="K316" i="2"/>
  <c r="M316" i="2" l="1"/>
  <c r="O317" i="2" s="1"/>
  <c r="L317" i="2" s="1"/>
  <c r="K317" i="2" l="1"/>
  <c r="M317" i="2"/>
  <c r="O318" i="2" s="1"/>
  <c r="L318" i="2" s="1"/>
  <c r="K318" i="2" l="1"/>
  <c r="M318" i="2" s="1"/>
  <c r="O319" i="2" s="1"/>
  <c r="L319" i="2" s="1"/>
  <c r="K319" i="2" l="1"/>
  <c r="M319" i="2" s="1"/>
  <c r="O320" i="2" s="1"/>
  <c r="L320" i="2" s="1"/>
  <c r="K320" i="2" l="1"/>
  <c r="M320" i="2" s="1"/>
  <c r="O321" i="2" s="1"/>
  <c r="L321" i="2" l="1"/>
  <c r="K321" i="2"/>
  <c r="M321" i="2" l="1"/>
  <c r="O322" i="2" s="1"/>
  <c r="K322" i="2" s="1"/>
  <c r="L322" i="2" l="1"/>
  <c r="M322" i="2" s="1"/>
  <c r="O323" i="2" s="1"/>
  <c r="L323" i="2" s="1"/>
  <c r="K323" i="2" l="1"/>
  <c r="M323" i="2" s="1"/>
  <c r="O324" i="2" s="1"/>
  <c r="L324" i="2" s="1"/>
  <c r="K324" i="2" l="1"/>
  <c r="M324" i="2" s="1"/>
  <c r="O325" i="2" s="1"/>
  <c r="L325" i="2" s="1"/>
  <c r="K325" i="2" l="1"/>
  <c r="M325" i="2" s="1"/>
  <c r="O326" i="2" s="1"/>
  <c r="L326" i="2" s="1"/>
  <c r="K326" i="2" l="1"/>
  <c r="M326" i="2" s="1"/>
  <c r="O327" i="2" s="1"/>
  <c r="O29" i="12" s="1"/>
  <c r="P29" i="12" s="1"/>
  <c r="F43" i="12" l="1"/>
  <c r="G43" i="12" s="1"/>
  <c r="K327" i="2"/>
  <c r="B41" i="7" s="1"/>
  <c r="L327" i="2"/>
  <c r="C41" i="7" s="1"/>
  <c r="E41" i="7"/>
  <c r="G41" i="7" l="1"/>
  <c r="P41" i="7"/>
  <c r="R41" i="7"/>
  <c r="S41" i="7" s="1"/>
  <c r="Q41" i="7"/>
  <c r="V41" i="7" s="1"/>
  <c r="M327" i="2"/>
  <c r="O328" i="2" l="1"/>
  <c r="D41" i="7"/>
  <c r="L328" i="2" l="1"/>
  <c r="K328" i="2"/>
  <c r="M328" i="2" s="1"/>
  <c r="O329" i="2" s="1"/>
  <c r="L329" i="2" l="1"/>
  <c r="K329" i="2"/>
  <c r="M329" i="2" s="1"/>
  <c r="O330" i="2" s="1"/>
  <c r="L330" i="2" s="1"/>
  <c r="K330" i="2" l="1"/>
  <c r="M330" i="2" s="1"/>
  <c r="O331" i="2" s="1"/>
  <c r="L331" i="2" s="1"/>
  <c r="K331" i="2" l="1"/>
  <c r="M331" i="2" s="1"/>
  <c r="O332" i="2" s="1"/>
  <c r="L332" i="2" s="1"/>
  <c r="K332" i="2" l="1"/>
  <c r="M332" i="2" s="1"/>
  <c r="O333" i="2" s="1"/>
  <c r="L333" i="2" s="1"/>
  <c r="K333" i="2" l="1"/>
  <c r="M333" i="2" s="1"/>
  <c r="O334" i="2" s="1"/>
  <c r="L334" i="2" s="1"/>
  <c r="K334" i="2" l="1"/>
  <c r="M334" i="2"/>
  <c r="O335" i="2" s="1"/>
  <c r="L335" i="2" s="1"/>
  <c r="K335" i="2" l="1"/>
  <c r="M335" i="2" s="1"/>
  <c r="O336" i="2" s="1"/>
  <c r="K336" i="2" s="1"/>
  <c r="L336" i="2" l="1"/>
  <c r="M336" i="2" s="1"/>
  <c r="O337" i="2" s="1"/>
  <c r="L337" i="2" s="1"/>
  <c r="K337" i="2" l="1"/>
  <c r="M337" i="2" s="1"/>
  <c r="O338" i="2" s="1"/>
  <c r="L338" i="2" s="1"/>
  <c r="K338" i="2" l="1"/>
  <c r="M338" i="2" s="1"/>
  <c r="O339" i="2" s="1"/>
  <c r="K339" i="2" l="1"/>
  <c r="B42" i="7" s="1"/>
  <c r="O30" i="12"/>
  <c r="P30" i="12" s="1"/>
  <c r="F44" i="12"/>
  <c r="G44" i="12" s="1"/>
  <c r="E42" i="7"/>
  <c r="L339" i="2"/>
  <c r="G42" i="7" l="1"/>
  <c r="P42" i="7"/>
  <c r="R42" i="7"/>
  <c r="Q42" i="7"/>
  <c r="V42" i="7" s="1"/>
  <c r="S42" i="7"/>
  <c r="C42" i="7"/>
  <c r="M339" i="2"/>
  <c r="O340" i="2" l="1"/>
  <c r="D42" i="7"/>
  <c r="K340" i="2" l="1"/>
  <c r="L340" i="2"/>
  <c r="M340" i="2" l="1"/>
  <c r="O341" i="2" s="1"/>
  <c r="L341" i="2" l="1"/>
  <c r="K341" i="2"/>
  <c r="M341" i="2" l="1"/>
  <c r="O342" i="2" s="1"/>
  <c r="L342" i="2" s="1"/>
  <c r="K342" i="2"/>
  <c r="M342" i="2" l="1"/>
  <c r="O343" i="2" s="1"/>
  <c r="L343" i="2" s="1"/>
  <c r="K343" i="2"/>
  <c r="M343" i="2" s="1"/>
  <c r="O344" i="2" s="1"/>
  <c r="K344" i="2" s="1"/>
  <c r="L344" i="2" l="1"/>
  <c r="M344" i="2" s="1"/>
  <c r="O345" i="2" s="1"/>
  <c r="L345" i="2" l="1"/>
  <c r="K345" i="2"/>
  <c r="M345" i="2" l="1"/>
  <c r="O346" i="2" s="1"/>
  <c r="K346" i="2" s="1"/>
  <c r="L346" i="2" l="1"/>
  <c r="M346" i="2" s="1"/>
  <c r="O347" i="2" s="1"/>
  <c r="L347" i="2" s="1"/>
  <c r="K347" i="2" l="1"/>
  <c r="M347" i="2"/>
  <c r="O348" i="2" s="1"/>
  <c r="L348" i="2" s="1"/>
  <c r="K348" i="2" l="1"/>
  <c r="M348" i="2" s="1"/>
  <c r="O349" i="2" s="1"/>
  <c r="L349" i="2" s="1"/>
  <c r="K349" i="2" l="1"/>
  <c r="M349" i="2"/>
  <c r="O350" i="2" s="1"/>
  <c r="K350" i="2" s="1"/>
  <c r="L350" i="2" l="1"/>
  <c r="M350" i="2" s="1"/>
  <c r="O351" i="2" s="1"/>
  <c r="F45" i="12" s="1"/>
  <c r="G45" i="12" s="1"/>
  <c r="O31" i="12" l="1"/>
  <c r="P31" i="12" s="1"/>
  <c r="K351" i="2"/>
  <c r="L351" i="2"/>
  <c r="C43" i="7" s="1"/>
  <c r="E43" i="7"/>
  <c r="M351" i="2" l="1"/>
  <c r="B43" i="7"/>
  <c r="R43" i="7" l="1"/>
  <c r="P43" i="7"/>
  <c r="Q43" i="7" s="1"/>
  <c r="V43" i="7" s="1"/>
  <c r="G43" i="7"/>
  <c r="S43" i="7"/>
  <c r="D43" i="7"/>
  <c r="O352" i="2"/>
  <c r="K352" i="2" l="1"/>
  <c r="L352" i="2"/>
  <c r="M352" i="2" l="1"/>
  <c r="O353" i="2" s="1"/>
  <c r="L353" i="2" l="1"/>
  <c r="K353" i="2"/>
  <c r="M353" i="2" s="1"/>
  <c r="O354" i="2" s="1"/>
  <c r="L354" i="2" l="1"/>
  <c r="K354" i="2"/>
  <c r="M354" i="2" l="1"/>
  <c r="O355" i="2" s="1"/>
  <c r="L355" i="2" s="1"/>
  <c r="K355" i="2"/>
  <c r="M355" i="2" l="1"/>
  <c r="O356" i="2" s="1"/>
  <c r="L356" i="2" s="1"/>
  <c r="K356" i="2" l="1"/>
  <c r="M356" i="2" s="1"/>
  <c r="O357" i="2" s="1"/>
  <c r="L357" i="2" s="1"/>
  <c r="K357" i="2" l="1"/>
  <c r="M357" i="2" s="1"/>
  <c r="O358" i="2" s="1"/>
  <c r="L358" i="2" s="1"/>
  <c r="K358" i="2" l="1"/>
  <c r="M358" i="2" s="1"/>
  <c r="O359" i="2" s="1"/>
  <c r="L359" i="2" l="1"/>
  <c r="K359" i="2"/>
  <c r="M359" i="2" s="1"/>
  <c r="O360" i="2" s="1"/>
  <c r="L360" i="2" l="1"/>
  <c r="K360" i="2"/>
  <c r="M360" i="2" s="1"/>
  <c r="O361" i="2" s="1"/>
  <c r="K361" i="2" l="1"/>
  <c r="L361" i="2"/>
  <c r="M361" i="2" l="1"/>
  <c r="O362" i="2" s="1"/>
  <c r="L362" i="2" l="1"/>
  <c r="K362" i="2"/>
  <c r="M362" i="2" l="1"/>
  <c r="O363" i="2" s="1"/>
  <c r="F46" i="12" s="1"/>
  <c r="G46" i="12" s="1"/>
  <c r="L363" i="2" l="1"/>
  <c r="K363" i="2"/>
  <c r="E44" i="7"/>
  <c r="O32" i="12"/>
  <c r="P32" i="12" s="1"/>
  <c r="C44" i="7"/>
  <c r="L364" i="2"/>
  <c r="M363" i="2"/>
  <c r="K364" i="2"/>
  <c r="B44" i="7"/>
  <c r="P44" i="7" l="1"/>
  <c r="R44" i="7"/>
  <c r="D44" i="7"/>
  <c r="M364" i="2"/>
  <c r="G44" i="7"/>
  <c r="Q44" i="7"/>
  <c r="V44" i="7" s="1"/>
  <c r="S4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Clint McCue</author>
  </authors>
  <commentList>
    <comment ref="G1" authorId="0" shapeId="0" xr:uid="{D5544CA1-2F62-40E5-B3AB-D0EC5D5D3042}">
      <text>
        <r>
          <rPr>
            <b/>
            <sz val="9"/>
            <color indexed="81"/>
            <rFont val="Tahoma"/>
            <family val="2"/>
          </rPr>
          <t>See "Potential Profit Loss" tab for savings beyond 10 years</t>
        </r>
      </text>
    </comment>
    <comment ref="A2" authorId="0" shapeId="0" xr:uid="{8EB0F5F8-56DE-47DB-8ED8-9AE880393C50}">
      <text>
        <r>
          <rPr>
            <b/>
            <sz val="9"/>
            <color indexed="81"/>
            <rFont val="Tahoma"/>
            <family val="2"/>
          </rPr>
          <t>List price or expected purchase price</t>
        </r>
      </text>
    </comment>
    <comment ref="A3" authorId="0" shapeId="0" xr:uid="{6E143C7C-3883-4493-A325-AEE14A7F9F4D}">
      <text>
        <r>
          <rPr>
            <b/>
            <sz val="9"/>
            <color indexed="81"/>
            <rFont val="Tahoma"/>
            <family val="2"/>
          </rPr>
          <t>Total loan term, most conventional loans are 15 or 30 year terms</t>
        </r>
      </text>
    </comment>
    <comment ref="A4" authorId="0" shapeId="0" xr:uid="{A7CB4641-D4BF-491C-9C58-344893C0DD98}">
      <text>
        <r>
          <rPr>
            <b/>
            <sz val="9"/>
            <color indexed="81"/>
            <rFont val="Tahoma"/>
            <family val="2"/>
          </rPr>
          <t>The majority of loans have 12 payments periods per year</t>
        </r>
      </text>
    </comment>
    <comment ref="A5" authorId="0" shapeId="0" xr:uid="{61C56004-EA14-4CC4-BD91-3FDB8F53294F}">
      <text>
        <r>
          <rPr>
            <b/>
            <sz val="9"/>
            <color indexed="81"/>
            <rFont val="Tahoma"/>
            <family val="2"/>
          </rPr>
          <t>Interest rate of the loan, not APR</t>
        </r>
      </text>
    </comment>
    <comment ref="A6" authorId="0" shapeId="0" xr:uid="{FC903A18-78B7-4644-83AA-EC07D7C5B306}">
      <text>
        <r>
          <rPr>
            <b/>
            <sz val="9"/>
            <color indexed="81"/>
            <rFont val="Tahoma"/>
            <family val="2"/>
          </rPr>
          <t>Entire Down Payment + Assistance Here</t>
        </r>
      </text>
    </comment>
    <comment ref="A7" authorId="0" shapeId="0" xr:uid="{8B1E2014-E3A6-48F1-8CD5-5C1BE4B98203}">
      <text>
        <r>
          <rPr>
            <b/>
            <sz val="9"/>
            <color indexed="81"/>
            <rFont val="Tahoma"/>
            <family val="2"/>
          </rPr>
          <t>Amount of Down Payment Allocated as Assistance</t>
        </r>
      </text>
    </comment>
    <comment ref="A8" authorId="0" shapeId="0" xr:uid="{25E10D0E-9AFF-4770-AD3C-6853DA26EE50}">
      <text>
        <r>
          <rPr>
            <b/>
            <sz val="9"/>
            <color indexed="81"/>
            <rFont val="Tahoma"/>
            <family val="2"/>
          </rPr>
          <t>Closing costs are typically calculated as a percentage of the total purchase price of the home, 5% typical, with 2.5% going to each agent</t>
        </r>
      </text>
    </comment>
    <comment ref="A9" authorId="0" shapeId="0" xr:uid="{E13436C0-433D-4469-A68D-DD3C02C384DE}">
      <text>
        <r>
          <rPr>
            <b/>
            <sz val="9"/>
            <color indexed="81"/>
            <rFont val="Tahoma"/>
            <family val="2"/>
          </rPr>
          <t>Added estimated closing costs here if costs are added to loan amount</t>
        </r>
      </text>
    </comment>
    <comment ref="G15" authorId="0" shapeId="0" xr:uid="{F462FF90-C477-4E8D-A43D-29D985C09226}">
      <text>
        <r>
          <rPr>
            <b/>
            <sz val="9"/>
            <color indexed="81"/>
            <rFont val="Tahoma"/>
            <family val="2"/>
          </rPr>
          <t>Loan to Value Ratio</t>
        </r>
      </text>
    </comment>
    <comment ref="A18" authorId="0" shapeId="0" xr:uid="{4BBCEA8A-24A7-4023-AE64-81C02813E45D}">
      <text>
        <r>
          <rPr>
            <b/>
            <sz val="9"/>
            <color indexed="81"/>
            <rFont val="Tahoma"/>
            <family val="2"/>
          </rPr>
          <t>Input estimated annual home insurance payment here</t>
        </r>
      </text>
    </comment>
    <comment ref="G18" authorId="0" shapeId="0" xr:uid="{06FE279F-195F-44A9-BED0-792D3F1659EA}">
      <text>
        <r>
          <rPr>
            <b/>
            <sz val="9"/>
            <color indexed="81"/>
            <rFont val="Tahoma"/>
            <family val="2"/>
          </rPr>
          <t>Added to total loan amount</t>
        </r>
      </text>
    </comment>
    <comment ref="A19" authorId="0" shapeId="0" xr:uid="{FC237F80-6B17-4AF9-9DBA-141B32881B42}">
      <text>
        <r>
          <rPr>
            <b/>
            <sz val="9"/>
            <color indexed="81"/>
            <rFont val="Tahoma"/>
            <family val="2"/>
          </rPr>
          <t>Input estimated annual property taxes here</t>
        </r>
      </text>
    </comment>
    <comment ref="A22" authorId="0" shapeId="0" xr:uid="{BC75EB10-1050-4B08-BA30-B985F55A8D0A}">
      <text>
        <r>
          <rPr>
            <b/>
            <sz val="9"/>
            <color indexed="81"/>
            <rFont val="Tahoma"/>
            <family val="2"/>
          </rPr>
          <t>Input Yes if using an FHA loan, No if using a conventional loan</t>
        </r>
      </text>
    </comment>
    <comment ref="G22" authorId="0" shapeId="0" xr:uid="{6C363C6E-935F-496E-B394-23CB18DEBF9C}">
      <text>
        <r>
          <rPr>
            <b/>
            <sz val="9"/>
            <color indexed="81"/>
            <rFont val="Tahoma"/>
            <family val="2"/>
          </rPr>
          <t>If choosing to pay PMI in lump sum, this shows the total payment due at closing, this is reflected in the total out of pocket cost at closing (cell E10)</t>
        </r>
      </text>
    </comment>
    <comment ref="A23" authorId="0" shapeId="0" xr:uid="{B7E8DB66-DE0C-47D3-875C-0582BEF906CD}">
      <text>
        <r>
          <rPr>
            <b/>
            <sz val="9"/>
            <color indexed="81"/>
            <rFont val="Tahoma"/>
            <family val="2"/>
          </rPr>
          <t>UMIP (Upfront Mortgage Insurance Premium)</t>
        </r>
      </text>
    </comment>
    <comment ref="G23" authorId="0" shapeId="0" xr:uid="{61FEDEDB-3F0C-4244-9FD0-686A631DF761}">
      <text>
        <r>
          <rPr>
            <b/>
            <sz val="9"/>
            <color indexed="81"/>
            <rFont val="Tahoma"/>
            <family val="2"/>
          </rPr>
          <t>Remaining loan value at which PMI can be terminated by the lender</t>
        </r>
      </text>
    </comment>
    <comment ref="A24" authorId="0" shapeId="0" xr:uid="{AC62160C-3DD2-42E6-8E52-11F1457AA7FF}">
      <text>
        <r>
          <rPr>
            <b/>
            <sz val="9"/>
            <color indexed="81"/>
            <rFont val="Tahoma"/>
            <family val="2"/>
          </rPr>
          <t>Amount of UMIP (Upfront Mortgage Insurance Premium) to be paid out of pocket at closing</t>
        </r>
      </text>
    </comment>
    <comment ref="G24" authorId="0" shapeId="0" xr:uid="{135A6720-1E7B-43D5-A13B-912296FB1474}">
      <text>
        <r>
          <rPr>
            <b/>
            <sz val="9"/>
            <color indexed="81"/>
            <rFont val="Tahoma"/>
            <family val="2"/>
          </rPr>
          <t>Shows the total annual PMI payment after the first year of ownership</t>
        </r>
      </text>
    </comment>
    <comment ref="A27" authorId="0" shapeId="0" xr:uid="{5FB3C2B4-48DF-4842-9063-E4632EDAB3E8}">
      <text>
        <r>
          <rPr>
            <b/>
            <sz val="9"/>
            <color indexed="81"/>
            <rFont val="Tahoma"/>
            <family val="2"/>
          </rPr>
          <t>Input either Yes or No</t>
        </r>
      </text>
    </comment>
    <comment ref="D27" authorId="0" shapeId="0" xr:uid="{158EA63C-E0F5-4879-9054-B13EC108D763}">
      <text>
        <r>
          <rPr>
            <b/>
            <sz val="9"/>
            <color indexed="81"/>
            <rFont val="Tahoma"/>
            <family val="2"/>
          </rPr>
          <t xml:space="preserve">Breakdown of total monthly cost including all insurance and secondary expenses, broken down annually </t>
        </r>
      </text>
    </comment>
    <comment ref="A28" authorId="0" shapeId="0" xr:uid="{82BE69E7-200B-4F81-9644-4A85866E0B60}">
      <text>
        <r>
          <rPr>
            <b/>
            <sz val="9"/>
            <color indexed="81"/>
            <rFont val="Tahoma"/>
            <family val="2"/>
          </rPr>
          <t>Input either Upfront or Annual</t>
        </r>
      </text>
    </comment>
    <comment ref="A29" authorId="0" shapeId="0" xr:uid="{48904C58-10B9-4921-A130-0832E8F47C9A}">
      <text>
        <r>
          <rPr>
            <b/>
            <sz val="9"/>
            <color indexed="81"/>
            <rFont val="Tahoma"/>
            <family val="2"/>
          </rPr>
          <t>Percent of the loan value charged annually for insurance</t>
        </r>
      </text>
    </comment>
    <comment ref="A30" authorId="0" shapeId="0" xr:uid="{18ACB6A8-5BD3-4BAD-9237-718316B29A69}">
      <text>
        <r>
          <rPr>
            <b/>
            <sz val="9"/>
            <color indexed="81"/>
            <rFont val="Tahoma"/>
            <family val="2"/>
          </rPr>
          <t>Equity required for termination of private insurance, usually this is set at 22%</t>
        </r>
      </text>
    </comment>
    <comment ref="A33" authorId="0" shapeId="0" xr:uid="{3459F55B-2CAA-41EF-A18B-608FA439A827}">
      <text>
        <r>
          <rPr>
            <b/>
            <sz val="9"/>
            <color indexed="81"/>
            <rFont val="Tahoma"/>
            <family val="2"/>
          </rPr>
          <t>Average Appreciation is 3-5%</t>
        </r>
      </text>
    </comment>
    <comment ref="A36" authorId="0" shapeId="0" xr:uid="{7AE0A178-280D-495E-8A64-6F69251C2467}">
      <text>
        <r>
          <rPr>
            <b/>
            <sz val="9"/>
            <color indexed="81"/>
            <rFont val="Tahoma"/>
            <family val="2"/>
          </rPr>
          <t>Current monthly rent</t>
        </r>
      </text>
    </comment>
    <comment ref="D46" authorId="0" shapeId="0" xr:uid="{A5208DF8-2D1B-47AF-8EBB-FBEC92E0E306}">
      <text>
        <r>
          <rPr>
            <b/>
            <sz val="9"/>
            <color indexed="81"/>
            <rFont val="Tahoma"/>
            <family val="2"/>
          </rPr>
          <t xml:space="preserve">Debt to Income Ratio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Clint McCue</author>
  </authors>
  <commentList>
    <comment ref="A5" authorId="0" shapeId="0" xr:uid="{38B14682-8E79-4B08-BB39-CC2F80D3C96F}">
      <text>
        <r>
          <rPr>
            <b/>
            <sz val="9"/>
            <color indexed="81"/>
            <rFont val="Tahoma"/>
            <family val="2"/>
          </rPr>
          <t>Loan to Value Ratio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<sst xmlns="http://schemas.openxmlformats.org/spreadsheetml/2006/main" count="232" uniqueCount="138">
  <si>
    <t>Down Payment Assistance</t>
  </si>
  <si>
    <t>Purchase Price</t>
  </si>
  <si>
    <t>Closing Cost Percentage</t>
  </si>
  <si>
    <t>Closing Cost ($)</t>
  </si>
  <si>
    <t>Loan Amount</t>
  </si>
  <si>
    <t>Annual Interest Rate</t>
  </si>
  <si>
    <t>Number of Payments per Year</t>
  </si>
  <si>
    <t>Payment per Period</t>
  </si>
  <si>
    <t>Sum of Payments</t>
  </si>
  <si>
    <t>Life of Loan (in years)</t>
  </si>
  <si>
    <t>Total Number of Payments</t>
  </si>
  <si>
    <t>Payment No.</t>
  </si>
  <si>
    <t>Payment Amount</t>
  </si>
  <si>
    <t>Interest</t>
  </si>
  <si>
    <t>Principal</t>
  </si>
  <si>
    <t>Extra Payment</t>
  </si>
  <si>
    <t>Loan</t>
  </si>
  <si>
    <t>Totals:</t>
  </si>
  <si>
    <t>Down Payment</t>
  </si>
  <si>
    <t>Interest Cost</t>
  </si>
  <si>
    <t>Mortgage Inputs</t>
  </si>
  <si>
    <t>Cost of Ownership Outputs</t>
  </si>
  <si>
    <t>Total Cost Per Month</t>
  </si>
  <si>
    <t>Electricity (Monthly)</t>
  </si>
  <si>
    <t>Gas (Monthly)</t>
  </si>
  <si>
    <t>Water (Monthly)</t>
  </si>
  <si>
    <t>Garbage (Monthly)</t>
  </si>
  <si>
    <t>Snow Removal (Monthly)</t>
  </si>
  <si>
    <t>Internet (Monthly)</t>
  </si>
  <si>
    <t>Home Insurance (Annual)</t>
  </si>
  <si>
    <t>Property Taxes (Annual)</t>
  </si>
  <si>
    <t>1st Borrower Monthly Income</t>
  </si>
  <si>
    <t>1st Borrower Debts</t>
  </si>
  <si>
    <t>2nd Borrower Monthly Income</t>
  </si>
  <si>
    <t>2nd Borrower Debts</t>
  </si>
  <si>
    <t>1st Borrower D/I Ratio</t>
  </si>
  <si>
    <t>2nd Borrower D/I Ratio</t>
  </si>
  <si>
    <t>Total Payments</t>
  </si>
  <si>
    <t>Interest Paid</t>
  </si>
  <si>
    <t>Current Rent</t>
  </si>
  <si>
    <t>Secondary Costs</t>
  </si>
  <si>
    <t>Secondary Costs Of Ownership</t>
  </si>
  <si>
    <t>Primary Costs of Ownership</t>
  </si>
  <si>
    <t>Primary Costs of Renting</t>
  </si>
  <si>
    <t>Secondary Costs of Renting</t>
  </si>
  <si>
    <t>Rent Insurance (Monthly)</t>
  </si>
  <si>
    <t>Average Yearly Appreciation (%)</t>
  </si>
  <si>
    <t>Purchase Price ($)</t>
  </si>
  <si>
    <t>Loan Amount ($)</t>
  </si>
  <si>
    <t>Down Payment ($)</t>
  </si>
  <si>
    <t>Projected Sale Price ($)</t>
  </si>
  <si>
    <t>Breakeven Sale Price ($)</t>
  </si>
  <si>
    <t>Remaining Loan Value</t>
  </si>
  <si>
    <t>Average Total Cost</t>
  </si>
  <si>
    <t>Total Purchase Price ($)</t>
  </si>
  <si>
    <t>Out of Pocket Cost at Closing</t>
  </si>
  <si>
    <t>Out of Pocket Cost at Closing ($)</t>
  </si>
  <si>
    <t>Total Profit at Sale ($)</t>
  </si>
  <si>
    <t>Year</t>
  </si>
  <si>
    <t>Secondary Costs (Own)</t>
  </si>
  <si>
    <t>Ownership</t>
  </si>
  <si>
    <t>Renting</t>
  </si>
  <si>
    <t>Breakeven Sale Price (No Sec Cost)</t>
  </si>
  <si>
    <t>Total Profit at Sale (No Sec Cost)</t>
  </si>
  <si>
    <t>Home Value Appreciation</t>
  </si>
  <si>
    <t>Sale Analysis</t>
  </si>
  <si>
    <t>Total Savings</t>
  </si>
  <si>
    <t>Savings of Ownership Over Renting</t>
  </si>
  <si>
    <t>Sale of Home After x Years</t>
  </si>
  <si>
    <t>Utilities (Monthly)</t>
  </si>
  <si>
    <t>Secondary Cost Of Ownership Inputs</t>
  </si>
  <si>
    <t>Primary Costs of Renting Input</t>
  </si>
  <si>
    <t xml:space="preserve">Secondary Costs of Renting Input </t>
  </si>
  <si>
    <t>Home Value Appreciation Input</t>
  </si>
  <si>
    <t>Loan Eligibility Outputs (WIP)</t>
  </si>
  <si>
    <t>Loan Eligibility Inputs (WIP)</t>
  </si>
  <si>
    <t>Payment Schedule</t>
  </si>
  <si>
    <t>Down Payment Assistance ($)</t>
  </si>
  <si>
    <t>Closing Cost (Added to Loan)</t>
  </si>
  <si>
    <t>Mortgage Outputs</t>
  </si>
  <si>
    <t xml:space="preserve">LTV </t>
  </si>
  <si>
    <t>Upfront MIP % of Loan Amount</t>
  </si>
  <si>
    <t>Upfront Mortgage Insurance Premium</t>
  </si>
  <si>
    <t>Mortgage Insurance Outputs</t>
  </si>
  <si>
    <t>UMIP % of Loan Amount</t>
  </si>
  <si>
    <t>LTV</t>
  </si>
  <si>
    <t>Duration of insurance payments</t>
  </si>
  <si>
    <t>MIP in Basis Pts</t>
  </si>
  <si>
    <t>Loan amount (625k)</t>
  </si>
  <si>
    <t>Less</t>
  </si>
  <si>
    <t>More</t>
  </si>
  <si>
    <t>Life of Loan</t>
  </si>
  <si>
    <t>Life of Loan (years)</t>
  </si>
  <si>
    <t>Loan Term</t>
  </si>
  <si>
    <t>&gt; 15</t>
  </si>
  <si>
    <t>&lt; 15</t>
  </si>
  <si>
    <t>Loan Term (Years)</t>
  </si>
  <si>
    <t>Loan Amount Less or More than 625K?</t>
  </si>
  <si>
    <t>MIP in basis points</t>
  </si>
  <si>
    <t>Loan Term (MIP)</t>
  </si>
  <si>
    <t>90-95</t>
  </si>
  <si>
    <t>&gt;95</t>
  </si>
  <si>
    <t>&lt;=90</t>
  </si>
  <si>
    <t>&gt;90</t>
  </si>
  <si>
    <t>&lt;=78</t>
  </si>
  <si>
    <t>78-90</t>
  </si>
  <si>
    <t>MIP in Percent</t>
  </si>
  <si>
    <t>Duration of Insurance Payments (Years)</t>
  </si>
  <si>
    <t>MIP Payment</t>
  </si>
  <si>
    <t>Monthly Cost</t>
  </si>
  <si>
    <t>FHA Mortgage Insurance Premium Outputs</t>
  </si>
  <si>
    <t>Private Mortgage Insurance Premium Outputs</t>
  </si>
  <si>
    <t>PMI Fee</t>
  </si>
  <si>
    <t>FHA Mortgage Insurance?</t>
  </si>
  <si>
    <t>Yes</t>
  </si>
  <si>
    <t>No</t>
  </si>
  <si>
    <t>FHA Mortgage Insurance Inputs</t>
  </si>
  <si>
    <t>Private Mortgage Insurance Inputs</t>
  </si>
  <si>
    <t>Private Mortgage Insurance?</t>
  </si>
  <si>
    <t>PMI Table</t>
  </si>
  <si>
    <t>PMI Payment</t>
  </si>
  <si>
    <t>FHA Mortgage Insurance Outputs</t>
  </si>
  <si>
    <t>Private Mortgage Insurance Outputs</t>
  </si>
  <si>
    <t>Loan Value Required for PMI Termination</t>
  </si>
  <si>
    <t xml:space="preserve">PMI Termination Equity </t>
  </si>
  <si>
    <t>PMI Termination Equity (%)</t>
  </si>
  <si>
    <t>Loan Value for PMI Termination</t>
  </si>
  <si>
    <t>1st Year Annual Premium Payment</t>
  </si>
  <si>
    <t>Upfront Fee or Annual?</t>
  </si>
  <si>
    <t>Annual</t>
  </si>
  <si>
    <t>Upfront PMI Payment</t>
  </si>
  <si>
    <t>Upfront MIP Included in Loan?</t>
  </si>
  <si>
    <t>Getting Started</t>
  </si>
  <si>
    <t>FHA MIP Table</t>
  </si>
  <si>
    <t>FHA MIP Table 2</t>
  </si>
  <si>
    <t>FHA MIP Table 3</t>
  </si>
  <si>
    <t>1. - This spreadsheet uses the inputs to the left, highlighted with an orange background, to determine a number of outputs, of which can be seen below and to the right of this box. All output values are shaded in gray. Notes for inputs and outputs are denoted by a small red triangle in the upper right hand corner of the cell.                                                                                            2. -The first worksheet is all you should need if you aren't looking to modify this spreadsheet, as the latter two sheets are simply used for calculations.</t>
  </si>
  <si>
    <t>Down Payment +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</si>
</sst>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0.0%"/>
    <numFmt numFmtId="165" formatCode="0.000%"/>
  </numFmts>
  <fonts count="9" x14ac:knownFonts="1">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9"/>
      <color indexed="81"/>
      <name val="Tahoma"/>
      <family val="2"/>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3F3F3F"/>
      </left>
      <right style="thin">
        <color rgb="FF3F3F3F"/>
      </right>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rgb="FF3F3F3F"/>
      </right>
      <top style="thin">
        <color rgb="FF3F3F3F"/>
      </top>
      <bottom style="thin">
        <color rgb="FF3F3F3F"/>
      </bottom>
      <diagonal/>
    </border>
    <border>
      <left style="thin">
        <color rgb="FF3F3F3F"/>
      </left>
      <right style="thin">
        <color rgb="FF3F3F3F"/>
      </right>
      <top/>
      <bottom/>
      <diagonal/>
    </border>
    <border>
      <left style="thin">
        <color indexed="64"/>
      </left>
      <right/>
      <top/>
      <bottom/>
      <diagonal/>
    </border>
    <border>
      <left/>
      <right style="thin">
        <color indexed="64"/>
      </right>
      <top/>
      <bottom/>
      <diagonal/>
    </border>
  </borders>
  <cellStyleXfs count="6">
    <xf numFmtId="0" fontId="0" fillId="0" borderId="0"/>
    <xf numFmtId="44" fontId="1" fillId="0" borderId="0" applyFont="0" applyFill="0" applyBorder="0" applyAlignment="0" applyProtection="0"/>
    <xf numFmtId="0" fontId="2" fillId="2" borderId="1" applyNumberFormat="0" applyAlignment="0" applyProtection="0"/>
    <xf numFmtId="0" fontId="3" fillId="3" borderId="2" applyNumberFormat="0" applyAlignment="0" applyProtection="0"/>
    <xf numFmtId="9" fontId="1" fillId="0" borderId="0" applyFont="0" applyFill="0" applyBorder="0" applyAlignment="0" applyProtection="0"/>
    <xf numFmtId="0" fontId="7" fillId="5" borderId="0" applyNumberFormat="0" applyBorder="0" applyAlignment="0" applyProtection="0"/>
  </cellStyleXfs>
  <cellXfs count="86">
    <xf numFmtId="0" fontId="0" fillId="0" borderId="0" xfId="0"/>
    <xf numFmtId="0" fontId="4" fillId="0" borderId="0" xfId="0" applyFont="1"/>
    <xf numFmtId="44" fontId="3" fillId="3" borderId="2" xfId="3" applyNumberFormat="1"/>
    <xf numFmtId="0" fontId="3" fillId="3" borderId="2" xfId="3"/>
    <xf numFmtId="44" fontId="0" fillId="0" borderId="0" xfId="0" applyNumberFormat="1"/>
    <xf numFmtId="8" fontId="3" fillId="3" borderId="2" xfId="3" applyNumberFormat="1"/>
    <xf numFmtId="0" fontId="0" fillId="0" borderId="0" xfId="0" applyFont="1" applyFill="1" applyBorder="1"/>
    <xf numFmtId="0" fontId="4" fillId="0" borderId="3" xfId="0" applyFont="1" applyBorder="1"/>
    <xf numFmtId="0" fontId="0" fillId="0" borderId="3" xfId="0" applyBorder="1"/>
    <xf numFmtId="0" fontId="0" fillId="0" borderId="3" xfId="0" applyFont="1" applyFill="1" applyBorder="1"/>
    <xf numFmtId="44" fontId="2" fillId="2" borderId="3" xfId="2" applyNumberFormat="1" applyBorder="1" applyAlignment="1">
      <alignment horizontal="center"/>
    </xf>
    <xf numFmtId="0" fontId="0" fillId="0" borderId="3" xfId="0" applyFont="1" applyBorder="1"/>
    <xf numFmtId="0" fontId="3" fillId="3" borderId="3" xfId="3" applyBorder="1" applyAlignment="1">
      <alignment horizontal="center"/>
    </xf>
    <xf numFmtId="44" fontId="2" fillId="2" borderId="3" xfId="1" applyFont="1" applyFill="1" applyBorder="1" applyAlignment="1">
      <alignment horizontal="center"/>
    </xf>
    <xf numFmtId="0" fontId="2" fillId="2" borderId="3" xfId="2" applyBorder="1" applyAlignment="1">
      <alignment horizontal="center"/>
    </xf>
    <xf numFmtId="9" fontId="2" fillId="2" borderId="3" xfId="2" applyNumberFormat="1" applyBorder="1" applyAlignment="1">
      <alignment horizontal="center"/>
    </xf>
    <xf numFmtId="44" fontId="3" fillId="3" borderId="3" xfId="3" applyNumberFormat="1" applyBorder="1" applyAlignment="1">
      <alignment horizontal="center"/>
    </xf>
    <xf numFmtId="8" fontId="3" fillId="3" borderId="3" xfId="3" applyNumberFormat="1" applyBorder="1" applyAlignment="1">
      <alignment horizontal="center"/>
    </xf>
    <xf numFmtId="44" fontId="0" fillId="0" borderId="3" xfId="0" applyNumberFormat="1" applyBorder="1"/>
    <xf numFmtId="0" fontId="4" fillId="0" borderId="4" xfId="0" applyFont="1" applyBorder="1"/>
    <xf numFmtId="44" fontId="3" fillId="3" borderId="5" xfId="3" applyNumberFormat="1" applyBorder="1"/>
    <xf numFmtId="44" fontId="0" fillId="0" borderId="3" xfId="1" applyFont="1" applyBorder="1"/>
    <xf numFmtId="0" fontId="0" fillId="0" borderId="8" xfId="0" applyBorder="1"/>
    <xf numFmtId="0" fontId="4" fillId="0" borderId="3" xfId="0" applyFont="1" applyFill="1" applyBorder="1"/>
    <xf numFmtId="0" fontId="0" fillId="0" borderId="4" xfId="0" applyFont="1" applyBorder="1"/>
    <xf numFmtId="0" fontId="4" fillId="0" borderId="6" xfId="0" applyFont="1" applyBorder="1"/>
    <xf numFmtId="44" fontId="3" fillId="3" borderId="9" xfId="3" applyNumberFormat="1" applyBorder="1"/>
    <xf numFmtId="44" fontId="3" fillId="3" borderId="10" xfId="1" applyFont="1" applyFill="1" applyBorder="1"/>
    <xf numFmtId="44" fontId="3" fillId="3" borderId="3" xfId="3" applyNumberFormat="1" applyBorder="1"/>
    <xf numFmtId="0" fontId="4" fillId="0" borderId="8" xfId="0" applyFont="1" applyBorder="1"/>
    <xf numFmtId="44" fontId="3" fillId="3" borderId="10" xfId="3" applyNumberFormat="1" applyBorder="1"/>
    <xf numFmtId="44" fontId="3" fillId="3" borderId="11" xfId="3" applyNumberFormat="1" applyBorder="1"/>
    <xf numFmtId="0" fontId="4" fillId="0" borderId="7" xfId="0" applyFont="1" applyFill="1" applyBorder="1"/>
    <xf numFmtId="44" fontId="3" fillId="3" borderId="7" xfId="3" applyNumberFormat="1" applyBorder="1"/>
    <xf numFmtId="10" fontId="2" fillId="2" borderId="3" xfId="2" applyNumberFormat="1" applyBorder="1" applyAlignment="1">
      <alignment horizontal="center"/>
    </xf>
    <xf numFmtId="2" fontId="3" fillId="3" borderId="3" xfId="3" applyNumberFormat="1" applyBorder="1" applyAlignment="1">
      <alignment horizontal="center"/>
    </xf>
    <xf numFmtId="2" fontId="3" fillId="3" borderId="2" xfId="3" applyNumberFormat="1" applyAlignment="1">
      <alignment horizontal="center"/>
    </xf>
    <xf numFmtId="9" fontId="3" fillId="3" borderId="2" xfId="3" applyNumberFormat="1"/>
    <xf numFmtId="0" fontId="4" fillId="0" borderId="6" xfId="0" applyFont="1" applyBorder="1" applyAlignment="1">
      <alignment horizontal="center"/>
    </xf>
    <xf numFmtId="0" fontId="4" fillId="0" borderId="7" xfId="0" applyFont="1" applyBorder="1" applyAlignment="1">
      <alignment horizontal="center"/>
    </xf>
    <xf numFmtId="8" fontId="0" fillId="0" borderId="0" xfId="0" applyNumberFormat="1"/>
    <xf numFmtId="0" fontId="0" fillId="0" borderId="12" xfId="0" applyFont="1" applyFill="1" applyBorder="1"/>
    <xf numFmtId="0" fontId="4" fillId="0" borderId="0" xfId="0" applyFont="1" applyBorder="1"/>
    <xf numFmtId="0" fontId="0" fillId="0" borderId="7" xfId="0" applyBorder="1"/>
    <xf numFmtId="0" fontId="4" fillId="0" borderId="14" xfId="0" applyFont="1" applyBorder="1"/>
    <xf numFmtId="0" fontId="4" fillId="0" borderId="13" xfId="0" applyFont="1" applyBorder="1"/>
    <xf numFmtId="0" fontId="0" fillId="0" borderId="15" xfId="0" applyBorder="1"/>
    <xf numFmtId="0" fontId="0" fillId="0" borderId="3"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16" xfId="0" applyBorder="1" applyAlignment="1">
      <alignment horizontal="left"/>
    </xf>
    <xf numFmtId="0" fontId="0" fillId="0" borderId="8" xfId="0" applyFont="1" applyFill="1" applyBorder="1"/>
    <xf numFmtId="0" fontId="0" fillId="4" borderId="3" xfId="0" applyFont="1" applyFill="1" applyBorder="1"/>
    <xf numFmtId="44" fontId="3" fillId="3" borderId="2" xfId="3" applyNumberFormat="1" applyAlignment="1">
      <alignment horizontal="center"/>
    </xf>
    <xf numFmtId="44" fontId="3" fillId="3" borderId="17" xfId="3" applyNumberFormat="1" applyBorder="1"/>
    <xf numFmtId="44" fontId="3" fillId="3" borderId="17" xfId="1" applyNumberFormat="1" applyFont="1" applyFill="1" applyBorder="1" applyAlignment="1">
      <alignment horizontal="center"/>
    </xf>
    <xf numFmtId="44" fontId="3" fillId="3" borderId="10" xfId="3" applyNumberFormat="1" applyBorder="1" applyAlignment="1">
      <alignment horizontal="center"/>
    </xf>
    <xf numFmtId="44" fontId="3" fillId="3" borderId="3" xfId="1" applyFont="1" applyFill="1" applyBorder="1" applyAlignment="1">
      <alignment horizontal="center"/>
    </xf>
    <xf numFmtId="8" fontId="3" fillId="3" borderId="2" xfId="3" applyNumberFormat="1" applyAlignment="1">
      <alignment horizontal="center"/>
    </xf>
    <xf numFmtId="44" fontId="2" fillId="2" borderId="1" xfId="2" applyNumberFormat="1" applyAlignment="1">
      <alignment horizontal="center"/>
    </xf>
    <xf numFmtId="0" fontId="3" fillId="3" borderId="2" xfId="3" applyAlignment="1">
      <alignment horizontal="center"/>
    </xf>
    <xf numFmtId="9" fontId="3" fillId="3" borderId="10" xfId="3" applyNumberFormat="1" applyBorder="1" applyAlignment="1">
      <alignment horizontal="center"/>
    </xf>
    <xf numFmtId="9" fontId="3" fillId="3" borderId="2" xfId="3" applyNumberFormat="1" applyAlignment="1">
      <alignment horizontal="center"/>
    </xf>
    <xf numFmtId="44" fontId="3" fillId="3" borderId="5" xfId="3" applyNumberFormat="1" applyBorder="1" applyAlignment="1">
      <alignment horizontal="center"/>
    </xf>
    <xf numFmtId="0" fontId="3" fillId="3" borderId="2" xfId="3" applyNumberFormat="1" applyAlignment="1">
      <alignment horizontal="center"/>
    </xf>
    <xf numFmtId="0" fontId="3" fillId="3" borderId="17" xfId="3" applyBorder="1" applyAlignment="1">
      <alignment horizontal="center"/>
    </xf>
    <xf numFmtId="10" fontId="3" fillId="3" borderId="5" xfId="3" applyNumberFormat="1" applyBorder="1" applyAlignment="1">
      <alignment horizontal="center"/>
    </xf>
    <xf numFmtId="10" fontId="3" fillId="3" borderId="2" xfId="4" applyNumberFormat="1" applyFont="1" applyFill="1" applyBorder="1" applyAlignment="1">
      <alignment horizontal="center"/>
    </xf>
    <xf numFmtId="44" fontId="3" fillId="3" borderId="18" xfId="3" applyNumberFormat="1" applyBorder="1" applyAlignment="1">
      <alignment horizontal="center"/>
    </xf>
    <xf numFmtId="164" fontId="2" fillId="2" borderId="3" xfId="2" applyNumberFormat="1" applyBorder="1" applyAlignment="1">
      <alignment horizontal="center"/>
    </xf>
    <xf numFmtId="164" fontId="3" fillId="3" borderId="5" xfId="3" applyNumberFormat="1" applyBorder="1"/>
    <xf numFmtId="0" fontId="4" fillId="0" borderId="3" xfId="0" applyFont="1" applyFill="1" applyBorder="1" applyAlignment="1">
      <alignment horizontal="right"/>
    </xf>
    <xf numFmtId="0" fontId="4" fillId="0" borderId="6" xfId="0" applyFont="1" applyBorder="1" applyAlignment="1">
      <alignment horizontal="center"/>
    </xf>
    <xf numFmtId="0" fontId="4" fillId="0" borderId="7" xfId="0" applyFont="1" applyBorder="1" applyAlignment="1">
      <alignment horizontal="center"/>
    </xf>
    <xf numFmtId="0" fontId="4" fillId="0" borderId="3" xfId="0" applyFont="1" applyBorder="1" applyAlignment="1">
      <alignment horizontal="center"/>
    </xf>
    <xf numFmtId="0" fontId="4" fillId="4" borderId="3" xfId="0" applyFont="1" applyFill="1" applyBorder="1" applyAlignment="1">
      <alignment horizontal="center"/>
    </xf>
    <xf numFmtId="0" fontId="8" fillId="5" borderId="16" xfId="5" applyFont="1" applyBorder="1" applyAlignment="1">
      <alignment horizontal="center" vertical="center" wrapText="1"/>
    </xf>
    <xf numFmtId="0" fontId="8" fillId="5" borderId="15" xfId="5" applyFont="1" applyBorder="1" applyAlignment="1">
      <alignment horizontal="center" vertical="center" wrapText="1"/>
    </xf>
    <xf numFmtId="0" fontId="8" fillId="5" borderId="19" xfId="5" applyFont="1" applyBorder="1" applyAlignment="1">
      <alignment horizontal="center" vertical="center" wrapText="1"/>
    </xf>
    <xf numFmtId="0" fontId="8" fillId="5" borderId="20" xfId="5" applyFont="1" applyBorder="1" applyAlignment="1">
      <alignment horizontal="center" vertical="center" wrapText="1"/>
    </xf>
    <xf numFmtId="0" fontId="8" fillId="5" borderId="13" xfId="5" applyFont="1" applyBorder="1" applyAlignment="1">
      <alignment horizontal="center" vertical="center" wrapText="1"/>
    </xf>
    <xf numFmtId="0" fontId="8" fillId="5" borderId="14" xfId="5" applyFont="1" applyBorder="1" applyAlignment="1">
      <alignment horizontal="center" vertical="center" wrapText="1"/>
    </xf>
    <xf numFmtId="0" fontId="4" fillId="0" borderId="3" xfId="0" applyFont="1" applyFill="1" applyBorder="1" applyAlignment="1">
      <alignment horizontal="center"/>
    </xf>
    <xf numFmtId="0" fontId="4" fillId="0" borderId="6" xfId="0" applyFont="1" applyFill="1" applyBorder="1" applyAlignment="1">
      <alignment horizontal="center"/>
    </xf>
    <xf numFmtId="0" fontId="4" fillId="0" borderId="7" xfId="0" applyFont="1" applyFill="1" applyBorder="1" applyAlignment="1">
      <alignment horizontal="center"/>
    </xf>
    <xf numFmtId="165" fontId="2" fillId="2" borderId="3" xfId="2" applyNumberFormat="1" applyBorder="1" applyAlignment="1">
      <alignment horizontal="center"/>
    </xf>
  </cellXfs>
  <cellStyles count="6">
    <cellStyle name="Currency" xfId="1" builtinId="4"/>
    <cellStyle name="Input" xfId="2" builtinId="20"/>
    <cellStyle name="Neutral" xfId="5" builtinId="28"/>
    <cellStyle name="Normal" xfId="0" builtinId="0"/>
    <cellStyle name="Output" xfId="3" builtinId="21"/>
    <cellStyle name="Percent" xfId="4" builtinId="5"/>
  </cellStyles>
  <dxfs count="14">
    <dxf>
      <numFmt numFmtId="34" formatCode="_(&quot;$&quot;* #,##0.00_);_(&quot;$&quot;* \(#,##0.00\);_(&quot;$&quot;* &quot;-&quot;??_);_(@_)"/>
    </dxf>
    <dxf>
      <font>
        <b/>
        <i val="0"/>
        <strike val="0"/>
        <condense val="0"/>
        <extend val="0"/>
        <outline val="0"/>
        <shadow val="0"/>
        <u val="none"/>
        <vertAlign val="baseline"/>
        <sz val="11"/>
        <color theme="1"/>
        <name val="Calibri"/>
        <family val="2"/>
        <scheme val="minor"/>
      </font>
    </dxf>
    <dxf>
      <numFmt numFmtId="34" formatCode="_(&quot;$&quot;* #,##0.00_);_(&quot;$&quot;* \(#,##0.00\);_(&quot;$&quot;* &quot;-&quot;??_);_(@_)"/>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A51FE0-443D-4D93-A1A8-04975D153724}" name="Table3" displayName="Table3" ref="E2:I13" totalsRowShown="0" headerRowDxfId="13" headerRowBorderDxfId="12" tableBorderDxfId="11" totalsRowBorderDxfId="10">
  <autoFilter ref="E2:I13" xr:uid="{B6A51FE0-443D-4D93-A1A8-04975D153724}"/>
  <tableColumns count="5">
    <tableColumn id="1" xr3:uid="{9836FC27-6748-4A7F-9EC3-BEE2A562C624}" name="Loan Term (Years)" dataDxfId="9"/>
    <tableColumn id="2" xr3:uid="{2716C692-C213-4027-B4B5-A1FD6779D081}" name="Loan amount (625k)" dataDxfId="8"/>
    <tableColumn id="3" xr3:uid="{C2146342-E482-4376-98F8-A85F62C59C97}" name="LTV" dataDxfId="7"/>
    <tableColumn id="4" xr3:uid="{E3CABC9C-0A65-4FFD-9A1F-7C5F9366AD68}" name="MIP in basis points" dataDxfId="6"/>
    <tableColumn id="5" xr3:uid="{D03A3908-4787-48D2-A0AE-77F115B04277}" name="Duration of insurance payments" dataDxfId="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4520F4-B825-4EE5-AFDD-D23977FA374B}" name="Table4" displayName="Table4" ref="K2:L32" totalsRowShown="0" headerRowDxfId="4">
  <autoFilter ref="K2:L32" xr:uid="{234520F4-B825-4EE5-AFDD-D23977FA374B}"/>
  <tableColumns count="2">
    <tableColumn id="1" xr3:uid="{1A5A1EE1-E090-40AF-A69F-59BEF0829DBD}" name="Life of Loan"/>
    <tableColumn id="2" xr3:uid="{72B7CE75-A8F5-4174-99CB-E02455300BD7}" name="Loan Term (MIP)"/>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88D10E-9E8B-4AA8-A16E-FF169E3DE549}" name="Table5" displayName="Table5" ref="N2:P32" totalsRowShown="0" headerRowDxfId="3">
  <autoFilter ref="N2:P32" xr:uid="{5E88D10E-9E8B-4AA8-A16E-FF169E3DE549}"/>
  <tableColumns count="3">
    <tableColumn id="1" xr3:uid="{E4AA8652-F209-48AB-9578-223795F5559F}" name="Year"/>
    <tableColumn id="2" xr3:uid="{3CCF4279-105F-46D6-A49E-F9A4D7375BD9}" name="Loan Amount" dataDxfId="2"/>
    <tableColumn id="3" xr3:uid="{579D7FBB-7CB9-4192-B0C9-23BB91F27858}" name="MIP Payment"/>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0960A93-466D-4C3C-8CB4-EFBF3A97802C}" name="Table57" displayName="Table57" ref="E16:G46" totalsRowShown="0" headerRowDxfId="1">
  <autoFilter ref="E16:G46" xr:uid="{B0960A93-466D-4C3C-8CB4-EFBF3A97802C}"/>
  <tableColumns count="3">
    <tableColumn id="1" xr3:uid="{BD8C03A0-17F0-4BDC-B580-19F6B2DB957A}" name="Year"/>
    <tableColumn id="2" xr3:uid="{08EA2EAA-69FD-45CB-8F05-F49040A48838}" name="Loan Amount" dataDxfId="0"/>
    <tableColumn id="3" xr3:uid="{F36DF38C-107F-46A1-84B5-5A62720B60A2}" name="PMI Payment">
      <calculatedColumnFormula>IF(AND($B$19="Yes",$B$23&lt;Table57[[#This Row],[Loan Amount]]),Table57[[#This Row],[Loan Amount]]*$B$21,"0")</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2.vml"/><Relationship Id="rId6" Type="http://schemas.openxmlformats.org/officeDocument/2006/relationships/comments" Target="../comments2.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41BF-DF37-48DD-A746-038365A09939}">
  <sheetPr>
    <pageSetUpPr autoPageBreaks="0"/>
  </sheetPr>
  <dimension ref="A1:Q364"/>
  <sheetViews>
    <sheetView tabSelected="1" topLeftCell="E1" zoomScaleNormal="100" workbookViewId="0">
      <selection activeCell="G30" sqref="G30"/>
    </sheetView>
  </sheetViews>
  <sheetFormatPr defaultRowHeight="15" x14ac:dyDescent="0.25"/>
  <cols>
    <col min="1" max="1" width="29.5703125" customWidth="1"/>
    <col min="2" max="2" width="14.28515625" bestFit="1" customWidth="1"/>
    <col min="4" max="4" width="35.42578125" bestFit="1" customWidth="1"/>
    <col min="5" max="5" width="12.5703125" bestFit="1" customWidth="1"/>
    <col min="7" max="7" width="35.140625" bestFit="1" customWidth="1"/>
    <col min="8" max="8" width="12.42578125" bestFit="1" customWidth="1"/>
    <col min="10" max="10" width="12" bestFit="1" customWidth="1"/>
    <col min="11" max="11" width="16" bestFit="1" customWidth="1"/>
    <col min="12" max="13" width="12.5703125" bestFit="1" customWidth="1"/>
    <col min="14" max="14" width="13.28515625" bestFit="1" customWidth="1"/>
    <col min="15" max="15" width="12.5703125" bestFit="1" customWidth="1"/>
    <col min="17" max="17" width="11.5703125" bestFit="1" customWidth="1"/>
    <col min="18" max="18" width="10.5703125" bestFit="1" customWidth="1"/>
  </cols>
  <sheetData>
    <row r="1" spans="1:17" ht="15" customHeight="1" x14ac:dyDescent="0.25">
      <c r="A1" s="72" t="s">
        <v>20</v>
      </c>
      <c r="B1" s="73"/>
      <c r="D1" s="74" t="s">
        <v>132</v>
      </c>
      <c r="E1" s="74"/>
      <c r="G1" s="72" t="s">
        <v>67</v>
      </c>
      <c r="H1" s="73"/>
      <c r="J1" s="75" t="s">
        <v>76</v>
      </c>
      <c r="K1" s="75"/>
      <c r="L1" s="75"/>
      <c r="M1" s="75"/>
      <c r="N1" s="75"/>
      <c r="O1" s="75"/>
    </row>
    <row r="2" spans="1:17" ht="15" customHeight="1" x14ac:dyDescent="0.25">
      <c r="A2" s="11" t="s">
        <v>1</v>
      </c>
      <c r="B2" s="13">
        <v>170000</v>
      </c>
      <c r="D2" s="76" t="s">
        <v>136</v>
      </c>
      <c r="E2" s="77"/>
      <c r="G2" s="7" t="s">
        <v>68</v>
      </c>
      <c r="H2" s="7" t="s">
        <v>66</v>
      </c>
      <c r="J2" s="7" t="s">
        <v>11</v>
      </c>
      <c r="K2" s="7" t="s">
        <v>12</v>
      </c>
      <c r="L2" s="7" t="s">
        <v>13</v>
      </c>
      <c r="M2" s="7" t="s">
        <v>14</v>
      </c>
      <c r="N2" s="7" t="s">
        <v>15</v>
      </c>
      <c r="O2" s="7" t="s">
        <v>16</v>
      </c>
    </row>
    <row r="3" spans="1:17" x14ac:dyDescent="0.25">
      <c r="A3" s="9" t="s">
        <v>9</v>
      </c>
      <c r="B3" s="14">
        <v>30</v>
      </c>
      <c r="D3" s="78"/>
      <c r="E3" s="79"/>
      <c r="G3" s="7">
        <v>1</v>
      </c>
      <c r="H3" s="58">
        <f>'Potential Profit Loss'!V15</f>
        <v>-17778.888559989871</v>
      </c>
      <c r="J3" s="8">
        <v>0</v>
      </c>
      <c r="K3" s="21">
        <f>IF($E$20&lt;O3+(O3*($B$5/$E$20)),$E$20,O3+(O3*($B$5/$E$20)))</f>
        <v>854.65610315496497</v>
      </c>
      <c r="L3" s="18">
        <f t="shared" ref="L3:L27" si="0">O3*$B$5/$B$4</f>
        <v>683.6328125</v>
      </c>
      <c r="M3" s="18">
        <f>K3-L3</f>
        <v>171.02329065496497</v>
      </c>
      <c r="N3" s="8">
        <v>0</v>
      </c>
      <c r="O3" s="18">
        <f>E16</f>
        <v>152625</v>
      </c>
    </row>
    <row r="4" spans="1:17" x14ac:dyDescent="0.25">
      <c r="A4" s="11" t="s">
        <v>6</v>
      </c>
      <c r="B4" s="14">
        <v>12</v>
      </c>
      <c r="D4" s="78"/>
      <c r="E4" s="79"/>
      <c r="G4" s="7">
        <v>2</v>
      </c>
      <c r="H4" s="58">
        <f>'Potential Profit Loss'!V16</f>
        <v>-13190.224973120334</v>
      </c>
      <c r="J4" s="8">
        <v>1</v>
      </c>
      <c r="K4" s="21">
        <f>IF($E$20&lt;O4+(O4*($B$5/$E$20)),$E$20,O4+(O4*($B$5/$E$20)))</f>
        <v>854.65610315496497</v>
      </c>
      <c r="L4" s="18">
        <f t="shared" si="0"/>
        <v>682.86677067727453</v>
      </c>
      <c r="M4" s="18">
        <f>K4-L4</f>
        <v>171.78933247769044</v>
      </c>
      <c r="N4" s="8">
        <v>0</v>
      </c>
      <c r="O4" s="18">
        <f>O3-M3-N3</f>
        <v>152453.97670934504</v>
      </c>
    </row>
    <row r="5" spans="1:17" x14ac:dyDescent="0.25">
      <c r="A5" s="11" t="s">
        <v>5</v>
      </c>
      <c r="B5" s="85">
        <v>5.3749999999999999E-2</v>
      </c>
      <c r="D5" s="78"/>
      <c r="E5" s="79"/>
      <c r="G5" s="23">
        <v>3</v>
      </c>
      <c r="H5" s="58">
        <f>'Potential Profit Loss'!V17</f>
        <v>-8196.400151464848</v>
      </c>
      <c r="J5" s="8">
        <v>2</v>
      </c>
      <c r="K5" s="21">
        <f>IF($E$20&lt;O5+(O5*($B$5/$E$20)),$E$20,O5+(O5*($B$5/$E$20)))</f>
        <v>854.65610315496497</v>
      </c>
      <c r="L5" s="18">
        <f t="shared" si="0"/>
        <v>682.09729762555162</v>
      </c>
      <c r="M5" s="18">
        <f t="shared" ref="M5:M10" si="1">K5-L5</f>
        <v>172.55880552941335</v>
      </c>
      <c r="N5" s="8">
        <v>0</v>
      </c>
      <c r="O5" s="18">
        <f t="shared" ref="O5:O10" si="2">O4-M4-N4</f>
        <v>152282.18737686734</v>
      </c>
    </row>
    <row r="6" spans="1:17" x14ac:dyDescent="0.25">
      <c r="A6" s="11" t="s">
        <v>18</v>
      </c>
      <c r="B6" s="10">
        <v>10000</v>
      </c>
      <c r="D6" s="78"/>
      <c r="E6" s="79"/>
      <c r="G6" s="7">
        <v>4</v>
      </c>
      <c r="H6" s="58">
        <f>'Potential Profit Loss'!V18</f>
        <v>-2779.3619174280902</v>
      </c>
      <c r="J6" s="8">
        <v>3</v>
      </c>
      <c r="K6" s="21">
        <f>IF($E$20&lt;O6+(O6*($B$5/$E$20)),$E$20,O6+(O6*($B$5/$E$20)))</f>
        <v>854.65610315496497</v>
      </c>
      <c r="L6" s="18">
        <f t="shared" si="0"/>
        <v>681.3243779757845</v>
      </c>
      <c r="M6" s="18">
        <f t="shared" si="1"/>
        <v>173.33172517918047</v>
      </c>
      <c r="N6" s="8">
        <v>0</v>
      </c>
      <c r="O6" s="18">
        <f>O5-M5-N5</f>
        <v>152109.62857133793</v>
      </c>
    </row>
    <row r="7" spans="1:17" x14ac:dyDescent="0.25">
      <c r="A7" s="41" t="s">
        <v>0</v>
      </c>
      <c r="B7" s="59">
        <v>10000</v>
      </c>
      <c r="D7" s="78"/>
      <c r="E7" s="79"/>
      <c r="G7" s="7">
        <v>5</v>
      </c>
      <c r="H7" s="58">
        <f>'Potential Profit Loss'!V19</f>
        <v>3079.7656824687292</v>
      </c>
      <c r="J7" s="8">
        <v>4</v>
      </c>
      <c r="K7" s="21">
        <f>IF($E$20&lt;O7+(O7*($B$5/$E$20)),$E$20,O7+(O7*($B$5/$E$20)))</f>
        <v>854.65610315496497</v>
      </c>
      <c r="L7" s="18">
        <f t="shared" si="0"/>
        <v>680.54799629008596</v>
      </c>
      <c r="M7" s="18">
        <f t="shared" si="1"/>
        <v>174.10810686487901</v>
      </c>
      <c r="N7" s="8">
        <v>0</v>
      </c>
      <c r="O7" s="18">
        <f t="shared" si="2"/>
        <v>151936.29684615874</v>
      </c>
    </row>
    <row r="8" spans="1:17" x14ac:dyDescent="0.25">
      <c r="A8" s="11" t="s">
        <v>2</v>
      </c>
      <c r="B8" s="15">
        <v>0.05</v>
      </c>
      <c r="D8" s="78"/>
      <c r="E8" s="79"/>
      <c r="G8" s="23">
        <v>6</v>
      </c>
      <c r="H8" s="58">
        <f>'Potential Profit Loss'!V20</f>
        <v>9400.7209310775943</v>
      </c>
      <c r="J8" s="8">
        <v>5</v>
      </c>
      <c r="K8" s="21">
        <f>IF($E$20&lt;O8+(O8*($B$5/$E$20)),$E$20,O8+(O8*($B$5/$E$20)))</f>
        <v>854.65610315496497</v>
      </c>
      <c r="L8" s="18">
        <f t="shared" si="0"/>
        <v>679.76813706142036</v>
      </c>
      <c r="M8" s="18">
        <f t="shared" si="1"/>
        <v>174.88796609354461</v>
      </c>
      <c r="N8" s="8">
        <v>0</v>
      </c>
      <c r="O8" s="18">
        <f t="shared" si="2"/>
        <v>151762.18873929387</v>
      </c>
    </row>
    <row r="9" spans="1:17" x14ac:dyDescent="0.25">
      <c r="A9" s="9" t="s">
        <v>78</v>
      </c>
      <c r="B9" s="10">
        <v>0</v>
      </c>
      <c r="D9" s="78"/>
      <c r="E9" s="79"/>
      <c r="G9" s="7">
        <v>7</v>
      </c>
      <c r="H9" s="58">
        <f>'Potential Profit Loss'!V21</f>
        <v>16204.144844915252</v>
      </c>
      <c r="J9" s="8">
        <v>6</v>
      </c>
      <c r="K9" s="21">
        <f>IF($E$20&lt;O9+(O9*($B$5/$E$20)),$E$20,O9+(O9*($B$5/$E$20)))</f>
        <v>854.65610315496497</v>
      </c>
      <c r="L9" s="18">
        <f t="shared" si="0"/>
        <v>678.98478471329315</v>
      </c>
      <c r="M9" s="18">
        <f t="shared" si="1"/>
        <v>175.67131844167181</v>
      </c>
      <c r="N9" s="8">
        <v>0</v>
      </c>
      <c r="O9" s="18">
        <f t="shared" si="2"/>
        <v>151587.30077320032</v>
      </c>
    </row>
    <row r="10" spans="1:17" x14ac:dyDescent="0.25">
      <c r="D10" s="78"/>
      <c r="E10" s="79"/>
      <c r="G10" s="7">
        <v>8</v>
      </c>
      <c r="H10" s="58">
        <f>'Potential Profit Loss'!V22</f>
        <v>23511.623520294437</v>
      </c>
      <c r="J10" s="8">
        <v>7</v>
      </c>
      <c r="K10" s="21">
        <f>IF($E$20&lt;O10+(O10*($B$5/$E$20)),$E$20,O10+(O10*($B$5/$E$20)))</f>
        <v>854.65610315496497</v>
      </c>
      <c r="L10" s="18">
        <f t="shared" si="0"/>
        <v>678.19792359943983</v>
      </c>
      <c r="M10" s="18">
        <f t="shared" si="1"/>
        <v>176.45817955552513</v>
      </c>
      <c r="N10" s="8">
        <v>0</v>
      </c>
      <c r="O10" s="18">
        <f t="shared" si="2"/>
        <v>151411.62945475866</v>
      </c>
    </row>
    <row r="11" spans="1:17" x14ac:dyDescent="0.25">
      <c r="A11" s="72" t="s">
        <v>70</v>
      </c>
      <c r="B11" s="73"/>
      <c r="D11" s="78"/>
      <c r="E11" s="79"/>
      <c r="G11" s="23">
        <v>9</v>
      </c>
      <c r="H11" s="58">
        <f>'Potential Profit Loss'!V23</f>
        <v>31345.732516909935</v>
      </c>
      <c r="J11" s="8">
        <v>8</v>
      </c>
      <c r="K11" s="21">
        <f>IF($E$20&lt;O11+(O11*($B$5/$E$20)),$E$20,O11+(O11*($B$5/$E$20)))</f>
        <v>854.65610315496497</v>
      </c>
      <c r="L11" s="18">
        <f t="shared" si="0"/>
        <v>677.40753800351411</v>
      </c>
      <c r="M11" s="18">
        <f t="shared" ref="M11:M27" si="3">K11-L11</f>
        <v>177.24856515145086</v>
      </c>
      <c r="N11" s="8">
        <v>0</v>
      </c>
      <c r="O11" s="18">
        <f t="shared" ref="O11:O27" si="4">O10-M10-N10</f>
        <v>151235.17127520315</v>
      </c>
    </row>
    <row r="12" spans="1:17" x14ac:dyDescent="0.25">
      <c r="A12" s="11" t="s">
        <v>23</v>
      </c>
      <c r="B12" s="13">
        <v>75</v>
      </c>
      <c r="D12" s="80"/>
      <c r="E12" s="81"/>
      <c r="G12" s="7">
        <v>10</v>
      </c>
      <c r="H12" s="58">
        <f>'Potential Profit Loss'!V24</f>
        <v>39730.083379310032</v>
      </c>
      <c r="J12" s="8">
        <v>9</v>
      </c>
      <c r="K12" s="21">
        <f>IF($E$20&lt;O12+(O12*($B$5/$E$20)),$E$20,O12+(O12*($B$5/$E$20)))</f>
        <v>854.65610315496497</v>
      </c>
      <c r="L12" s="18">
        <f t="shared" si="0"/>
        <v>676.61361213877319</v>
      </c>
      <c r="M12" s="18">
        <f t="shared" si="3"/>
        <v>178.04249101619178</v>
      </c>
      <c r="N12" s="8">
        <v>0</v>
      </c>
      <c r="O12" s="18">
        <f t="shared" si="4"/>
        <v>151057.9227100517</v>
      </c>
      <c r="Q12" s="4"/>
    </row>
    <row r="13" spans="1:17" x14ac:dyDescent="0.25">
      <c r="A13" s="9" t="s">
        <v>24</v>
      </c>
      <c r="B13" s="13">
        <v>60</v>
      </c>
      <c r="J13" s="8">
        <v>10</v>
      </c>
      <c r="K13" s="21">
        <f>IF($E$20&lt;O13+(O13*($B$5/$E$20)),$E$20,O13+(O13*($B$5/$E$20)))</f>
        <v>854.65610315496497</v>
      </c>
      <c r="L13" s="18">
        <f t="shared" si="0"/>
        <v>675.81613014776326</v>
      </c>
      <c r="M13" s="18">
        <f t="shared" si="3"/>
        <v>178.83997300720171</v>
      </c>
      <c r="N13" s="8">
        <v>0</v>
      </c>
      <c r="O13" s="18">
        <f t="shared" si="4"/>
        <v>150879.88021903552</v>
      </c>
      <c r="Q13" s="4"/>
    </row>
    <row r="14" spans="1:17" x14ac:dyDescent="0.25">
      <c r="A14" s="9" t="s">
        <v>25</v>
      </c>
      <c r="B14" s="13">
        <v>60</v>
      </c>
      <c r="G14" s="74" t="s">
        <v>83</v>
      </c>
      <c r="H14" s="74"/>
      <c r="J14" s="8">
        <v>11</v>
      </c>
      <c r="K14" s="21">
        <f>IF($E$20&lt;O14+(O14*($B$5/$E$20)),$E$20,O14+(O14*($B$5/$E$20)))</f>
        <v>854.65610315496497</v>
      </c>
      <c r="L14" s="18">
        <f t="shared" si="0"/>
        <v>675.01507610200179</v>
      </c>
      <c r="M14" s="18">
        <f t="shared" si="3"/>
        <v>179.64102705296318</v>
      </c>
      <c r="N14" s="8">
        <v>0</v>
      </c>
      <c r="O14" s="18">
        <f t="shared" si="4"/>
        <v>150701.04024602831</v>
      </c>
      <c r="Q14" s="4"/>
    </row>
    <row r="15" spans="1:17" x14ac:dyDescent="0.25">
      <c r="A15" s="9" t="s">
        <v>26</v>
      </c>
      <c r="B15" s="13">
        <v>23</v>
      </c>
      <c r="D15" s="72" t="s">
        <v>79</v>
      </c>
      <c r="E15" s="73"/>
      <c r="G15" s="24" t="s">
        <v>80</v>
      </c>
      <c r="H15" s="70">
        <f>'PMI MIP Calc'!B5</f>
        <v>0.88235294117647056</v>
      </c>
      <c r="J15" s="8">
        <v>12</v>
      </c>
      <c r="K15" s="21">
        <f>IF($E$20&lt;O15+(O15*($B$5/$E$20)),$E$20,O15+(O15*($B$5/$E$20)))</f>
        <v>854.65610315496497</v>
      </c>
      <c r="L15" s="18">
        <f t="shared" si="0"/>
        <v>674.21043400166036</v>
      </c>
      <c r="M15" s="18">
        <f t="shared" si="3"/>
        <v>180.44566915330461</v>
      </c>
      <c r="N15" s="8">
        <v>0</v>
      </c>
      <c r="O15" s="18">
        <f t="shared" si="4"/>
        <v>150521.39921897533</v>
      </c>
      <c r="Q15" s="4"/>
    </row>
    <row r="16" spans="1:17" x14ac:dyDescent="0.25">
      <c r="A16" s="9" t="s">
        <v>27</v>
      </c>
      <c r="B16" s="13">
        <v>10</v>
      </c>
      <c r="D16" s="9" t="s">
        <v>4</v>
      </c>
      <c r="E16" s="16">
        <f>(B2-E17)+B9+IF(B24="Yes",H18)</f>
        <v>152625</v>
      </c>
      <c r="J16" s="8">
        <v>13</v>
      </c>
      <c r="K16" s="21">
        <f>IF($E$20&lt;O16+(O16*($B$5/$E$20)),$E$20,O16+(O16*($B$5/$E$20)))</f>
        <v>854.65610315496497</v>
      </c>
      <c r="L16" s="18">
        <f t="shared" si="0"/>
        <v>673.40218777524456</v>
      </c>
      <c r="M16" s="18">
        <f t="shared" si="3"/>
        <v>181.25391537972041</v>
      </c>
      <c r="N16" s="8">
        <v>0</v>
      </c>
      <c r="O16" s="18">
        <f t="shared" si="4"/>
        <v>150340.95354982204</v>
      </c>
    </row>
    <row r="17" spans="1:17" x14ac:dyDescent="0.25">
      <c r="A17" s="9" t="s">
        <v>28</v>
      </c>
      <c r="B17" s="13">
        <v>65</v>
      </c>
      <c r="D17" s="8" t="s">
        <v>137</v>
      </c>
      <c r="E17" s="2">
        <f>B6+B7</f>
        <v>20000</v>
      </c>
      <c r="G17" s="74" t="s">
        <v>121</v>
      </c>
      <c r="H17" s="74"/>
      <c r="J17" s="8">
        <v>14</v>
      </c>
      <c r="K17" s="21">
        <f>IF($E$20&lt;O17+(O17*($B$5/$E$20)),$E$20,O17+(O17*($B$5/$E$20)))</f>
        <v>854.65610315496497</v>
      </c>
      <c r="L17" s="18">
        <f t="shared" si="0"/>
        <v>672.59032127927287</v>
      </c>
      <c r="M17" s="18">
        <f t="shared" si="3"/>
        <v>182.0657818756921</v>
      </c>
      <c r="N17" s="8">
        <v>0</v>
      </c>
      <c r="O17" s="18">
        <f t="shared" si="4"/>
        <v>150159.69963444231</v>
      </c>
      <c r="Q17" s="4"/>
    </row>
    <row r="18" spans="1:17" x14ac:dyDescent="0.25">
      <c r="A18" s="9" t="s">
        <v>29</v>
      </c>
      <c r="B18" s="13">
        <v>1500</v>
      </c>
      <c r="D18" s="9" t="s">
        <v>3</v>
      </c>
      <c r="E18" s="16">
        <f>(B2*B8)</f>
        <v>8500</v>
      </c>
      <c r="G18" s="11" t="s">
        <v>82</v>
      </c>
      <c r="H18" s="55">
        <f>'PMI MIP Calc'!B10</f>
        <v>2625.0000000000005</v>
      </c>
      <c r="J18" s="8">
        <v>15</v>
      </c>
      <c r="K18" s="21">
        <f>IF($E$20&lt;O18+(O18*($B$5/$E$20)),$E$20,O18+(O18*($B$5/$E$20)))</f>
        <v>854.65610315496497</v>
      </c>
      <c r="L18" s="18">
        <f t="shared" si="0"/>
        <v>671.77481829795465</v>
      </c>
      <c r="M18" s="18">
        <f t="shared" si="3"/>
        <v>182.88128485701031</v>
      </c>
      <c r="N18" s="8">
        <v>0</v>
      </c>
      <c r="O18" s="18">
        <f t="shared" si="4"/>
        <v>149977.63385256662</v>
      </c>
    </row>
    <row r="19" spans="1:17" x14ac:dyDescent="0.25">
      <c r="A19" s="9" t="s">
        <v>30</v>
      </c>
      <c r="B19" s="13">
        <v>2000</v>
      </c>
      <c r="D19" s="9" t="s">
        <v>10</v>
      </c>
      <c r="E19" s="12">
        <f>B4*B3</f>
        <v>360</v>
      </c>
      <c r="G19" s="9" t="s">
        <v>127</v>
      </c>
      <c r="H19" s="54">
        <f>'PMI MIP Calc'!P3</f>
        <v>1204.1711937518028</v>
      </c>
      <c r="J19" s="8">
        <v>16</v>
      </c>
      <c r="K19" s="21">
        <f>IF($E$20&lt;O19+(O19*($B$5/$E$20)),$E$20,O19+(O19*($B$5/$E$20)))</f>
        <v>854.65610315496497</v>
      </c>
      <c r="L19" s="18">
        <f t="shared" si="0"/>
        <v>670.95566254286587</v>
      </c>
      <c r="M19" s="18">
        <f t="shared" si="3"/>
        <v>183.7004406120991</v>
      </c>
      <c r="N19" s="8">
        <v>0</v>
      </c>
      <c r="O19" s="18">
        <f t="shared" si="4"/>
        <v>149794.7525677096</v>
      </c>
    </row>
    <row r="20" spans="1:17" x14ac:dyDescent="0.25">
      <c r="D20" s="52" t="s">
        <v>7</v>
      </c>
      <c r="E20" s="17">
        <f>-PMT(B5/B4,E19,E16,0)</f>
        <v>854.65610315496497</v>
      </c>
      <c r="J20" s="8">
        <v>17</v>
      </c>
      <c r="K20" s="21">
        <f>IF($E$20&lt;O20+(O20*($B$5/$E$20)),$E$20,O20+(O20*($B$5/$E$20)))</f>
        <v>854.65610315496497</v>
      </c>
      <c r="L20" s="18">
        <f t="shared" si="0"/>
        <v>670.13283765262418</v>
      </c>
      <c r="M20" s="18">
        <f t="shared" si="3"/>
        <v>184.52326550234079</v>
      </c>
      <c r="N20" s="8">
        <v>0</v>
      </c>
      <c r="O20" s="18">
        <f t="shared" si="4"/>
        <v>149611.0521270975</v>
      </c>
    </row>
    <row r="21" spans="1:17" x14ac:dyDescent="0.25">
      <c r="A21" s="74" t="s">
        <v>116</v>
      </c>
      <c r="B21" s="74"/>
      <c r="D21" s="9" t="s">
        <v>8</v>
      </c>
      <c r="E21" s="17">
        <f>E20*E19</f>
        <v>307676.1971357874</v>
      </c>
      <c r="G21" s="72" t="s">
        <v>122</v>
      </c>
      <c r="H21" s="73"/>
      <c r="J21" s="8">
        <v>18</v>
      </c>
      <c r="K21" s="21">
        <f>IF($E$20&lt;O21+(O21*($B$5/$E$20)),$E$20,O21+(O21*($B$5/$E$20)))</f>
        <v>854.65610315496497</v>
      </c>
      <c r="L21" s="18">
        <f t="shared" si="0"/>
        <v>669.30632719256175</v>
      </c>
      <c r="M21" s="18">
        <f t="shared" si="3"/>
        <v>185.34977596240321</v>
      </c>
      <c r="N21" s="8">
        <v>0</v>
      </c>
      <c r="O21" s="18">
        <f t="shared" si="4"/>
        <v>149426.52886159517</v>
      </c>
    </row>
    <row r="22" spans="1:17" x14ac:dyDescent="0.25">
      <c r="A22" t="s">
        <v>113</v>
      </c>
      <c r="B22" s="14" t="s">
        <v>114</v>
      </c>
      <c r="D22" s="11" t="s">
        <v>19</v>
      </c>
      <c r="E22" s="17">
        <f>E21-E16</f>
        <v>155051.1971357874</v>
      </c>
      <c r="G22" s="8" t="s">
        <v>130</v>
      </c>
      <c r="H22" s="53" t="str">
        <f>'PMI MIP Calc'!B24</f>
        <v>0</v>
      </c>
      <c r="J22" s="8">
        <v>19</v>
      </c>
      <c r="K22" s="21">
        <f>IF($E$20&lt;O22+(O22*($B$5/$E$20)),$E$20,O22+(O22*($B$5/$E$20)))</f>
        <v>854.65610315496497</v>
      </c>
      <c r="L22" s="18">
        <f t="shared" si="0"/>
        <v>668.47611465439672</v>
      </c>
      <c r="M22" s="18">
        <f t="shared" si="3"/>
        <v>186.17998850056824</v>
      </c>
      <c r="N22" s="8">
        <v>0</v>
      </c>
      <c r="O22" s="18">
        <f t="shared" si="4"/>
        <v>149241.17908563276</v>
      </c>
    </row>
    <row r="23" spans="1:17" x14ac:dyDescent="0.25">
      <c r="A23" s="11" t="s">
        <v>84</v>
      </c>
      <c r="B23" s="34">
        <v>1.7500000000000002E-2</v>
      </c>
      <c r="G23" s="41" t="s">
        <v>126</v>
      </c>
      <c r="H23" s="68" t="str">
        <f>IF(B28="Annual",'PMI MIP Calc'!B23, "0")</f>
        <v>0</v>
      </c>
      <c r="J23" s="8">
        <v>20</v>
      </c>
      <c r="K23" s="21">
        <f>IF($E$20&lt;O23+(O23*($B$5/$E$20)),$E$20,O23+(O23*($B$5/$E$20)))</f>
        <v>854.65610315496497</v>
      </c>
      <c r="L23" s="18">
        <f t="shared" si="0"/>
        <v>667.6421834559045</v>
      </c>
      <c r="M23" s="18">
        <f t="shared" si="3"/>
        <v>187.01391969906047</v>
      </c>
      <c r="N23" s="8">
        <v>0</v>
      </c>
      <c r="O23" s="18">
        <f t="shared" si="4"/>
        <v>149054.99909713218</v>
      </c>
    </row>
    <row r="24" spans="1:17" x14ac:dyDescent="0.25">
      <c r="A24" s="9" t="s">
        <v>131</v>
      </c>
      <c r="B24" s="14" t="s">
        <v>114</v>
      </c>
      <c r="D24" s="72" t="s">
        <v>21</v>
      </c>
      <c r="E24" s="73"/>
      <c r="G24" s="9" t="s">
        <v>127</v>
      </c>
      <c r="H24" s="53" t="str">
        <f>IF(B28="Annual",'PMI MIP Calc'!G17, "0")</f>
        <v>0</v>
      </c>
      <c r="J24" s="8">
        <v>21</v>
      </c>
      <c r="K24" s="21">
        <f>IF($E$20&lt;O24+(O24*($B$5/$E$20)),$E$20,O24+(O24*($B$5/$E$20)))</f>
        <v>854.65610315496497</v>
      </c>
      <c r="L24" s="18">
        <f t="shared" si="0"/>
        <v>666.80451694058581</v>
      </c>
      <c r="M24" s="18">
        <f t="shared" si="3"/>
        <v>187.85158621437915</v>
      </c>
      <c r="N24" s="8">
        <v>0</v>
      </c>
      <c r="O24" s="18">
        <f t="shared" si="4"/>
        <v>148867.98517743312</v>
      </c>
    </row>
    <row r="25" spans="1:17" x14ac:dyDescent="0.25">
      <c r="D25" s="9" t="s">
        <v>55</v>
      </c>
      <c r="E25" s="16">
        <f>(E17+E18)-B7+IF(B24="No", H18)+IF(B28="Upfront",H22)</f>
        <v>18500</v>
      </c>
      <c r="J25" s="8">
        <v>22</v>
      </c>
      <c r="K25" s="21">
        <f>IF($E$20&lt;O25+(O25*($B$5/$E$20)),$E$20,O25+(O25*($B$5/$E$20)))</f>
        <v>854.65610315496497</v>
      </c>
      <c r="L25" s="18">
        <f t="shared" si="0"/>
        <v>665.96309837733395</v>
      </c>
      <c r="M25" s="18">
        <f t="shared" si="3"/>
        <v>188.69300477763102</v>
      </c>
      <c r="N25" s="8">
        <v>0</v>
      </c>
      <c r="O25" s="18">
        <f t="shared" si="4"/>
        <v>148680.13359121874</v>
      </c>
    </row>
    <row r="26" spans="1:17" x14ac:dyDescent="0.25">
      <c r="A26" s="7" t="s">
        <v>117</v>
      </c>
      <c r="B26" s="8"/>
      <c r="J26" s="8">
        <v>23</v>
      </c>
      <c r="K26" s="21">
        <f>IF($E$20&lt;O26+(O26*($B$5/$E$20)),$E$20,O26+(O26*($B$5/$E$20)))</f>
        <v>854.65610315496497</v>
      </c>
      <c r="L26" s="18">
        <f t="shared" si="0"/>
        <v>665.11791096010086</v>
      </c>
      <c r="M26" s="18">
        <f t="shared" si="3"/>
        <v>189.53819219486411</v>
      </c>
      <c r="N26" s="8">
        <v>0</v>
      </c>
      <c r="O26" s="18">
        <f t="shared" si="4"/>
        <v>148491.44058644111</v>
      </c>
    </row>
    <row r="27" spans="1:17" x14ac:dyDescent="0.25">
      <c r="A27" s="8" t="s">
        <v>118</v>
      </c>
      <c r="B27" s="14" t="s">
        <v>115</v>
      </c>
      <c r="D27" s="72" t="s">
        <v>22</v>
      </c>
      <c r="E27" s="73"/>
      <c r="J27" s="8">
        <v>24</v>
      </c>
      <c r="K27" s="21">
        <f>IF($E$20&lt;O27+(O27*($B$5/$E$20)),$E$20,O27+(O27*($B$5/$E$20)))</f>
        <v>854.65610315496497</v>
      </c>
      <c r="L27" s="18">
        <f t="shared" si="0"/>
        <v>664.26893780756131</v>
      </c>
      <c r="M27" s="18">
        <f t="shared" si="3"/>
        <v>190.38716534740365</v>
      </c>
      <c r="N27" s="8">
        <v>0</v>
      </c>
      <c r="O27" s="18">
        <f t="shared" si="4"/>
        <v>148301.90239424625</v>
      </c>
    </row>
    <row r="28" spans="1:17" x14ac:dyDescent="0.25">
      <c r="A28" s="8" t="s">
        <v>128</v>
      </c>
      <c r="B28" s="14" t="s">
        <v>129</v>
      </c>
      <c r="D28" s="71" t="s">
        <v>58</v>
      </c>
      <c r="E28" s="7" t="s">
        <v>109</v>
      </c>
      <c r="J28" s="8">
        <v>25</v>
      </c>
      <c r="K28" s="21">
        <f>IF($E$20&lt;O28+(O28*($B$5/$E$20)),$E$20,O28+(O28*($B$5/$E$20)))</f>
        <v>854.65610315496497</v>
      </c>
      <c r="L28" s="18">
        <f t="shared" ref="L28:L66" si="5">O28*$B$5/$B$4</f>
        <v>663.41616196277607</v>
      </c>
      <c r="M28" s="18">
        <f t="shared" ref="M28:M42" si="6">K28-L28</f>
        <v>191.23994119218889</v>
      </c>
      <c r="N28" s="8">
        <v>0</v>
      </c>
      <c r="O28" s="18">
        <f t="shared" ref="O28:O42" si="7">O27-M27-N27</f>
        <v>148111.51522889885</v>
      </c>
    </row>
    <row r="29" spans="1:17" x14ac:dyDescent="0.25">
      <c r="A29" s="9" t="s">
        <v>112</v>
      </c>
      <c r="B29" s="15">
        <v>0.01</v>
      </c>
      <c r="D29" s="8">
        <v>1</v>
      </c>
      <c r="E29" s="57">
        <f>SUM($E$20,$B$12,$B$13,$B$14,$B$15,$B$16,$B$17+($B$18/12)+($B$19/12)+('PMI MIP Calc'!P3/12)+('PMI MIP Calc'!G17/12))</f>
        <v>1539.6703693009486</v>
      </c>
      <c r="J29" s="8">
        <v>26</v>
      </c>
      <c r="K29" s="21">
        <f>IF($E$20&lt;O29+(O29*($B$5/$E$20)),$E$20,O29+(O29*($B$5/$E$20)))</f>
        <v>854.65610315496497</v>
      </c>
      <c r="L29" s="18">
        <f t="shared" si="5"/>
        <v>662.55956639285284</v>
      </c>
      <c r="M29" s="18">
        <f t="shared" si="6"/>
        <v>192.09653676211212</v>
      </c>
      <c r="N29" s="8">
        <v>0</v>
      </c>
      <c r="O29" s="18">
        <f t="shared" si="7"/>
        <v>147920.27528770667</v>
      </c>
    </row>
    <row r="30" spans="1:17" x14ac:dyDescent="0.25">
      <c r="A30" s="9" t="s">
        <v>125</v>
      </c>
      <c r="B30" s="15">
        <v>0.22</v>
      </c>
      <c r="D30" s="8">
        <v>2</v>
      </c>
      <c r="E30" s="57">
        <f>SUM($E$20,$B$12,$B$13,$B$14,$B$15,$B$16,$B$17+($B$18/12)+($B$19/12)+('PMI MIP Calc'!P4/12)+('PMI MIP Calc'!G18/12))</f>
        <v>1538.190704751129</v>
      </c>
      <c r="J30" s="8">
        <v>27</v>
      </c>
      <c r="K30" s="21">
        <f>IF($E$20&lt;O30+(O30*($B$5/$E$20)),$E$20,O30+(O30*($B$5/$E$20)))</f>
        <v>854.65610315496497</v>
      </c>
      <c r="L30" s="18">
        <f t="shared" si="5"/>
        <v>661.69913398860581</v>
      </c>
      <c r="M30" s="18">
        <f t="shared" si="6"/>
        <v>192.95696916635916</v>
      </c>
      <c r="N30" s="8">
        <v>0</v>
      </c>
      <c r="O30" s="18">
        <f t="shared" si="7"/>
        <v>147728.17875094456</v>
      </c>
    </row>
    <row r="31" spans="1:17" x14ac:dyDescent="0.25">
      <c r="D31" s="8">
        <v>3</v>
      </c>
      <c r="E31" s="57">
        <f>SUM($E$20,$B$12,$B$13,$B$14,$B$15,$B$16,$B$17+($B$18/12)+($B$19/12)+('PMI MIP Calc'!P5/12)+('PMI MIP Calc'!G19/12))</f>
        <v>1536.6295193781191</v>
      </c>
      <c r="J31" s="8">
        <v>28</v>
      </c>
      <c r="K31" s="21">
        <f>IF($E$20&lt;O31+(O31*($B$5/$E$20)),$E$20,O31+(O31*($B$5/$E$20)))</f>
        <v>854.65610315496497</v>
      </c>
      <c r="L31" s="18">
        <f t="shared" si="5"/>
        <v>660.8348475642149</v>
      </c>
      <c r="M31" s="18">
        <f t="shared" si="6"/>
        <v>193.82125559075007</v>
      </c>
      <c r="N31" s="8">
        <v>0</v>
      </c>
      <c r="O31" s="18">
        <f t="shared" si="7"/>
        <v>147535.22178177821</v>
      </c>
    </row>
    <row r="32" spans="1:17" x14ac:dyDescent="0.25">
      <c r="A32" s="38" t="s">
        <v>73</v>
      </c>
      <c r="B32" s="39"/>
      <c r="D32" s="8">
        <v>4</v>
      </c>
      <c r="E32" s="57">
        <f>SUM($E$20,$B$12,$B$13,$B$14,$B$15,$B$16,$B$17+($B$18/12)+($B$19/12)+('PMI MIP Calc'!P6/12)+('PMI MIP Calc'!G20/12))</f>
        <v>1534.9823218635215</v>
      </c>
      <c r="J32" s="8">
        <v>29</v>
      </c>
      <c r="K32" s="21">
        <f>IF($E$20&lt;O32+(O32*($B$5/$E$20)),$E$20,O32+(O32*($B$5/$E$20)))</f>
        <v>854.65610315496497</v>
      </c>
      <c r="L32" s="18">
        <f t="shared" si="5"/>
        <v>659.96668985688132</v>
      </c>
      <c r="M32" s="18">
        <f t="shared" si="6"/>
        <v>194.68941329808365</v>
      </c>
      <c r="N32" s="8">
        <v>0</v>
      </c>
      <c r="O32" s="18">
        <f t="shared" si="7"/>
        <v>147341.40052618747</v>
      </c>
    </row>
    <row r="33" spans="1:15" x14ac:dyDescent="0.25">
      <c r="A33" s="19" t="s">
        <v>46</v>
      </c>
      <c r="B33" s="69">
        <v>0.04</v>
      </c>
      <c r="D33" s="8">
        <v>5</v>
      </c>
      <c r="E33" s="57">
        <f>SUM($E$20,$B$12,$B$13,$B$14,$B$15,$B$16,$B$17+($B$18/12)+($B$19/12)+('PMI MIP Calc'!P7/12)+('PMI MIP Calc'!G21/12))</f>
        <v>1533.2443734436838</v>
      </c>
      <c r="J33" s="8">
        <v>30</v>
      </c>
      <c r="K33" s="21">
        <f>IF($E$20&lt;O33+(O33*($B$5/$E$20)),$E$20,O33+(O33*($B$5/$E$20)))</f>
        <v>854.65610315496497</v>
      </c>
      <c r="L33" s="18">
        <f t="shared" si="5"/>
        <v>659.09464352648365</v>
      </c>
      <c r="M33" s="18">
        <f t="shared" si="6"/>
        <v>195.56145962848132</v>
      </c>
      <c r="N33" s="8">
        <v>0</v>
      </c>
      <c r="O33" s="18">
        <f t="shared" si="7"/>
        <v>147146.71111288937</v>
      </c>
    </row>
    <row r="34" spans="1:15" x14ac:dyDescent="0.25">
      <c r="D34" s="8">
        <v>6</v>
      </c>
      <c r="E34" s="57">
        <f>SUM($E$20,$B$12,$B$13,$B$14,$B$15,$B$16,$B$17+($B$18/12)+($B$19/12)+('PMI MIP Calc'!P8/12)+('PMI MIP Calc'!G22/12))</f>
        <v>1531.4106742769184</v>
      </c>
      <c r="J34" s="8">
        <v>31</v>
      </c>
      <c r="K34" s="21">
        <f>IF($E$20&lt;O34+(O34*($B$5/$E$20)),$E$20,O34+(O34*($B$5/$E$20)))</f>
        <v>854.65610315496497</v>
      </c>
      <c r="L34" s="18">
        <f t="shared" si="5"/>
        <v>658.21869115523111</v>
      </c>
      <c r="M34" s="18">
        <f t="shared" si="6"/>
        <v>196.43741199973385</v>
      </c>
      <c r="N34" s="8">
        <v>0</v>
      </c>
      <c r="O34" s="18">
        <f t="shared" si="7"/>
        <v>146951.14965326089</v>
      </c>
    </row>
    <row r="35" spans="1:15" x14ac:dyDescent="0.25">
      <c r="A35" s="38" t="s">
        <v>71</v>
      </c>
      <c r="B35" s="39"/>
      <c r="D35" s="8">
        <v>7</v>
      </c>
      <c r="E35" s="57">
        <f>SUM($E$20,$B$12,$B$13,$B$14,$B$15,$B$16,$B$17+($B$18/12)+($B$19/12)+('PMI MIP Calc'!P9/12)+('PMI MIP Calc'!G23/12))</f>
        <v>1529.4759490596352</v>
      </c>
      <c r="J35" s="8">
        <v>32</v>
      </c>
      <c r="K35" s="21">
        <f>IF($E$20&lt;O35+(O35*($B$5/$E$20)),$E$20,O35+(O35*($B$5/$E$20)))</f>
        <v>854.65610315496497</v>
      </c>
      <c r="L35" s="18">
        <f t="shared" si="5"/>
        <v>657.33881524731555</v>
      </c>
      <c r="M35" s="18">
        <f t="shared" si="6"/>
        <v>197.31728790764942</v>
      </c>
      <c r="N35" s="8">
        <v>0</v>
      </c>
      <c r="O35" s="18">
        <f t="shared" si="7"/>
        <v>146754.71224126115</v>
      </c>
    </row>
    <row r="36" spans="1:15" x14ac:dyDescent="0.25">
      <c r="A36" s="11" t="s">
        <v>39</v>
      </c>
      <c r="B36" s="10">
        <v>900</v>
      </c>
      <c r="D36" s="8">
        <v>8</v>
      </c>
      <c r="E36" s="57">
        <f>SUM($E$20,$B$12,$B$13,$B$14,$B$15,$B$16,$B$17+($B$18/12)+($B$19/12)+('PMI MIP Calc'!P10/12)+('PMI MIP Calc'!G24/12))</f>
        <v>1527.434631850012</v>
      </c>
      <c r="J36" s="8">
        <v>33</v>
      </c>
      <c r="K36" s="21">
        <f>IF($E$20&lt;O36+(O36*($B$5/$E$20)),$E$20,O36+(O36*($B$5/$E$20)))</f>
        <v>854.65610315496497</v>
      </c>
      <c r="L36" s="18">
        <f t="shared" si="5"/>
        <v>656.45499822856254</v>
      </c>
      <c r="M36" s="18">
        <f t="shared" si="6"/>
        <v>198.20110492640242</v>
      </c>
      <c r="N36" s="8">
        <v>0</v>
      </c>
      <c r="O36" s="18">
        <f t="shared" si="7"/>
        <v>146557.39495335351</v>
      </c>
    </row>
    <row r="37" spans="1:15" x14ac:dyDescent="0.25">
      <c r="D37" s="8">
        <v>9</v>
      </c>
      <c r="E37" s="57">
        <f>SUM($E$20,$B$12,$B$13,$B$14,$B$15,$B$16,$B$17+($B$18/12)+($B$19/12)+('PMI MIP Calc'!P11/12)+('PMI MIP Calc'!G25/12))</f>
        <v>1525.2808500555325</v>
      </c>
      <c r="J37" s="8">
        <v>34</v>
      </c>
      <c r="K37" s="21">
        <f>IF($E$20&lt;O37+(O37*($B$5/$E$20)),$E$20,O37+(O37*($B$5/$E$20)))</f>
        <v>854.65610315496497</v>
      </c>
      <c r="L37" s="18">
        <f t="shared" si="5"/>
        <v>655.56722244607965</v>
      </c>
      <c r="M37" s="18">
        <f t="shared" si="6"/>
        <v>199.08888070888531</v>
      </c>
      <c r="N37" s="8">
        <v>0</v>
      </c>
      <c r="O37" s="18">
        <f t="shared" si="7"/>
        <v>146359.19384842709</v>
      </c>
    </row>
    <row r="38" spans="1:15" x14ac:dyDescent="0.25">
      <c r="A38" s="38" t="s">
        <v>72</v>
      </c>
      <c r="B38" s="39"/>
      <c r="D38" s="8">
        <v>10</v>
      </c>
      <c r="E38" s="57">
        <f>SUM($E$20,$B$12,$B$13,$B$14,$B$15,$B$16,$B$17+($B$18/12)+($B$19/12)+('PMI MIP Calc'!P12/12)+('PMI MIP Calc'!G26/12))</f>
        <v>1523.0084075383368</v>
      </c>
      <c r="J38" s="8">
        <v>35</v>
      </c>
      <c r="K38" s="21">
        <f>IF($E$20&lt;O38+(O38*($B$5/$E$20)),$E$20,O38+(O38*($B$5/$E$20)))</f>
        <v>854.65610315496497</v>
      </c>
      <c r="L38" s="18">
        <f t="shared" si="5"/>
        <v>654.67547016790456</v>
      </c>
      <c r="M38" s="18">
        <f t="shared" si="6"/>
        <v>199.9806329870604</v>
      </c>
      <c r="N38" s="8">
        <v>0</v>
      </c>
      <c r="O38" s="18">
        <f t="shared" si="7"/>
        <v>146160.10496771822</v>
      </c>
    </row>
    <row r="39" spans="1:15" x14ac:dyDescent="0.25">
      <c r="A39" s="8" t="s">
        <v>69</v>
      </c>
      <c r="B39" s="13">
        <v>60</v>
      </c>
      <c r="D39" s="8">
        <v>11</v>
      </c>
      <c r="E39" s="57">
        <f>SUM($E$20,$B$12,$B$13,$B$14,$B$15,$B$16,$B$17+($B$18/12)+($B$19/12)+('PMI MIP Calc'!P13/12)+('PMI MIP Calc'!G27/12))</f>
        <v>1520.6107667897732</v>
      </c>
      <c r="J39" s="8">
        <v>36</v>
      </c>
      <c r="K39" s="21">
        <f>IF($E$20&lt;O39+(O39*($B$5/$E$20)),$E$20,O39+(O39*($B$5/$E$20)))</f>
        <v>854.65610315496497</v>
      </c>
      <c r="L39" s="18">
        <f t="shared" si="5"/>
        <v>653.77972358265004</v>
      </c>
      <c r="M39" s="18">
        <f t="shared" si="6"/>
        <v>200.87637957231493</v>
      </c>
      <c r="N39" s="8">
        <v>0</v>
      </c>
      <c r="O39" s="18">
        <f t="shared" si="7"/>
        <v>145960.12433473117</v>
      </c>
    </row>
    <row r="40" spans="1:15" x14ac:dyDescent="0.25">
      <c r="A40" s="22" t="s">
        <v>28</v>
      </c>
      <c r="B40" s="13">
        <v>75</v>
      </c>
      <c r="D40" s="8">
        <v>12</v>
      </c>
      <c r="E40" s="57">
        <f>SUM($E$20,$B$12,$B$13,$B$14,$B$15,$B$16,$B$17+($B$18/12)+($B$19/12)+('PMI MIP Calc'!P14/12)+('PMI MIP Calc'!G28/12))</f>
        <v>1439.3227698216315</v>
      </c>
      <c r="J40" s="8">
        <v>37</v>
      </c>
      <c r="K40" s="21">
        <f>IF($E$20&lt;O40+(O40*($B$5/$E$20)),$E$20,O40+(O40*($B$5/$E$20)))</f>
        <v>854.65610315496497</v>
      </c>
      <c r="L40" s="18">
        <f t="shared" si="5"/>
        <v>652.87996479914898</v>
      </c>
      <c r="M40" s="18">
        <f t="shared" si="6"/>
        <v>201.77613835581599</v>
      </c>
      <c r="N40" s="8">
        <v>0</v>
      </c>
      <c r="O40" s="18">
        <f t="shared" si="7"/>
        <v>145759.24795515885</v>
      </c>
    </row>
    <row r="41" spans="1:15" x14ac:dyDescent="0.25">
      <c r="A41" s="8" t="s">
        <v>45</v>
      </c>
      <c r="B41" s="13">
        <v>12.42</v>
      </c>
      <c r="D41" s="8">
        <v>13</v>
      </c>
      <c r="E41" s="57">
        <f>SUM($E$20,$B$12,$B$13,$B$14,$B$15,$B$16,$B$17+($B$18/12)+($B$19/12)+('PMI MIP Calc'!P15/12)+('PMI MIP Calc'!G29/12))</f>
        <v>1439.3227698216315</v>
      </c>
      <c r="J41" s="8">
        <v>38</v>
      </c>
      <c r="K41" s="21">
        <f>IF($E$20&lt;O41+(O41*($B$5/$E$20)),$E$20,O41+(O41*($B$5/$E$20)))</f>
        <v>854.65610315496497</v>
      </c>
      <c r="L41" s="18">
        <f t="shared" si="5"/>
        <v>651.97617584609691</v>
      </c>
      <c r="M41" s="18">
        <f t="shared" si="6"/>
        <v>202.67992730886806</v>
      </c>
      <c r="N41" s="8">
        <v>0</v>
      </c>
      <c r="O41" s="18">
        <f t="shared" si="7"/>
        <v>145557.47181680304</v>
      </c>
    </row>
    <row r="42" spans="1:15" x14ac:dyDescent="0.25">
      <c r="D42" s="8">
        <v>14</v>
      </c>
      <c r="E42" s="57">
        <f>SUM($E$20,$B$12,$B$13,$B$14,$B$15,$B$16,$B$17+($B$18/12)+($B$19/12)+('PMI MIP Calc'!P16/12)+('PMI MIP Calc'!G30/12))</f>
        <v>1439.3227698216315</v>
      </c>
      <c r="J42" s="8">
        <v>39</v>
      </c>
      <c r="K42" s="21">
        <f>IF($E$20&lt;O42+(O42*($B$5/$E$20)),$E$20,O42+(O42*($B$5/$E$20)))</f>
        <v>854.65610315496497</v>
      </c>
      <c r="L42" s="18">
        <f t="shared" si="5"/>
        <v>651.06833867169269</v>
      </c>
      <c r="M42" s="18">
        <f t="shared" si="6"/>
        <v>203.58776448327228</v>
      </c>
      <c r="N42" s="8">
        <v>0</v>
      </c>
      <c r="O42" s="18">
        <f t="shared" si="7"/>
        <v>145354.79188949417</v>
      </c>
    </row>
    <row r="43" spans="1:15" x14ac:dyDescent="0.25">
      <c r="A43" s="38" t="s">
        <v>75</v>
      </c>
      <c r="B43" s="39"/>
      <c r="D43" s="8">
        <v>15</v>
      </c>
      <c r="E43" s="57">
        <f>SUM($E$20,$B$12,$B$13,$B$14,$B$15,$B$16,$B$17+($B$18/12)+($B$19/12)+('PMI MIP Calc'!P17/12)+('PMI MIP Calc'!G31/12))</f>
        <v>1439.3227698216315</v>
      </c>
      <c r="J43" s="8">
        <v>40</v>
      </c>
      <c r="K43" s="21">
        <f>IF($E$20&lt;O43+(O43*($B$5/$E$20)),$E$20,O43+(O43*($B$5/$E$20)))</f>
        <v>854.65610315496497</v>
      </c>
      <c r="L43" s="18">
        <f t="shared" si="5"/>
        <v>650.15643514327803</v>
      </c>
      <c r="M43" s="18">
        <f t="shared" ref="M43:M68" si="8">K43-L43</f>
        <v>204.49966801168694</v>
      </c>
      <c r="N43" s="8">
        <v>0</v>
      </c>
      <c r="O43" s="18">
        <f t="shared" ref="O43:O68" si="9">O42-M42-N42</f>
        <v>145151.2041250109</v>
      </c>
    </row>
    <row r="44" spans="1:15" x14ac:dyDescent="0.25">
      <c r="A44" s="9" t="s">
        <v>31</v>
      </c>
      <c r="B44" s="10">
        <v>3000</v>
      </c>
      <c r="J44" s="8">
        <v>41</v>
      </c>
      <c r="K44" s="21">
        <f>IF($E$20&lt;O44+(O44*($B$5/$E$20)),$E$20,O44+(O44*($B$5/$E$20)))</f>
        <v>854.65610315496497</v>
      </c>
      <c r="L44" s="18">
        <f t="shared" si="5"/>
        <v>649.24044704697565</v>
      </c>
      <c r="M44" s="18">
        <f t="shared" si="8"/>
        <v>205.41565610798932</v>
      </c>
      <c r="N44" s="8">
        <v>0</v>
      </c>
      <c r="O44" s="18">
        <f t="shared" si="9"/>
        <v>144946.70445699923</v>
      </c>
    </row>
    <row r="45" spans="1:15" x14ac:dyDescent="0.25">
      <c r="A45" s="11" t="s">
        <v>32</v>
      </c>
      <c r="B45" s="10">
        <v>100</v>
      </c>
      <c r="D45" s="72" t="s">
        <v>74</v>
      </c>
      <c r="E45" s="73"/>
      <c r="J45" s="8">
        <v>42</v>
      </c>
      <c r="K45" s="21">
        <f>IF($E$20&lt;O45+(O45*($B$5/$E$20)),$E$20,O45+(O45*($B$5/$E$20)))</f>
        <v>854.65610315496497</v>
      </c>
      <c r="L45" s="18">
        <f t="shared" si="5"/>
        <v>648.32035608732531</v>
      </c>
      <c r="M45" s="18">
        <f t="shared" si="8"/>
        <v>206.33574706763966</v>
      </c>
      <c r="N45" s="8">
        <v>0</v>
      </c>
      <c r="O45" s="18">
        <f t="shared" si="9"/>
        <v>144741.28880089123</v>
      </c>
    </row>
    <row r="46" spans="1:15" x14ac:dyDescent="0.25">
      <c r="A46" s="9" t="s">
        <v>33</v>
      </c>
      <c r="B46" s="10">
        <v>2000</v>
      </c>
      <c r="D46" s="11" t="s">
        <v>35</v>
      </c>
      <c r="E46" s="35">
        <f>B45/B44</f>
        <v>3.3333333333333333E-2</v>
      </c>
      <c r="J46" s="8">
        <v>43</v>
      </c>
      <c r="K46" s="21">
        <f>IF($E$20&lt;O46+(O46*($B$5/$E$20)),$E$20,O46+(O46*($B$5/$E$20)))</f>
        <v>854.65610315496497</v>
      </c>
      <c r="L46" s="18">
        <f t="shared" si="5"/>
        <v>647.39614388691814</v>
      </c>
      <c r="M46" s="18">
        <f t="shared" si="8"/>
        <v>207.25995926804683</v>
      </c>
      <c r="N46" s="8">
        <v>0</v>
      </c>
      <c r="O46" s="18">
        <f t="shared" si="9"/>
        <v>144534.95305382358</v>
      </c>
    </row>
    <row r="47" spans="1:15" x14ac:dyDescent="0.25">
      <c r="A47" s="9" t="s">
        <v>34</v>
      </c>
      <c r="B47" s="10">
        <v>150</v>
      </c>
      <c r="D47" s="9" t="s">
        <v>36</v>
      </c>
      <c r="E47" s="36">
        <f>B47/B46</f>
        <v>7.4999999999999997E-2</v>
      </c>
      <c r="J47" s="8">
        <v>44</v>
      </c>
      <c r="K47" s="21">
        <f>IF($E$20&lt;O47+(O47*($B$5/$E$20)),$E$20,O47+(O47*($B$5/$E$20)))</f>
        <v>854.65610315496497</v>
      </c>
      <c r="L47" s="18">
        <f t="shared" si="5"/>
        <v>646.46779198603008</v>
      </c>
      <c r="M47" s="18">
        <f t="shared" si="8"/>
        <v>208.18831116893489</v>
      </c>
      <c r="N47" s="8">
        <v>0</v>
      </c>
      <c r="O47" s="18">
        <f t="shared" si="9"/>
        <v>144327.69309455555</v>
      </c>
    </row>
    <row r="48" spans="1:15" x14ac:dyDescent="0.25">
      <c r="J48" s="8">
        <v>45</v>
      </c>
      <c r="K48" s="21">
        <f>IF($E$20&lt;O48+(O48*($B$5/$E$20)),$E$20,O48+(O48*($B$5/$E$20)))</f>
        <v>854.65610315496497</v>
      </c>
      <c r="L48" s="18">
        <f t="shared" si="5"/>
        <v>645.53528184225263</v>
      </c>
      <c r="M48" s="18">
        <f t="shared" si="8"/>
        <v>209.12082131271234</v>
      </c>
      <c r="N48" s="8">
        <v>0</v>
      </c>
      <c r="O48" s="18">
        <f t="shared" si="9"/>
        <v>144119.50478338663</v>
      </c>
    </row>
    <row r="49" spans="10:15" x14ac:dyDescent="0.25">
      <c r="J49" s="8">
        <v>46</v>
      </c>
      <c r="K49" s="21">
        <f>IF($E$20&lt;O49+(O49*($B$5/$E$20)),$E$20,O49+(O49*($B$5/$E$20)))</f>
        <v>854.65610315496497</v>
      </c>
      <c r="L49" s="18">
        <f t="shared" si="5"/>
        <v>644.59859483012281</v>
      </c>
      <c r="M49" s="18">
        <f t="shared" si="8"/>
        <v>210.05750832484216</v>
      </c>
      <c r="N49" s="8">
        <v>0</v>
      </c>
      <c r="O49" s="18">
        <f t="shared" si="9"/>
        <v>143910.38396207392</v>
      </c>
    </row>
    <row r="50" spans="10:15" x14ac:dyDescent="0.25">
      <c r="J50" s="8">
        <v>47</v>
      </c>
      <c r="K50" s="21">
        <f>IF($E$20&lt;O50+(O50*($B$5/$E$20)),$E$20,O50+(O50*($B$5/$E$20)))</f>
        <v>854.65610315496497</v>
      </c>
      <c r="L50" s="18">
        <f t="shared" si="5"/>
        <v>643.65771224075104</v>
      </c>
      <c r="M50" s="18">
        <f t="shared" si="8"/>
        <v>210.99839091421393</v>
      </c>
      <c r="N50" s="8">
        <v>0</v>
      </c>
      <c r="O50" s="18">
        <f t="shared" si="9"/>
        <v>143700.32645374906</v>
      </c>
    </row>
    <row r="51" spans="10:15" x14ac:dyDescent="0.25">
      <c r="J51" s="8">
        <v>48</v>
      </c>
      <c r="K51" s="21">
        <f>IF($E$20&lt;O51+(O51*($B$5/$E$20)),$E$20,O51+(O51*($B$5/$E$20)))</f>
        <v>854.65610315496497</v>
      </c>
      <c r="L51" s="18">
        <f t="shared" si="5"/>
        <v>642.71261528144782</v>
      </c>
      <c r="M51" s="18">
        <f t="shared" si="8"/>
        <v>211.94348787351714</v>
      </c>
      <c r="N51" s="8">
        <v>0</v>
      </c>
      <c r="O51" s="18">
        <f t="shared" si="9"/>
        <v>143489.32806283486</v>
      </c>
    </row>
    <row r="52" spans="10:15" x14ac:dyDescent="0.25">
      <c r="J52" s="8">
        <v>49</v>
      </c>
      <c r="K52" s="21">
        <f>IF($E$20&lt;O52+(O52*($B$5/$E$20)),$E$20,O52+(O52*($B$5/$E$20)))</f>
        <v>854.65610315496497</v>
      </c>
      <c r="L52" s="18">
        <f t="shared" si="5"/>
        <v>641.76328507534765</v>
      </c>
      <c r="M52" s="18">
        <f t="shared" si="8"/>
        <v>212.89281807961731</v>
      </c>
      <c r="N52" s="8">
        <v>0</v>
      </c>
      <c r="O52" s="18">
        <f t="shared" si="9"/>
        <v>143277.38457496135</v>
      </c>
    </row>
    <row r="53" spans="10:15" x14ac:dyDescent="0.25">
      <c r="J53" s="8">
        <v>50</v>
      </c>
      <c r="K53" s="21">
        <f>IF($E$20&lt;O53+(O53*($B$5/$E$20)),$E$20,O53+(O53*($B$5/$E$20)))</f>
        <v>854.65610315496497</v>
      </c>
      <c r="L53" s="18">
        <f t="shared" si="5"/>
        <v>640.8097026610327</v>
      </c>
      <c r="M53" s="18">
        <f t="shared" si="8"/>
        <v>213.84640049393226</v>
      </c>
      <c r="N53" s="8">
        <v>0</v>
      </c>
      <c r="O53" s="18">
        <f t="shared" si="9"/>
        <v>143064.49175688173</v>
      </c>
    </row>
    <row r="54" spans="10:15" x14ac:dyDescent="0.25">
      <c r="J54" s="8">
        <v>51</v>
      </c>
      <c r="K54" s="21">
        <f>IF($E$20&lt;O54+(O54*($B$5/$E$20)),$E$20,O54+(O54*($B$5/$E$20)))</f>
        <v>854.65610315496497</v>
      </c>
      <c r="L54" s="18">
        <f t="shared" si="5"/>
        <v>639.85184899215369</v>
      </c>
      <c r="M54" s="18">
        <f t="shared" si="8"/>
        <v>214.80425416281128</v>
      </c>
      <c r="N54" s="8">
        <v>0</v>
      </c>
      <c r="O54" s="18">
        <f t="shared" si="9"/>
        <v>142850.6453563878</v>
      </c>
    </row>
    <row r="55" spans="10:15" x14ac:dyDescent="0.25">
      <c r="J55" s="8">
        <v>52</v>
      </c>
      <c r="K55" s="21">
        <f>IF($E$20&lt;O55+(O55*($B$5/$E$20)),$E$20,O55+(O55*($B$5/$E$20)))</f>
        <v>854.65610315496497</v>
      </c>
      <c r="L55" s="18">
        <f t="shared" si="5"/>
        <v>638.88970493704937</v>
      </c>
      <c r="M55" s="18">
        <f t="shared" si="8"/>
        <v>215.76639821791559</v>
      </c>
      <c r="N55" s="8">
        <v>0</v>
      </c>
      <c r="O55" s="18">
        <f t="shared" si="9"/>
        <v>142635.84110222498</v>
      </c>
    </row>
    <row r="56" spans="10:15" x14ac:dyDescent="0.25">
      <c r="J56" s="8">
        <v>53</v>
      </c>
      <c r="K56" s="21">
        <f>IF($E$20&lt;O56+(O56*($B$5/$E$20)),$E$20,O56+(O56*($B$5/$E$20)))</f>
        <v>854.65610315496497</v>
      </c>
      <c r="L56" s="18">
        <f t="shared" si="5"/>
        <v>637.923251278365</v>
      </c>
      <c r="M56" s="18">
        <f t="shared" si="8"/>
        <v>216.73285187659997</v>
      </c>
      <c r="N56" s="8">
        <v>0</v>
      </c>
      <c r="O56" s="18">
        <f t="shared" si="9"/>
        <v>142420.07470400707</v>
      </c>
    </row>
    <row r="57" spans="10:15" x14ac:dyDescent="0.25">
      <c r="J57" s="8">
        <v>54</v>
      </c>
      <c r="K57" s="21">
        <f>IF($E$20&lt;O57+(O57*($B$5/$E$20)),$E$20,O57+(O57*($B$5/$E$20)))</f>
        <v>854.65610315496497</v>
      </c>
      <c r="L57" s="18">
        <f t="shared" si="5"/>
        <v>636.95246871266784</v>
      </c>
      <c r="M57" s="18">
        <f t="shared" si="8"/>
        <v>217.70363444229713</v>
      </c>
      <c r="N57" s="8">
        <v>0</v>
      </c>
      <c r="O57" s="18">
        <f t="shared" si="9"/>
        <v>142203.34185213048</v>
      </c>
    </row>
    <row r="58" spans="10:15" x14ac:dyDescent="0.25">
      <c r="J58" s="8">
        <v>55</v>
      </c>
      <c r="K58" s="21">
        <f>IF($E$20&lt;O58+(O58*($B$5/$E$20)),$E$20,O58+(O58*($B$5/$E$20)))</f>
        <v>854.65610315496497</v>
      </c>
      <c r="L58" s="18">
        <f t="shared" si="5"/>
        <v>635.97733785006164</v>
      </c>
      <c r="M58" s="18">
        <f t="shared" si="8"/>
        <v>218.67876530490332</v>
      </c>
      <c r="N58" s="8">
        <v>0</v>
      </c>
      <c r="O58" s="18">
        <f t="shared" si="9"/>
        <v>141985.63821768819</v>
      </c>
    </row>
    <row r="59" spans="10:15" x14ac:dyDescent="0.25">
      <c r="J59" s="8">
        <v>56</v>
      </c>
      <c r="K59" s="21">
        <f>IF($E$20&lt;O59+(O59*($B$5/$E$20)),$E$20,O59+(O59*($B$5/$E$20)))</f>
        <v>854.65610315496497</v>
      </c>
      <c r="L59" s="18">
        <f t="shared" si="5"/>
        <v>634.99783921380015</v>
      </c>
      <c r="M59" s="18">
        <f t="shared" si="8"/>
        <v>219.65826394116482</v>
      </c>
      <c r="N59" s="8">
        <v>0</v>
      </c>
      <c r="O59" s="18">
        <f t="shared" si="9"/>
        <v>141766.95945238328</v>
      </c>
    </row>
    <row r="60" spans="10:15" x14ac:dyDescent="0.25">
      <c r="J60" s="8">
        <v>57</v>
      </c>
      <c r="K60" s="21">
        <f>IF($E$20&lt;O60+(O60*($B$5/$E$20)),$E$20,O60+(O60*($B$5/$E$20)))</f>
        <v>854.65610315496497</v>
      </c>
      <c r="L60" s="18">
        <f t="shared" si="5"/>
        <v>634.01395323989686</v>
      </c>
      <c r="M60" s="18">
        <f t="shared" si="8"/>
        <v>220.6421499150681</v>
      </c>
      <c r="N60" s="8">
        <v>0</v>
      </c>
      <c r="O60" s="18">
        <f t="shared" si="9"/>
        <v>141547.3011884421</v>
      </c>
    </row>
    <row r="61" spans="10:15" x14ac:dyDescent="0.25">
      <c r="J61" s="8">
        <v>58</v>
      </c>
      <c r="K61" s="21">
        <f>IF($E$20&lt;O61+(O61*($B$5/$E$20)),$E$20,O61+(O61*($B$5/$E$20)))</f>
        <v>854.65610315496497</v>
      </c>
      <c r="L61" s="18">
        <f t="shared" si="5"/>
        <v>633.02566027673561</v>
      </c>
      <c r="M61" s="18">
        <f t="shared" si="8"/>
        <v>221.63044287822936</v>
      </c>
      <c r="N61" s="8">
        <v>0</v>
      </c>
      <c r="O61" s="18">
        <f t="shared" si="9"/>
        <v>141326.65903852702</v>
      </c>
    </row>
    <row r="62" spans="10:15" x14ac:dyDescent="0.25">
      <c r="J62" s="8">
        <v>59</v>
      </c>
      <c r="K62" s="21">
        <f>IF($E$20&lt;O62+(O62*($B$5/$E$20)),$E$20,O62+(O62*($B$5/$E$20)))</f>
        <v>854.65610315496497</v>
      </c>
      <c r="L62" s="18">
        <f t="shared" si="5"/>
        <v>632.03294058467691</v>
      </c>
      <c r="M62" s="18">
        <f t="shared" si="8"/>
        <v>222.62316257028806</v>
      </c>
      <c r="N62" s="8">
        <v>0</v>
      </c>
      <c r="O62" s="18">
        <f t="shared" si="9"/>
        <v>141105.02859564879</v>
      </c>
    </row>
    <row r="63" spans="10:15" x14ac:dyDescent="0.25">
      <c r="J63" s="8">
        <v>60</v>
      </c>
      <c r="K63" s="21">
        <f>IF($E$20&lt;O63+(O63*($B$5/$E$20)),$E$20,O63+(O63*($B$5/$E$20)))</f>
        <v>854.65610315496497</v>
      </c>
      <c r="L63" s="18">
        <f t="shared" si="5"/>
        <v>631.03577433566409</v>
      </c>
      <c r="M63" s="18">
        <f t="shared" si="8"/>
        <v>223.62032881930088</v>
      </c>
      <c r="N63" s="8">
        <v>0</v>
      </c>
      <c r="O63" s="18">
        <f t="shared" si="9"/>
        <v>140882.4054330785</v>
      </c>
    </row>
    <row r="64" spans="10:15" x14ac:dyDescent="0.25">
      <c r="J64" s="8">
        <v>61</v>
      </c>
      <c r="K64" s="21">
        <f>IF($E$20&lt;O64+(O64*($B$5/$E$20)),$E$20,O64+(O64*($B$5/$E$20)))</f>
        <v>854.65610315496497</v>
      </c>
      <c r="L64" s="18">
        <f t="shared" si="5"/>
        <v>630.03414161282774</v>
      </c>
      <c r="M64" s="18">
        <f t="shared" si="8"/>
        <v>224.62196154213723</v>
      </c>
      <c r="N64" s="8">
        <v>0</v>
      </c>
      <c r="O64" s="18">
        <f t="shared" si="9"/>
        <v>140658.78510425921</v>
      </c>
    </row>
    <row r="65" spans="10:15" x14ac:dyDescent="0.25">
      <c r="J65" s="8">
        <v>62</v>
      </c>
      <c r="K65" s="21">
        <f>IF($E$20&lt;O65+(O65*($B$5/$E$20)),$E$20,O65+(O65*($B$5/$E$20)))</f>
        <v>854.65610315496497</v>
      </c>
      <c r="L65" s="18">
        <f t="shared" si="5"/>
        <v>629.02802241008692</v>
      </c>
      <c r="M65" s="18">
        <f t="shared" si="8"/>
        <v>225.62808074487805</v>
      </c>
      <c r="N65" s="8">
        <v>0</v>
      </c>
      <c r="O65" s="18">
        <f t="shared" si="9"/>
        <v>140434.16314271707</v>
      </c>
    </row>
    <row r="66" spans="10:15" x14ac:dyDescent="0.25">
      <c r="J66" s="8">
        <v>63</v>
      </c>
      <c r="K66" s="21">
        <f>IF($E$20&lt;O66+(O66*($B$5/$E$20)),$E$20,O66+(O66*($B$5/$E$20)))</f>
        <v>854.65610315496497</v>
      </c>
      <c r="L66" s="18">
        <f t="shared" si="5"/>
        <v>628.01739663175044</v>
      </c>
      <c r="M66" s="18">
        <f t="shared" si="8"/>
        <v>226.63870652321452</v>
      </c>
      <c r="N66" s="8">
        <v>0</v>
      </c>
      <c r="O66" s="18">
        <f t="shared" si="9"/>
        <v>140208.53506197219</v>
      </c>
    </row>
    <row r="67" spans="10:15" x14ac:dyDescent="0.25">
      <c r="J67" s="8">
        <v>64</v>
      </c>
      <c r="K67" s="21">
        <f>IF($E$20&lt;O67+(O67*($B$5/$E$20)),$E$20,O67+(O67*($B$5/$E$20)))</f>
        <v>854.65610315496497</v>
      </c>
      <c r="L67" s="18">
        <f t="shared" ref="L67:L130" si="10">O67*$B$5/$B$4</f>
        <v>627.00224409211512</v>
      </c>
      <c r="M67" s="18">
        <f t="shared" si="8"/>
        <v>227.65385906284985</v>
      </c>
      <c r="N67" s="8">
        <v>0</v>
      </c>
      <c r="O67" s="18">
        <f t="shared" si="9"/>
        <v>139981.89635544896</v>
      </c>
    </row>
    <row r="68" spans="10:15" x14ac:dyDescent="0.25">
      <c r="J68" s="8">
        <v>65</v>
      </c>
      <c r="K68" s="21">
        <f>IF($E$20&lt;O68+(O68*($B$5/$E$20)),$E$20,O68+(O68*($B$5/$E$20)))</f>
        <v>854.65610315496497</v>
      </c>
      <c r="L68" s="18">
        <f t="shared" si="10"/>
        <v>625.98254451506284</v>
      </c>
      <c r="M68" s="18">
        <f t="shared" si="8"/>
        <v>228.67355863990213</v>
      </c>
      <c r="N68" s="8">
        <v>0</v>
      </c>
      <c r="O68" s="18">
        <f t="shared" si="9"/>
        <v>139754.24249638611</v>
      </c>
    </row>
    <row r="69" spans="10:15" x14ac:dyDescent="0.25">
      <c r="J69" s="8">
        <v>66</v>
      </c>
      <c r="K69" s="21">
        <f>IF($E$20&lt;O69+(O69*($B$5/$E$20)),$E$20,O69+(O69*($B$5/$E$20)))</f>
        <v>854.65610315496497</v>
      </c>
      <c r="L69" s="18">
        <f t="shared" si="10"/>
        <v>624.95827753365484</v>
      </c>
      <c r="M69" s="18">
        <f t="shared" ref="M69:M132" si="11">K69-L69</f>
        <v>229.69782562131013</v>
      </c>
      <c r="N69" s="8">
        <v>0</v>
      </c>
      <c r="O69" s="18">
        <f t="shared" ref="O69:O132" si="12">O68-M68-N68</f>
        <v>139525.5689377462</v>
      </c>
    </row>
    <row r="70" spans="10:15" x14ac:dyDescent="0.25">
      <c r="J70" s="8">
        <v>67</v>
      </c>
      <c r="K70" s="21">
        <f>IF($E$20&lt;O70+(O70*($B$5/$E$20)),$E$20,O70+(O70*($B$5/$E$20)))</f>
        <v>854.65610315496497</v>
      </c>
      <c r="L70" s="18">
        <f t="shared" si="10"/>
        <v>623.92942268972604</v>
      </c>
      <c r="M70" s="18">
        <f t="shared" si="11"/>
        <v>230.72668046523893</v>
      </c>
      <c r="N70" s="8">
        <v>0</v>
      </c>
      <c r="O70" s="18">
        <f t="shared" si="12"/>
        <v>139295.87111212488</v>
      </c>
    </row>
    <row r="71" spans="10:15" x14ac:dyDescent="0.25">
      <c r="J71" s="8">
        <v>68</v>
      </c>
      <c r="K71" s="21">
        <f>IF($E$20&lt;O71+(O71*($B$5/$E$20)),$E$20,O71+(O71*($B$5/$E$20)))</f>
        <v>854.65610315496497</v>
      </c>
      <c r="L71" s="18">
        <f t="shared" si="10"/>
        <v>622.89595943347547</v>
      </c>
      <c r="M71" s="18">
        <f t="shared" si="11"/>
        <v>231.7601437214895</v>
      </c>
      <c r="N71" s="8">
        <v>0</v>
      </c>
      <c r="O71" s="18">
        <f t="shared" si="12"/>
        <v>139065.14443165963</v>
      </c>
    </row>
    <row r="72" spans="10:15" x14ac:dyDescent="0.25">
      <c r="J72" s="8">
        <v>69</v>
      </c>
      <c r="K72" s="21">
        <f>IF($E$20&lt;O72+(O72*($B$5/$E$20)),$E$20,O72+(O72*($B$5/$E$20)))</f>
        <v>854.65610315496497</v>
      </c>
      <c r="L72" s="18">
        <f t="shared" si="10"/>
        <v>621.85786712305628</v>
      </c>
      <c r="M72" s="18">
        <f t="shared" si="11"/>
        <v>232.79823603190869</v>
      </c>
      <c r="N72" s="8">
        <v>0</v>
      </c>
      <c r="O72" s="18">
        <f t="shared" si="12"/>
        <v>138833.38428793816</v>
      </c>
    </row>
    <row r="73" spans="10:15" x14ac:dyDescent="0.25">
      <c r="J73" s="8">
        <v>70</v>
      </c>
      <c r="K73" s="21">
        <f>IF($E$20&lt;O73+(O73*($B$5/$E$20)),$E$20,O73+(O73*($B$5/$E$20)))</f>
        <v>854.65610315496497</v>
      </c>
      <c r="L73" s="18">
        <f t="shared" si="10"/>
        <v>620.81512502416342</v>
      </c>
      <c r="M73" s="18">
        <f t="shared" si="11"/>
        <v>233.84097813080155</v>
      </c>
      <c r="N73" s="8">
        <v>0</v>
      </c>
      <c r="O73" s="18">
        <f t="shared" si="12"/>
        <v>138600.58605190626</v>
      </c>
    </row>
    <row r="74" spans="10:15" x14ac:dyDescent="0.25">
      <c r="J74" s="8">
        <v>71</v>
      </c>
      <c r="K74" s="21">
        <f>IF($E$20&lt;O74+(O74*($B$5/$E$20)),$E$20,O74+(O74*($B$5/$E$20)))</f>
        <v>854.65610315496497</v>
      </c>
      <c r="L74" s="18">
        <f t="shared" si="10"/>
        <v>619.76771230961913</v>
      </c>
      <c r="M74" s="18">
        <f t="shared" si="11"/>
        <v>234.88839084534584</v>
      </c>
      <c r="N74" s="8">
        <v>0</v>
      </c>
      <c r="O74" s="18">
        <f t="shared" si="12"/>
        <v>138366.74507377544</v>
      </c>
    </row>
    <row r="75" spans="10:15" x14ac:dyDescent="0.25">
      <c r="J75" s="8">
        <v>72</v>
      </c>
      <c r="K75" s="21">
        <f>IF($E$20&lt;O75+(O75*($B$5/$E$20)),$E$20,O75+(O75*($B$5/$E$20)))</f>
        <v>854.65610315496497</v>
      </c>
      <c r="L75" s="18">
        <f t="shared" si="10"/>
        <v>618.71560805895763</v>
      </c>
      <c r="M75" s="18">
        <f t="shared" si="11"/>
        <v>235.94049509600734</v>
      </c>
      <c r="N75" s="8">
        <v>0</v>
      </c>
      <c r="O75" s="18">
        <f t="shared" si="12"/>
        <v>138131.85668293008</v>
      </c>
    </row>
    <row r="76" spans="10:15" x14ac:dyDescent="0.25">
      <c r="J76" s="8">
        <v>73</v>
      </c>
      <c r="K76" s="21">
        <f>IF($E$20&lt;O76+(O76*($B$5/$E$20)),$E$20,O76+(O76*($B$5/$E$20)))</f>
        <v>854.65610315496497</v>
      </c>
      <c r="L76" s="18">
        <f t="shared" si="10"/>
        <v>617.65879125800677</v>
      </c>
      <c r="M76" s="18">
        <f t="shared" si="11"/>
        <v>236.99731189695819</v>
      </c>
      <c r="N76" s="8">
        <v>0</v>
      </c>
      <c r="O76" s="18">
        <f t="shared" si="12"/>
        <v>137895.91618783408</v>
      </c>
    </row>
    <row r="77" spans="10:15" x14ac:dyDescent="0.25">
      <c r="J77" s="8">
        <v>74</v>
      </c>
      <c r="K77" s="21">
        <f>IF($E$20&lt;O77+(O77*($B$5/$E$20)),$E$20,O77+(O77*($B$5/$E$20)))</f>
        <v>854.65610315496497</v>
      </c>
      <c r="L77" s="18">
        <f t="shared" si="10"/>
        <v>616.59724079846831</v>
      </c>
      <c r="M77" s="18">
        <f t="shared" si="11"/>
        <v>238.05886235649666</v>
      </c>
      <c r="N77" s="8">
        <v>0</v>
      </c>
      <c r="O77" s="18">
        <f t="shared" si="12"/>
        <v>137658.91887593712</v>
      </c>
    </row>
    <row r="78" spans="10:15" x14ac:dyDescent="0.25">
      <c r="J78" s="8">
        <v>75</v>
      </c>
      <c r="K78" s="21">
        <f>IF($E$20&lt;O78+(O78*($B$5/$E$20)),$E$20,O78+(O78*($B$5/$E$20)))</f>
        <v>854.65610315496497</v>
      </c>
      <c r="L78" s="18">
        <f t="shared" si="10"/>
        <v>615.53093547749654</v>
      </c>
      <c r="M78" s="18">
        <f t="shared" si="11"/>
        <v>239.12516767746843</v>
      </c>
      <c r="N78" s="8">
        <v>0</v>
      </c>
      <c r="O78" s="18">
        <f t="shared" si="12"/>
        <v>137420.86001358062</v>
      </c>
    </row>
    <row r="79" spans="10:15" x14ac:dyDescent="0.25">
      <c r="J79" s="8">
        <v>76</v>
      </c>
      <c r="K79" s="21">
        <f>IF($E$20&lt;O79+(O79*($B$5/$E$20)),$E$20,O79+(O79*($B$5/$E$20)))</f>
        <v>854.65610315496497</v>
      </c>
      <c r="L79" s="18">
        <f t="shared" si="10"/>
        <v>614.45985399727454</v>
      </c>
      <c r="M79" s="18">
        <f t="shared" si="11"/>
        <v>240.19624915769043</v>
      </c>
      <c r="N79" s="8">
        <v>0</v>
      </c>
      <c r="O79" s="18">
        <f t="shared" si="12"/>
        <v>137181.73484590315</v>
      </c>
    </row>
    <row r="80" spans="10:15" x14ac:dyDescent="0.25">
      <c r="J80" s="8">
        <v>77</v>
      </c>
      <c r="K80" s="21">
        <f>IF($E$20&lt;O80+(O80*($B$5/$E$20)),$E$20,O80+(O80*($B$5/$E$20)))</f>
        <v>854.65610315496497</v>
      </c>
      <c r="L80" s="18">
        <f t="shared" si="10"/>
        <v>613.38397496458902</v>
      </c>
      <c r="M80" s="18">
        <f t="shared" si="11"/>
        <v>241.27212819037595</v>
      </c>
      <c r="N80" s="8">
        <v>0</v>
      </c>
      <c r="O80" s="18">
        <f t="shared" si="12"/>
        <v>136941.53859674546</v>
      </c>
    </row>
    <row r="81" spans="10:15" x14ac:dyDescent="0.25">
      <c r="J81" s="8">
        <v>78</v>
      </c>
      <c r="K81" s="21">
        <f>IF($E$20&lt;O81+(O81*($B$5/$E$20)),$E$20,O81+(O81*($B$5/$E$20)))</f>
        <v>854.65610315496497</v>
      </c>
      <c r="L81" s="18">
        <f t="shared" si="10"/>
        <v>612.30327689040303</v>
      </c>
      <c r="M81" s="18">
        <f t="shared" si="11"/>
        <v>242.35282626456194</v>
      </c>
      <c r="N81" s="8">
        <v>0</v>
      </c>
      <c r="O81" s="18">
        <f t="shared" si="12"/>
        <v>136700.26646855508</v>
      </c>
    </row>
    <row r="82" spans="10:15" x14ac:dyDescent="0.25">
      <c r="J82" s="8">
        <v>79</v>
      </c>
      <c r="K82" s="21">
        <f>IF($E$20&lt;O82+(O82*($B$5/$E$20)),$E$20,O82+(O82*($B$5/$E$20)))</f>
        <v>854.65610315496497</v>
      </c>
      <c r="L82" s="18">
        <f t="shared" si="10"/>
        <v>611.21773818942631</v>
      </c>
      <c r="M82" s="18">
        <f t="shared" si="11"/>
        <v>243.43836496553865</v>
      </c>
      <c r="N82" s="8">
        <v>0</v>
      </c>
      <c r="O82" s="18">
        <f t="shared" si="12"/>
        <v>136457.91364229051</v>
      </c>
    </row>
    <row r="83" spans="10:15" x14ac:dyDescent="0.25">
      <c r="J83" s="8">
        <v>80</v>
      </c>
      <c r="K83" s="21">
        <f>IF($E$20&lt;O83+(O83*($B$5/$E$20)),$E$20,O83+(O83*($B$5/$E$20)))</f>
        <v>854.65610315496497</v>
      </c>
      <c r="L83" s="18">
        <f t="shared" si="10"/>
        <v>610.12733717968479</v>
      </c>
      <c r="M83" s="18">
        <f t="shared" si="11"/>
        <v>244.52876597528018</v>
      </c>
      <c r="N83" s="8">
        <v>0</v>
      </c>
      <c r="O83" s="18">
        <f t="shared" si="12"/>
        <v>136214.47527732496</v>
      </c>
    </row>
    <row r="84" spans="10:15" x14ac:dyDescent="0.25">
      <c r="J84" s="8">
        <v>81</v>
      </c>
      <c r="K84" s="21">
        <f>IF($E$20&lt;O84+(O84*($B$5/$E$20)),$E$20,O84+(O84*($B$5/$E$20)))</f>
        <v>854.65610315496497</v>
      </c>
      <c r="L84" s="18">
        <f t="shared" si="10"/>
        <v>609.03205208208703</v>
      </c>
      <c r="M84" s="18">
        <f t="shared" si="11"/>
        <v>245.62405107287793</v>
      </c>
      <c r="N84" s="8">
        <v>0</v>
      </c>
      <c r="O84" s="18">
        <f t="shared" si="12"/>
        <v>135969.94651134967</v>
      </c>
    </row>
    <row r="85" spans="10:15" x14ac:dyDescent="0.25">
      <c r="J85" s="8">
        <v>82</v>
      </c>
      <c r="K85" s="21">
        <f>IF($E$20&lt;O85+(O85*($B$5/$E$20)),$E$20,O85+(O85*($B$5/$E$20)))</f>
        <v>854.65610315496497</v>
      </c>
      <c r="L85" s="18">
        <f t="shared" si="10"/>
        <v>607.93186101998981</v>
      </c>
      <c r="M85" s="18">
        <f t="shared" si="11"/>
        <v>246.72424213497516</v>
      </c>
      <c r="N85" s="8">
        <v>0</v>
      </c>
      <c r="O85" s="18">
        <f t="shared" si="12"/>
        <v>135724.3224602768</v>
      </c>
    </row>
    <row r="86" spans="10:15" x14ac:dyDescent="0.25">
      <c r="J86" s="8">
        <v>83</v>
      </c>
      <c r="K86" s="21">
        <f>IF($E$20&lt;O86+(O86*($B$5/$E$20)),$E$20,O86+(O86*($B$5/$E$20)))</f>
        <v>854.65610315496497</v>
      </c>
      <c r="L86" s="18">
        <f t="shared" si="10"/>
        <v>606.82674201876023</v>
      </c>
      <c r="M86" s="18">
        <f t="shared" si="11"/>
        <v>247.82936113620474</v>
      </c>
      <c r="N86" s="8">
        <v>0</v>
      </c>
      <c r="O86" s="18">
        <f t="shared" si="12"/>
        <v>135477.59821814182</v>
      </c>
    </row>
    <row r="87" spans="10:15" x14ac:dyDescent="0.25">
      <c r="J87" s="8">
        <v>84</v>
      </c>
      <c r="K87" s="21">
        <f>IF($E$20&lt;O87+(O87*($B$5/$E$20)),$E$20,O87+(O87*($B$5/$E$20)))</f>
        <v>854.65610315496497</v>
      </c>
      <c r="L87" s="18">
        <f t="shared" si="10"/>
        <v>605.71667300533761</v>
      </c>
      <c r="M87" s="18">
        <f t="shared" si="11"/>
        <v>248.93943014962736</v>
      </c>
      <c r="N87" s="8">
        <v>0</v>
      </c>
      <c r="O87" s="18">
        <f t="shared" si="12"/>
        <v>135229.76885700561</v>
      </c>
    </row>
    <row r="88" spans="10:15" x14ac:dyDescent="0.25">
      <c r="J88" s="8">
        <v>85</v>
      </c>
      <c r="K88" s="21">
        <f>IF($E$20&lt;O88+(O88*($B$5/$E$20)),$E$20,O88+(O88*($B$5/$E$20)))</f>
        <v>854.65610315496497</v>
      </c>
      <c r="L88" s="18">
        <f t="shared" si="10"/>
        <v>604.60163180779239</v>
      </c>
      <c r="M88" s="18">
        <f t="shared" si="11"/>
        <v>250.05447134717258</v>
      </c>
      <c r="N88" s="8">
        <v>0</v>
      </c>
      <c r="O88" s="18">
        <f t="shared" si="12"/>
        <v>134980.82942685598</v>
      </c>
    </row>
    <row r="89" spans="10:15" x14ac:dyDescent="0.25">
      <c r="J89" s="8">
        <v>86</v>
      </c>
      <c r="K89" s="21">
        <f>IF($E$20&lt;O89+(O89*($B$5/$E$20)),$E$20,O89+(O89*($B$5/$E$20)))</f>
        <v>854.65610315496497</v>
      </c>
      <c r="L89" s="18">
        <f t="shared" si="10"/>
        <v>603.48159615488328</v>
      </c>
      <c r="M89" s="18">
        <f t="shared" si="11"/>
        <v>251.17450700008169</v>
      </c>
      <c r="N89" s="8">
        <v>0</v>
      </c>
      <c r="O89" s="18">
        <f t="shared" si="12"/>
        <v>134730.77495550882</v>
      </c>
    </row>
    <row r="90" spans="10:15" x14ac:dyDescent="0.25">
      <c r="J90" s="8">
        <v>87</v>
      </c>
      <c r="K90" s="21">
        <f>IF($E$20&lt;O90+(O90*($B$5/$E$20)),$E$20,O90+(O90*($B$5/$E$20)))</f>
        <v>854.65610315496497</v>
      </c>
      <c r="L90" s="18">
        <f t="shared" si="10"/>
        <v>602.3565436756121</v>
      </c>
      <c r="M90" s="18">
        <f t="shared" si="11"/>
        <v>252.29955947935287</v>
      </c>
      <c r="N90" s="8">
        <v>0</v>
      </c>
      <c r="O90" s="18">
        <f t="shared" si="12"/>
        <v>134479.60044850875</v>
      </c>
    </row>
    <row r="91" spans="10:15" x14ac:dyDescent="0.25">
      <c r="J91" s="8">
        <v>88</v>
      </c>
      <c r="K91" s="21">
        <f>IF($E$20&lt;O91+(O91*($B$5/$E$20)),$E$20,O91+(O91*($B$5/$E$20)))</f>
        <v>854.65610315496497</v>
      </c>
      <c r="L91" s="18">
        <f t="shared" si="10"/>
        <v>601.22645189877755</v>
      </c>
      <c r="M91" s="18">
        <f t="shared" si="11"/>
        <v>253.42965125618741</v>
      </c>
      <c r="N91" s="8">
        <v>0</v>
      </c>
      <c r="O91" s="18">
        <f t="shared" si="12"/>
        <v>134227.3008890294</v>
      </c>
    </row>
    <row r="92" spans="10:15" x14ac:dyDescent="0.25">
      <c r="J92" s="8">
        <v>89</v>
      </c>
      <c r="K92" s="21">
        <f>IF($E$20&lt;O92+(O92*($B$5/$E$20)),$E$20,O92+(O92*($B$5/$E$20)))</f>
        <v>854.65610315496497</v>
      </c>
      <c r="L92" s="18">
        <f t="shared" si="10"/>
        <v>600.09129825252592</v>
      </c>
      <c r="M92" s="18">
        <f t="shared" si="11"/>
        <v>254.56480490243905</v>
      </c>
      <c r="N92" s="8">
        <v>0</v>
      </c>
      <c r="O92" s="18">
        <f t="shared" si="12"/>
        <v>133973.87123777322</v>
      </c>
    </row>
    <row r="93" spans="10:15" x14ac:dyDescent="0.25">
      <c r="J93" s="8">
        <v>90</v>
      </c>
      <c r="K93" s="21">
        <f>IF($E$20&lt;O93+(O93*($B$5/$E$20)),$E$20,O93+(O93*($B$5/$E$20)))</f>
        <v>854.65610315496497</v>
      </c>
      <c r="L93" s="18">
        <f t="shared" si="10"/>
        <v>598.95106006390029</v>
      </c>
      <c r="M93" s="18">
        <f t="shared" si="11"/>
        <v>255.70504309106468</v>
      </c>
      <c r="N93" s="8">
        <v>0</v>
      </c>
      <c r="O93" s="18">
        <f t="shared" si="12"/>
        <v>133719.30643287077</v>
      </c>
    </row>
    <row r="94" spans="10:15" x14ac:dyDescent="0.25">
      <c r="J94" s="8">
        <v>91</v>
      </c>
      <c r="K94" s="21">
        <f>IF($E$20&lt;O94+(O94*($B$5/$E$20)),$E$20,O94+(O94*($B$5/$E$20)))</f>
        <v>854.65610315496497</v>
      </c>
      <c r="L94" s="18">
        <f t="shared" si="10"/>
        <v>597.80571455838833</v>
      </c>
      <c r="M94" s="18">
        <f t="shared" si="11"/>
        <v>256.85038859657664</v>
      </c>
      <c r="N94" s="8">
        <v>0</v>
      </c>
      <c r="O94" s="18">
        <f t="shared" si="12"/>
        <v>133463.60138977971</v>
      </c>
    </row>
    <row r="95" spans="10:15" x14ac:dyDescent="0.25">
      <c r="J95" s="8">
        <v>92</v>
      </c>
      <c r="K95" s="21">
        <f>IF($E$20&lt;O95+(O95*($B$5/$E$20)),$E$20,O95+(O95*($B$5/$E$20)))</f>
        <v>854.65610315496497</v>
      </c>
      <c r="L95" s="18">
        <f t="shared" si="10"/>
        <v>596.65523885946607</v>
      </c>
      <c r="M95" s="18">
        <f t="shared" si="11"/>
        <v>258.0008642954989</v>
      </c>
      <c r="N95" s="8">
        <v>0</v>
      </c>
      <c r="O95" s="18">
        <f t="shared" si="12"/>
        <v>133206.75100118312</v>
      </c>
    </row>
    <row r="96" spans="10:15" x14ac:dyDescent="0.25">
      <c r="J96" s="8">
        <v>93</v>
      </c>
      <c r="K96" s="21">
        <f>IF($E$20&lt;O96+(O96*($B$5/$E$20)),$E$20,O96+(O96*($B$5/$E$20)))</f>
        <v>854.65610315496497</v>
      </c>
      <c r="L96" s="18">
        <f t="shared" si="10"/>
        <v>595.49960998814242</v>
      </c>
      <c r="M96" s="18">
        <f t="shared" si="11"/>
        <v>259.15649316682254</v>
      </c>
      <c r="N96" s="8">
        <v>0</v>
      </c>
      <c r="O96" s="18">
        <f t="shared" si="12"/>
        <v>132948.75013688763</v>
      </c>
    </row>
    <row r="97" spans="10:15" x14ac:dyDescent="0.25">
      <c r="J97" s="8">
        <v>94</v>
      </c>
      <c r="K97" s="21">
        <f>IF($E$20&lt;O97+(O97*($B$5/$E$20)),$E$20,O97+(O97*($B$5/$E$20)))</f>
        <v>854.65610315496497</v>
      </c>
      <c r="L97" s="18">
        <f t="shared" si="10"/>
        <v>594.3388048624995</v>
      </c>
      <c r="M97" s="18">
        <f t="shared" si="11"/>
        <v>260.31729829246547</v>
      </c>
      <c r="N97" s="8">
        <v>0</v>
      </c>
      <c r="O97" s="18">
        <f t="shared" si="12"/>
        <v>132689.59364372081</v>
      </c>
    </row>
    <row r="98" spans="10:15" x14ac:dyDescent="0.25">
      <c r="J98" s="8">
        <v>95</v>
      </c>
      <c r="K98" s="21">
        <f>IF($E$20&lt;O98+(O98*($B$5/$E$20)),$E$20,O98+(O98*($B$5/$E$20)))</f>
        <v>854.65610315496497</v>
      </c>
      <c r="L98" s="18">
        <f t="shared" si="10"/>
        <v>593.17280029723111</v>
      </c>
      <c r="M98" s="18">
        <f t="shared" si="11"/>
        <v>261.48330285773386</v>
      </c>
      <c r="N98" s="8">
        <v>0</v>
      </c>
      <c r="O98" s="18">
        <f t="shared" si="12"/>
        <v>132429.27634542834</v>
      </c>
    </row>
    <row r="99" spans="10:15" x14ac:dyDescent="0.25">
      <c r="J99" s="8">
        <v>96</v>
      </c>
      <c r="K99" s="21">
        <f>IF($E$20&lt;O99+(O99*($B$5/$E$20)),$E$20,O99+(O99*($B$5/$E$20)))</f>
        <v>854.65610315496497</v>
      </c>
      <c r="L99" s="18">
        <f t="shared" si="10"/>
        <v>592.00157300318085</v>
      </c>
      <c r="M99" s="18">
        <f t="shared" si="11"/>
        <v>262.65453015178412</v>
      </c>
      <c r="N99" s="8">
        <v>0</v>
      </c>
      <c r="O99" s="18">
        <f t="shared" si="12"/>
        <v>132167.79304257061</v>
      </c>
    </row>
    <row r="100" spans="10:15" x14ac:dyDescent="0.25">
      <c r="J100" s="8">
        <v>97</v>
      </c>
      <c r="K100" s="21">
        <f>IF($E$20&lt;O100+(O100*($B$5/$E$20)),$E$20,O100+(O100*($B$5/$E$20)))</f>
        <v>854.65610315496497</v>
      </c>
      <c r="L100" s="18">
        <f t="shared" si="10"/>
        <v>590.82509958687604</v>
      </c>
      <c r="M100" s="18">
        <f t="shared" si="11"/>
        <v>263.83100356808893</v>
      </c>
      <c r="N100" s="8">
        <v>0</v>
      </c>
      <c r="O100" s="18">
        <f t="shared" si="12"/>
        <v>131905.13851241884</v>
      </c>
    </row>
    <row r="101" spans="10:15" x14ac:dyDescent="0.25">
      <c r="J101" s="8">
        <v>98</v>
      </c>
      <c r="K101" s="21">
        <f>IF($E$20&lt;O101+(O101*($B$5/$E$20)),$E$20,O101+(O101*($B$5/$E$20)))</f>
        <v>854.65610315496497</v>
      </c>
      <c r="L101" s="18">
        <f t="shared" si="10"/>
        <v>589.64335655006073</v>
      </c>
      <c r="M101" s="18">
        <f t="shared" si="11"/>
        <v>265.01274660490424</v>
      </c>
      <c r="N101" s="8">
        <v>0</v>
      </c>
      <c r="O101" s="18">
        <f t="shared" si="12"/>
        <v>131641.30750885076</v>
      </c>
    </row>
    <row r="102" spans="10:15" x14ac:dyDescent="0.25">
      <c r="J102" s="8">
        <v>99</v>
      </c>
      <c r="K102" s="21">
        <f>IF($E$20&lt;O102+(O102*($B$5/$E$20)),$E$20,O102+(O102*($B$5/$E$20)))</f>
        <v>854.65610315496497</v>
      </c>
      <c r="L102" s="18">
        <f t="shared" si="10"/>
        <v>588.45632028922614</v>
      </c>
      <c r="M102" s="18">
        <f t="shared" si="11"/>
        <v>266.19978286573883</v>
      </c>
      <c r="N102" s="8">
        <v>0</v>
      </c>
      <c r="O102" s="18">
        <f t="shared" si="12"/>
        <v>131376.29476224585</v>
      </c>
    </row>
    <row r="103" spans="10:15" x14ac:dyDescent="0.25">
      <c r="J103" s="8">
        <v>100</v>
      </c>
      <c r="K103" s="21">
        <f>IF($E$20&lt;O103+(O103*($B$5/$E$20)),$E$20,O103+(O103*($B$5/$E$20)))</f>
        <v>854.65610315496497</v>
      </c>
      <c r="L103" s="18">
        <f t="shared" si="10"/>
        <v>587.26396709514006</v>
      </c>
      <c r="M103" s="18">
        <f t="shared" si="11"/>
        <v>267.39213605982491</v>
      </c>
      <c r="N103" s="8">
        <v>0</v>
      </c>
      <c r="O103" s="18">
        <f t="shared" si="12"/>
        <v>131110.09497938011</v>
      </c>
    </row>
    <row r="104" spans="10:15" x14ac:dyDescent="0.25">
      <c r="J104" s="8">
        <v>101</v>
      </c>
      <c r="K104" s="21">
        <f>IF($E$20&lt;O104+(O104*($B$5/$E$20)),$E$20,O104+(O104*($B$5/$E$20)))</f>
        <v>854.65610315496497</v>
      </c>
      <c r="L104" s="18">
        <f t="shared" si="10"/>
        <v>586.0662731523721</v>
      </c>
      <c r="M104" s="18">
        <f t="shared" si="11"/>
        <v>268.58983000259286</v>
      </c>
      <c r="N104" s="8">
        <v>0</v>
      </c>
      <c r="O104" s="18">
        <f t="shared" si="12"/>
        <v>130842.70284332029</v>
      </c>
    </row>
    <row r="105" spans="10:15" x14ac:dyDescent="0.25">
      <c r="J105" s="8">
        <v>102</v>
      </c>
      <c r="K105" s="21">
        <f>IF($E$20&lt;O105+(O105*($B$5/$E$20)),$E$20,O105+(O105*($B$5/$E$20)))</f>
        <v>854.65610315496497</v>
      </c>
      <c r="L105" s="18">
        <f t="shared" si="10"/>
        <v>584.86321453881885</v>
      </c>
      <c r="M105" s="18">
        <f t="shared" si="11"/>
        <v>269.79288861614612</v>
      </c>
      <c r="N105" s="8">
        <v>0</v>
      </c>
      <c r="O105" s="18">
        <f t="shared" si="12"/>
        <v>130574.11301331771</v>
      </c>
    </row>
    <row r="106" spans="10:15" x14ac:dyDescent="0.25">
      <c r="J106" s="8">
        <v>103</v>
      </c>
      <c r="K106" s="21">
        <f>IF($E$20&lt;O106+(O106*($B$5/$E$20)),$E$20,O106+(O106*($B$5/$E$20)))</f>
        <v>854.65610315496497</v>
      </c>
      <c r="L106" s="18">
        <f t="shared" si="10"/>
        <v>583.65476722522578</v>
      </c>
      <c r="M106" s="18">
        <f t="shared" si="11"/>
        <v>271.00133592973918</v>
      </c>
      <c r="N106" s="8">
        <v>0</v>
      </c>
      <c r="O106" s="18">
        <f t="shared" si="12"/>
        <v>130304.32012470157</v>
      </c>
    </row>
    <row r="107" spans="10:15" x14ac:dyDescent="0.25">
      <c r="J107" s="8">
        <v>104</v>
      </c>
      <c r="K107" s="21">
        <f>IF($E$20&lt;O107+(O107*($B$5/$E$20)),$E$20,O107+(O107*($B$5/$E$20)))</f>
        <v>854.65610315496497</v>
      </c>
      <c r="L107" s="18">
        <f t="shared" si="10"/>
        <v>582.44090707470707</v>
      </c>
      <c r="M107" s="18">
        <f t="shared" si="11"/>
        <v>272.2151960802579</v>
      </c>
      <c r="N107" s="8">
        <v>0</v>
      </c>
      <c r="O107" s="18">
        <f t="shared" si="12"/>
        <v>130033.31878877182</v>
      </c>
    </row>
    <row r="108" spans="10:15" x14ac:dyDescent="0.25">
      <c r="J108" s="8">
        <v>105</v>
      </c>
      <c r="K108" s="21">
        <f>IF($E$20&lt;O108+(O108*($B$5/$E$20)),$E$20,O108+(O108*($B$5/$E$20)))</f>
        <v>854.65610315496497</v>
      </c>
      <c r="L108" s="18">
        <f t="shared" si="10"/>
        <v>581.22160984226423</v>
      </c>
      <c r="M108" s="18">
        <f t="shared" si="11"/>
        <v>273.43449331270074</v>
      </c>
      <c r="N108" s="8">
        <v>0</v>
      </c>
      <c r="O108" s="18">
        <f t="shared" si="12"/>
        <v>129761.10359269156</v>
      </c>
    </row>
    <row r="109" spans="10:15" x14ac:dyDescent="0.25">
      <c r="J109" s="8">
        <v>106</v>
      </c>
      <c r="K109" s="21">
        <f>IF($E$20&lt;O109+(O109*($B$5/$E$20)),$E$20,O109+(O109*($B$5/$E$20)))</f>
        <v>854.65610315496497</v>
      </c>
      <c r="L109" s="18">
        <f t="shared" si="10"/>
        <v>579.99685117430113</v>
      </c>
      <c r="M109" s="18">
        <f t="shared" si="11"/>
        <v>274.65925198066384</v>
      </c>
      <c r="N109" s="8">
        <v>0</v>
      </c>
      <c r="O109" s="18">
        <f t="shared" si="12"/>
        <v>129487.66909937887</v>
      </c>
    </row>
    <row r="110" spans="10:15" x14ac:dyDescent="0.25">
      <c r="J110" s="8">
        <v>107</v>
      </c>
      <c r="K110" s="21">
        <f>IF($E$20&lt;O110+(O110*($B$5/$E$20)),$E$20,O110+(O110*($B$5/$E$20)))</f>
        <v>854.65610315496497</v>
      </c>
      <c r="L110" s="18">
        <f t="shared" si="10"/>
        <v>578.76660660813775</v>
      </c>
      <c r="M110" s="18">
        <f t="shared" si="11"/>
        <v>275.88949654682722</v>
      </c>
      <c r="N110" s="8">
        <v>0</v>
      </c>
      <c r="O110" s="18">
        <f t="shared" si="12"/>
        <v>129213.00984739821</v>
      </c>
    </row>
    <row r="111" spans="10:15" x14ac:dyDescent="0.25">
      <c r="J111" s="8">
        <v>108</v>
      </c>
      <c r="K111" s="21">
        <f>IF($E$20&lt;O111+(O111*($B$5/$E$20)),$E$20,O111+(O111*($B$5/$E$20)))</f>
        <v>854.65610315496497</v>
      </c>
      <c r="L111" s="18">
        <f t="shared" si="10"/>
        <v>577.53085157152179</v>
      </c>
      <c r="M111" s="18">
        <f t="shared" si="11"/>
        <v>277.12525158344317</v>
      </c>
      <c r="N111" s="8">
        <v>0</v>
      </c>
      <c r="O111" s="18">
        <f t="shared" si="12"/>
        <v>128937.12035085139</v>
      </c>
    </row>
    <row r="112" spans="10:15" x14ac:dyDescent="0.25">
      <c r="J112" s="8">
        <v>109</v>
      </c>
      <c r="K112" s="21">
        <f>IF($E$20&lt;O112+(O112*($B$5/$E$20)),$E$20,O112+(O112*($B$5/$E$20)))</f>
        <v>854.65610315496497</v>
      </c>
      <c r="L112" s="18">
        <f t="shared" si="10"/>
        <v>576.28956138213766</v>
      </c>
      <c r="M112" s="18">
        <f t="shared" si="11"/>
        <v>278.3665417728273</v>
      </c>
      <c r="N112" s="8">
        <v>0</v>
      </c>
      <c r="O112" s="18">
        <f t="shared" si="12"/>
        <v>128659.99509926794</v>
      </c>
    </row>
    <row r="113" spans="10:15" x14ac:dyDescent="0.25">
      <c r="J113" s="8">
        <v>110</v>
      </c>
      <c r="K113" s="21">
        <f>IF($E$20&lt;O113+(O113*($B$5/$E$20)),$E$20,O113+(O113*($B$5/$E$20)))</f>
        <v>854.65610315496497</v>
      </c>
      <c r="L113" s="18">
        <f t="shared" si="10"/>
        <v>575.04271124711352</v>
      </c>
      <c r="M113" s="18">
        <f t="shared" si="11"/>
        <v>279.61339190785145</v>
      </c>
      <c r="N113" s="8">
        <v>0</v>
      </c>
      <c r="O113" s="18">
        <f t="shared" si="12"/>
        <v>128381.6285574951</v>
      </c>
    </row>
    <row r="114" spans="10:15" x14ac:dyDescent="0.25">
      <c r="J114" s="8">
        <v>111</v>
      </c>
      <c r="K114" s="21">
        <f>IF($E$20&lt;O114+(O114*($B$5/$E$20)),$E$20,O114+(O114*($B$5/$E$20)))</f>
        <v>854.65610315496497</v>
      </c>
      <c r="L114" s="18">
        <f t="shared" si="10"/>
        <v>573.79027626252616</v>
      </c>
      <c r="M114" s="18">
        <f t="shared" si="11"/>
        <v>280.8658268924388</v>
      </c>
      <c r="N114" s="8">
        <v>0</v>
      </c>
      <c r="O114" s="18">
        <f t="shared" si="12"/>
        <v>128102.01516558725</v>
      </c>
    </row>
    <row r="115" spans="10:15" x14ac:dyDescent="0.25">
      <c r="J115" s="8">
        <v>112</v>
      </c>
      <c r="K115" s="21">
        <f>IF($E$20&lt;O115+(O115*($B$5/$E$20)),$E$20,O115+(O115*($B$5/$E$20)))</f>
        <v>854.65610315496497</v>
      </c>
      <c r="L115" s="18">
        <f t="shared" si="10"/>
        <v>572.5322314129038</v>
      </c>
      <c r="M115" s="18">
        <f t="shared" si="11"/>
        <v>282.12387174206117</v>
      </c>
      <c r="N115" s="8">
        <v>0</v>
      </c>
      <c r="O115" s="18">
        <f t="shared" si="12"/>
        <v>127821.14933869481</v>
      </c>
    </row>
    <row r="116" spans="10:15" x14ac:dyDescent="0.25">
      <c r="J116" s="8">
        <v>113</v>
      </c>
      <c r="K116" s="21">
        <f>IF($E$20&lt;O116+(O116*($B$5/$E$20)),$E$20,O116+(O116*($B$5/$E$20)))</f>
        <v>854.65610315496497</v>
      </c>
      <c r="L116" s="18">
        <f t="shared" si="10"/>
        <v>571.26855157072589</v>
      </c>
      <c r="M116" s="18">
        <f t="shared" si="11"/>
        <v>283.38755158423908</v>
      </c>
      <c r="N116" s="8">
        <v>0</v>
      </c>
      <c r="O116" s="18">
        <f t="shared" si="12"/>
        <v>127539.02546695275</v>
      </c>
    </row>
    <row r="117" spans="10:15" x14ac:dyDescent="0.25">
      <c r="J117" s="8">
        <v>114</v>
      </c>
      <c r="K117" s="21">
        <f>IF($E$20&lt;O117+(O117*($B$5/$E$20)),$E$20,O117+(O117*($B$5/$E$20)))</f>
        <v>854.65610315496497</v>
      </c>
      <c r="L117" s="18">
        <f t="shared" si="10"/>
        <v>569.99921149592149</v>
      </c>
      <c r="M117" s="18">
        <f t="shared" si="11"/>
        <v>284.65689165904348</v>
      </c>
      <c r="N117" s="8">
        <v>0</v>
      </c>
      <c r="O117" s="18">
        <f t="shared" si="12"/>
        <v>127255.63791536851</v>
      </c>
    </row>
    <row r="118" spans="10:15" x14ac:dyDescent="0.25">
      <c r="J118" s="8">
        <v>115</v>
      </c>
      <c r="K118" s="21">
        <f>IF($E$20&lt;O118+(O118*($B$5/$E$20)),$E$20,O118+(O118*($B$5/$E$20)))</f>
        <v>854.65610315496497</v>
      </c>
      <c r="L118" s="18">
        <f t="shared" si="10"/>
        <v>568.72418583536535</v>
      </c>
      <c r="M118" s="18">
        <f t="shared" si="11"/>
        <v>285.93191731959962</v>
      </c>
      <c r="N118" s="8">
        <v>0</v>
      </c>
      <c r="O118" s="18">
        <f t="shared" si="12"/>
        <v>126970.98102370946</v>
      </c>
    </row>
    <row r="119" spans="10:15" x14ac:dyDescent="0.25">
      <c r="J119" s="8">
        <v>116</v>
      </c>
      <c r="K119" s="21">
        <f>IF($E$20&lt;O119+(O119*($B$5/$E$20)),$E$20,O119+(O119*($B$5/$E$20)))</f>
        <v>854.65610315496497</v>
      </c>
      <c r="L119" s="18">
        <f t="shared" si="10"/>
        <v>567.44344912237125</v>
      </c>
      <c r="M119" s="18">
        <f t="shared" si="11"/>
        <v>287.21265403259372</v>
      </c>
      <c r="N119" s="8">
        <v>0</v>
      </c>
      <c r="O119" s="18">
        <f t="shared" si="12"/>
        <v>126685.04910638987</v>
      </c>
    </row>
    <row r="120" spans="10:15" x14ac:dyDescent="0.25">
      <c r="J120" s="8">
        <v>117</v>
      </c>
      <c r="K120" s="21">
        <f>IF($E$20&lt;O120+(O120*($B$5/$E$20)),$E$20,O120+(O120*($B$5/$E$20)))</f>
        <v>854.65610315496497</v>
      </c>
      <c r="L120" s="18">
        <f t="shared" si="10"/>
        <v>566.15697577618357</v>
      </c>
      <c r="M120" s="18">
        <f t="shared" si="11"/>
        <v>288.4991273787814</v>
      </c>
      <c r="N120" s="8">
        <v>0</v>
      </c>
      <c r="O120" s="18">
        <f t="shared" si="12"/>
        <v>126397.83645235727</v>
      </c>
    </row>
    <row r="121" spans="10:15" x14ac:dyDescent="0.25">
      <c r="J121" s="8">
        <v>118</v>
      </c>
      <c r="K121" s="21">
        <f>IF($E$20&lt;O121+(O121*($B$5/$E$20)),$E$20,O121+(O121*($B$5/$E$20)))</f>
        <v>854.65610315496497</v>
      </c>
      <c r="L121" s="18">
        <f t="shared" si="10"/>
        <v>564.86474010146617</v>
      </c>
      <c r="M121" s="18">
        <f t="shared" si="11"/>
        <v>289.7913630534988</v>
      </c>
      <c r="N121" s="8">
        <v>0</v>
      </c>
      <c r="O121" s="18">
        <f t="shared" si="12"/>
        <v>126109.33732497849</v>
      </c>
    </row>
    <row r="122" spans="10:15" x14ac:dyDescent="0.25">
      <c r="J122" s="8">
        <v>119</v>
      </c>
      <c r="K122" s="21">
        <f>IF($E$20&lt;O122+(O122*($B$5/$E$20)),$E$20,O122+(O122*($B$5/$E$20)))</f>
        <v>854.65610315496497</v>
      </c>
      <c r="L122" s="18">
        <f t="shared" si="10"/>
        <v>563.56671628778906</v>
      </c>
      <c r="M122" s="18">
        <f t="shared" si="11"/>
        <v>291.0893868671759</v>
      </c>
      <c r="N122" s="8">
        <v>0</v>
      </c>
      <c r="O122" s="18">
        <f t="shared" si="12"/>
        <v>125819.54596192499</v>
      </c>
    </row>
    <row r="123" spans="10:15" x14ac:dyDescent="0.25">
      <c r="J123" s="8">
        <v>120</v>
      </c>
      <c r="K123" s="21">
        <f>IF($E$20&lt;O123+(O123*($B$5/$E$20)),$E$20,O123+(O123*($B$5/$E$20)))</f>
        <v>854.65610315496497</v>
      </c>
      <c r="L123" s="18">
        <f t="shared" si="10"/>
        <v>562.26287840911311</v>
      </c>
      <c r="M123" s="18">
        <f t="shared" si="11"/>
        <v>292.39322474585185</v>
      </c>
      <c r="N123" s="8">
        <v>0</v>
      </c>
      <c r="O123" s="18">
        <f t="shared" si="12"/>
        <v>125528.45657505782</v>
      </c>
    </row>
    <row r="124" spans="10:15" x14ac:dyDescent="0.25">
      <c r="J124" s="8">
        <v>121</v>
      </c>
      <c r="K124" s="21">
        <f>IF($E$20&lt;O124+(O124*($B$5/$E$20)),$E$20,O124+(O124*($B$5/$E$20)))</f>
        <v>854.65610315496497</v>
      </c>
      <c r="L124" s="18">
        <f t="shared" si="10"/>
        <v>560.95320042327228</v>
      </c>
      <c r="M124" s="18">
        <f t="shared" si="11"/>
        <v>293.70290273169269</v>
      </c>
      <c r="N124" s="8">
        <v>0</v>
      </c>
      <c r="O124" s="18">
        <f t="shared" si="12"/>
        <v>125236.06335031196</v>
      </c>
    </row>
    <row r="125" spans="10:15" x14ac:dyDescent="0.25">
      <c r="J125" s="8">
        <v>122</v>
      </c>
      <c r="K125" s="21">
        <f>IF($E$20&lt;O125+(O125*($B$5/$E$20)),$E$20,O125+(O125*($B$5/$E$20)))</f>
        <v>854.65610315496497</v>
      </c>
      <c r="L125" s="18">
        <f t="shared" si="10"/>
        <v>559.63765617145327</v>
      </c>
      <c r="M125" s="18">
        <f t="shared" si="11"/>
        <v>295.01844698351169</v>
      </c>
      <c r="N125" s="8">
        <v>0</v>
      </c>
      <c r="O125" s="18">
        <f t="shared" si="12"/>
        <v>124942.36044758027</v>
      </c>
    </row>
    <row r="126" spans="10:15" x14ac:dyDescent="0.25">
      <c r="J126" s="8">
        <v>123</v>
      </c>
      <c r="K126" s="21">
        <f>IF($E$20&lt;O126+(O126*($B$5/$E$20)),$E$20,O126+(O126*($B$5/$E$20)))</f>
        <v>854.65610315496497</v>
      </c>
      <c r="L126" s="18">
        <f t="shared" si="10"/>
        <v>558.31621937767306</v>
      </c>
      <c r="M126" s="18">
        <f t="shared" si="11"/>
        <v>296.3398837772919</v>
      </c>
      <c r="N126" s="8">
        <v>0</v>
      </c>
      <c r="O126" s="18">
        <f t="shared" si="12"/>
        <v>124647.34200059676</v>
      </c>
    </row>
    <row r="127" spans="10:15" x14ac:dyDescent="0.25">
      <c r="J127" s="8">
        <v>124</v>
      </c>
      <c r="K127" s="21">
        <f>IF($E$20&lt;O127+(O127*($B$5/$E$20)),$E$20,O127+(O127*($B$5/$E$20)))</f>
        <v>854.65610315496497</v>
      </c>
      <c r="L127" s="18">
        <f t="shared" si="10"/>
        <v>556.98886364825387</v>
      </c>
      <c r="M127" s="18">
        <f t="shared" si="11"/>
        <v>297.6672395067111</v>
      </c>
      <c r="N127" s="8">
        <v>0</v>
      </c>
      <c r="O127" s="18">
        <f t="shared" si="12"/>
        <v>124351.00211681947</v>
      </c>
    </row>
    <row r="128" spans="10:15" x14ac:dyDescent="0.25">
      <c r="J128" s="8">
        <v>125</v>
      </c>
      <c r="K128" s="21">
        <f>IF($E$20&lt;O128+(O128*($B$5/$E$20)),$E$20,O128+(O128*($B$5/$E$20)))</f>
        <v>854.65610315496497</v>
      </c>
      <c r="L128" s="18">
        <f t="shared" si="10"/>
        <v>555.65556247129666</v>
      </c>
      <c r="M128" s="18">
        <f t="shared" si="11"/>
        <v>299.00054068366831</v>
      </c>
      <c r="N128" s="8">
        <v>0</v>
      </c>
      <c r="O128" s="18">
        <f t="shared" si="12"/>
        <v>124053.33487731275</v>
      </c>
    </row>
    <row r="129" spans="10:15" x14ac:dyDescent="0.25">
      <c r="J129" s="8">
        <v>126</v>
      </c>
      <c r="K129" s="21">
        <f>IF($E$20&lt;O129+(O129*($B$5/$E$20)),$E$20,O129+(O129*($B$5/$E$20)))</f>
        <v>854.65610315496497</v>
      </c>
      <c r="L129" s="18">
        <f t="shared" si="10"/>
        <v>554.31628921615106</v>
      </c>
      <c r="M129" s="18">
        <f t="shared" si="11"/>
        <v>300.3398139388139</v>
      </c>
      <c r="N129" s="8">
        <v>0</v>
      </c>
      <c r="O129" s="18">
        <f t="shared" si="12"/>
        <v>123754.33433662908</v>
      </c>
    </row>
    <row r="130" spans="10:15" x14ac:dyDescent="0.25">
      <c r="J130" s="8">
        <v>127</v>
      </c>
      <c r="K130" s="21">
        <f>IF($E$20&lt;O130+(O130*($B$5/$E$20)),$E$20,O130+(O130*($B$5/$E$20)))</f>
        <v>854.65610315496497</v>
      </c>
      <c r="L130" s="18">
        <f t="shared" si="10"/>
        <v>552.9710171328835</v>
      </c>
      <c r="M130" s="18">
        <f t="shared" si="11"/>
        <v>301.68508602208146</v>
      </c>
      <c r="N130" s="8">
        <v>0</v>
      </c>
      <c r="O130" s="18">
        <f t="shared" si="12"/>
        <v>123453.99452269026</v>
      </c>
    </row>
    <row r="131" spans="10:15" x14ac:dyDescent="0.25">
      <c r="J131" s="8">
        <v>128</v>
      </c>
      <c r="K131" s="21">
        <f>IF($E$20&lt;O131+(O131*($B$5/$E$20)),$E$20,O131+(O131*($B$5/$E$20)))</f>
        <v>854.65610315496497</v>
      </c>
      <c r="L131" s="18">
        <f t="shared" ref="L131:L194" si="13">O131*$B$5/$B$4</f>
        <v>551.6197193517429</v>
      </c>
      <c r="M131" s="18">
        <f t="shared" si="11"/>
        <v>303.03638380322207</v>
      </c>
      <c r="N131" s="8">
        <v>0</v>
      </c>
      <c r="O131" s="18">
        <f t="shared" si="12"/>
        <v>123152.30943666818</v>
      </c>
    </row>
    <row r="132" spans="10:15" x14ac:dyDescent="0.25">
      <c r="J132" s="8">
        <v>129</v>
      </c>
      <c r="K132" s="21">
        <f>IF($E$20&lt;O132+(O132*($B$5/$E$20)),$E$20,O132+(O132*($B$5/$E$20)))</f>
        <v>854.65610315496497</v>
      </c>
      <c r="L132" s="18">
        <f t="shared" si="13"/>
        <v>550.26236888262429</v>
      </c>
      <c r="M132" s="18">
        <f t="shared" si="11"/>
        <v>304.39373427234068</v>
      </c>
      <c r="N132" s="8">
        <v>0</v>
      </c>
      <c r="O132" s="18">
        <f t="shared" si="12"/>
        <v>122849.27305286496</v>
      </c>
    </row>
    <row r="133" spans="10:15" x14ac:dyDescent="0.25">
      <c r="J133" s="8">
        <v>130</v>
      </c>
      <c r="K133" s="21">
        <f>IF($E$20&lt;O133+(O133*($B$5/$E$20)),$E$20,O133+(O133*($B$5/$E$20)))</f>
        <v>854.65610315496497</v>
      </c>
      <c r="L133" s="18">
        <f t="shared" si="13"/>
        <v>548.89893861452936</v>
      </c>
      <c r="M133" s="18">
        <f t="shared" ref="M133:M196" si="14">K133-L133</f>
        <v>305.75716454043561</v>
      </c>
      <c r="N133" s="8">
        <v>0</v>
      </c>
      <c r="O133" s="18">
        <f t="shared" ref="O133:O196" si="15">O132-M132-N132</f>
        <v>122544.87931859262</v>
      </c>
    </row>
    <row r="134" spans="10:15" x14ac:dyDescent="0.25">
      <c r="J134" s="8">
        <v>131</v>
      </c>
      <c r="K134" s="21">
        <f>IF($E$20&lt;O134+(O134*($B$5/$E$20)),$E$20,O134+(O134*($B$5/$E$20)))</f>
        <v>854.65610315496497</v>
      </c>
      <c r="L134" s="18">
        <f t="shared" si="13"/>
        <v>547.52940131502544</v>
      </c>
      <c r="M134" s="18">
        <f t="shared" si="14"/>
        <v>307.12670183993953</v>
      </c>
      <c r="N134" s="8">
        <v>0</v>
      </c>
      <c r="O134" s="18">
        <f t="shared" si="15"/>
        <v>122239.12215405218</v>
      </c>
    </row>
    <row r="135" spans="10:15" x14ac:dyDescent="0.25">
      <c r="J135" s="8">
        <v>132</v>
      </c>
      <c r="K135" s="21">
        <f>IF($E$20&lt;O135+(O135*($B$5/$E$20)),$E$20,O135+(O135*($B$5/$E$20)))</f>
        <v>854.65610315496497</v>
      </c>
      <c r="L135" s="18">
        <f t="shared" si="13"/>
        <v>546.15372962970071</v>
      </c>
      <c r="M135" s="18">
        <f t="shared" si="14"/>
        <v>308.50237352526426</v>
      </c>
      <c r="N135" s="8">
        <v>0</v>
      </c>
      <c r="O135" s="18">
        <f t="shared" si="15"/>
        <v>121931.99545221224</v>
      </c>
    </row>
    <row r="136" spans="10:15" x14ac:dyDescent="0.25">
      <c r="J136" s="8">
        <v>133</v>
      </c>
      <c r="K136" s="21">
        <f>IF($E$20&lt;O136+(O136*($B$5/$E$20)),$E$20,O136+(O136*($B$5/$E$20)))</f>
        <v>854.65610315496497</v>
      </c>
      <c r="L136" s="18">
        <f t="shared" si="13"/>
        <v>544.77189608161882</v>
      </c>
      <c r="M136" s="18">
        <f t="shared" si="14"/>
        <v>309.88420707334615</v>
      </c>
      <c r="N136" s="8">
        <v>0</v>
      </c>
      <c r="O136" s="18">
        <f t="shared" si="15"/>
        <v>121623.49307868698</v>
      </c>
    </row>
    <row r="137" spans="10:15" x14ac:dyDescent="0.25">
      <c r="J137" s="8">
        <v>134</v>
      </c>
      <c r="K137" s="21">
        <f>IF($E$20&lt;O137+(O137*($B$5/$E$20)),$E$20,O137+(O137*($B$5/$E$20)))</f>
        <v>854.65610315496497</v>
      </c>
      <c r="L137" s="18">
        <f t="shared" si="13"/>
        <v>543.38387307076937</v>
      </c>
      <c r="M137" s="18">
        <f t="shared" si="14"/>
        <v>311.2722300841956</v>
      </c>
      <c r="N137" s="8">
        <v>0</v>
      </c>
      <c r="O137" s="18">
        <f t="shared" si="15"/>
        <v>121313.60887161363</v>
      </c>
    </row>
    <row r="138" spans="10:15" x14ac:dyDescent="0.25">
      <c r="J138" s="8">
        <v>135</v>
      </c>
      <c r="K138" s="21">
        <f>IF($E$20&lt;O138+(O138*($B$5/$E$20)),$E$20,O138+(O138*($B$5/$E$20)))</f>
        <v>854.65610315496497</v>
      </c>
      <c r="L138" s="18">
        <f t="shared" si="13"/>
        <v>541.98963287351728</v>
      </c>
      <c r="M138" s="18">
        <f t="shared" si="14"/>
        <v>312.66647028144769</v>
      </c>
      <c r="N138" s="8">
        <v>0</v>
      </c>
      <c r="O138" s="18">
        <f t="shared" si="15"/>
        <v>121002.33664152943</v>
      </c>
    </row>
    <row r="139" spans="10:15" x14ac:dyDescent="0.25">
      <c r="J139" s="8">
        <v>136</v>
      </c>
      <c r="K139" s="21">
        <f>IF($E$20&lt;O139+(O139*($B$5/$E$20)),$E$20,O139+(O139*($B$5/$E$20)))</f>
        <v>854.65610315496497</v>
      </c>
      <c r="L139" s="18">
        <f t="shared" si="13"/>
        <v>540.58914764204826</v>
      </c>
      <c r="M139" s="18">
        <f t="shared" si="14"/>
        <v>314.06695551291671</v>
      </c>
      <c r="N139" s="8">
        <v>0</v>
      </c>
      <c r="O139" s="18">
        <f t="shared" si="15"/>
        <v>120689.67017124798</v>
      </c>
    </row>
    <row r="140" spans="10:15" x14ac:dyDescent="0.25">
      <c r="J140" s="8">
        <v>137</v>
      </c>
      <c r="K140" s="21">
        <f>IF($E$20&lt;O140+(O140*($B$5/$E$20)),$E$20,O140+(O140*($B$5/$E$20)))</f>
        <v>854.65610315496497</v>
      </c>
      <c r="L140" s="18">
        <f t="shared" si="13"/>
        <v>539.18238940381332</v>
      </c>
      <c r="M140" s="18">
        <f t="shared" si="14"/>
        <v>315.47371375115165</v>
      </c>
      <c r="N140" s="8">
        <v>0</v>
      </c>
      <c r="O140" s="18">
        <f t="shared" si="15"/>
        <v>120375.60321573507</v>
      </c>
    </row>
    <row r="141" spans="10:15" x14ac:dyDescent="0.25">
      <c r="J141" s="8">
        <v>138</v>
      </c>
      <c r="K141" s="21">
        <f>IF($E$20&lt;O141+(O141*($B$5/$E$20)),$E$20,O141+(O141*($B$5/$E$20)))</f>
        <v>854.65610315496497</v>
      </c>
      <c r="L141" s="18">
        <f t="shared" si="13"/>
        <v>537.76933006096965</v>
      </c>
      <c r="M141" s="18">
        <f t="shared" si="14"/>
        <v>316.88677309399532</v>
      </c>
      <c r="N141" s="8">
        <v>0</v>
      </c>
      <c r="O141" s="18">
        <f t="shared" si="15"/>
        <v>120060.12950198392</v>
      </c>
    </row>
    <row r="142" spans="10:15" x14ac:dyDescent="0.25">
      <c r="J142" s="8">
        <v>139</v>
      </c>
      <c r="K142" s="21">
        <f>IF($E$20&lt;O142+(O142*($B$5/$E$20)),$E$20,O142+(O142*($B$5/$E$20)))</f>
        <v>854.65610315496497</v>
      </c>
      <c r="L142" s="18">
        <f t="shared" si="13"/>
        <v>536.34994138981949</v>
      </c>
      <c r="M142" s="18">
        <f t="shared" si="14"/>
        <v>318.30616176514548</v>
      </c>
      <c r="N142" s="8">
        <v>0</v>
      </c>
      <c r="O142" s="18">
        <f t="shared" si="15"/>
        <v>119743.24272888992</v>
      </c>
    </row>
    <row r="143" spans="10:15" x14ac:dyDescent="0.25">
      <c r="J143" s="8">
        <v>140</v>
      </c>
      <c r="K143" s="21">
        <f>IF($E$20&lt;O143+(O143*($B$5/$E$20)),$E$20,O143+(O143*($B$5/$E$20)))</f>
        <v>854.65610315496497</v>
      </c>
      <c r="L143" s="18">
        <f t="shared" si="13"/>
        <v>534.92419504024645</v>
      </c>
      <c r="M143" s="18">
        <f t="shared" si="14"/>
        <v>319.73190811471852</v>
      </c>
      <c r="N143" s="8">
        <v>0</v>
      </c>
      <c r="O143" s="18">
        <f t="shared" si="15"/>
        <v>119424.93656712478</v>
      </c>
    </row>
    <row r="144" spans="10:15" x14ac:dyDescent="0.25">
      <c r="J144" s="8">
        <v>141</v>
      </c>
      <c r="K144" s="21">
        <f>IF($E$20&lt;O144+(O144*($B$5/$E$20)),$E$20,O144+(O144*($B$5/$E$20)))</f>
        <v>854.65610315496497</v>
      </c>
      <c r="L144" s="18">
        <f t="shared" si="13"/>
        <v>533.49206253514922</v>
      </c>
      <c r="M144" s="18">
        <f t="shared" si="14"/>
        <v>321.16404061981575</v>
      </c>
      <c r="N144" s="8">
        <v>0</v>
      </c>
      <c r="O144" s="18">
        <f t="shared" si="15"/>
        <v>119105.20465901007</v>
      </c>
    </row>
    <row r="145" spans="10:15" x14ac:dyDescent="0.25">
      <c r="J145" s="8">
        <v>142</v>
      </c>
      <c r="K145" s="21">
        <f>IF($E$20&lt;O145+(O145*($B$5/$E$20)),$E$20,O145+(O145*($B$5/$E$20)))</f>
        <v>854.65610315496497</v>
      </c>
      <c r="L145" s="18">
        <f t="shared" si="13"/>
        <v>532.05351526987295</v>
      </c>
      <c r="M145" s="18">
        <f t="shared" si="14"/>
        <v>322.60258788509202</v>
      </c>
      <c r="N145" s="8">
        <v>0</v>
      </c>
      <c r="O145" s="18">
        <f t="shared" si="15"/>
        <v>118784.04061839025</v>
      </c>
    </row>
    <row r="146" spans="10:15" x14ac:dyDescent="0.25">
      <c r="J146" s="8">
        <v>143</v>
      </c>
      <c r="K146" s="21">
        <f>IF($E$20&lt;O146+(O146*($B$5/$E$20)),$E$20,O146+(O146*($B$5/$E$20)))</f>
        <v>854.65610315496497</v>
      </c>
      <c r="L146" s="18">
        <f t="shared" si="13"/>
        <v>530.60852451163771</v>
      </c>
      <c r="M146" s="18">
        <f t="shared" si="14"/>
        <v>324.04757864332726</v>
      </c>
      <c r="N146" s="8">
        <v>0</v>
      </c>
      <c r="O146" s="18">
        <f t="shared" si="15"/>
        <v>118461.43803050516</v>
      </c>
    </row>
    <row r="147" spans="10:15" x14ac:dyDescent="0.25">
      <c r="J147" s="8">
        <v>144</v>
      </c>
      <c r="K147" s="21">
        <f>IF($E$20&lt;O147+(O147*($B$5/$E$20)),$E$20,O147+(O147*($B$5/$E$20)))</f>
        <v>854.65610315496497</v>
      </c>
      <c r="L147" s="18">
        <f t="shared" si="13"/>
        <v>529.1570613989644</v>
      </c>
      <c r="M147" s="18">
        <f t="shared" si="14"/>
        <v>325.49904175600057</v>
      </c>
      <c r="N147" s="8">
        <v>0</v>
      </c>
      <c r="O147" s="18">
        <f t="shared" si="15"/>
        <v>118137.39045186184</v>
      </c>
    </row>
    <row r="148" spans="10:15" x14ac:dyDescent="0.25">
      <c r="J148" s="8">
        <v>145</v>
      </c>
      <c r="K148" s="21">
        <f>IF($E$20&lt;O148+(O148*($B$5/$E$20)),$E$20,O148+(O148*($B$5/$E$20)))</f>
        <v>854.65610315496497</v>
      </c>
      <c r="L148" s="18">
        <f t="shared" si="13"/>
        <v>527.69909694109901</v>
      </c>
      <c r="M148" s="18">
        <f t="shared" si="14"/>
        <v>326.95700621386595</v>
      </c>
      <c r="N148" s="8">
        <v>0</v>
      </c>
      <c r="O148" s="18">
        <f t="shared" si="15"/>
        <v>117811.89141010583</v>
      </c>
    </row>
    <row r="149" spans="10:15" x14ac:dyDescent="0.25">
      <c r="J149" s="8">
        <v>146</v>
      </c>
      <c r="K149" s="21">
        <f>IF($E$20&lt;O149+(O149*($B$5/$E$20)),$E$20,O149+(O149*($B$5/$E$20)))</f>
        <v>854.65610315496497</v>
      </c>
      <c r="L149" s="18">
        <f t="shared" si="13"/>
        <v>526.23460201743274</v>
      </c>
      <c r="M149" s="18">
        <f t="shared" si="14"/>
        <v>328.42150113753223</v>
      </c>
      <c r="N149" s="8">
        <v>0</v>
      </c>
      <c r="O149" s="18">
        <f t="shared" si="15"/>
        <v>117484.93440389197</v>
      </c>
    </row>
    <row r="150" spans="10:15" x14ac:dyDescent="0.25">
      <c r="J150" s="8">
        <v>147</v>
      </c>
      <c r="K150" s="21">
        <f>IF($E$20&lt;O150+(O150*($B$5/$E$20)),$E$20,O150+(O150*($B$5/$E$20)))</f>
        <v>854.65610315496497</v>
      </c>
      <c r="L150" s="18">
        <f t="shared" si="13"/>
        <v>524.76354737692088</v>
      </c>
      <c r="M150" s="18">
        <f t="shared" si="14"/>
        <v>329.89255577804408</v>
      </c>
      <c r="N150" s="8">
        <v>0</v>
      </c>
      <c r="O150" s="18">
        <f t="shared" si="15"/>
        <v>117156.51290275443</v>
      </c>
    </row>
    <row r="151" spans="10:15" x14ac:dyDescent="0.25">
      <c r="J151" s="8">
        <v>148</v>
      </c>
      <c r="K151" s="21">
        <f>IF($E$20&lt;O151+(O151*($B$5/$E$20)),$E$20,O151+(O151*($B$5/$E$20)))</f>
        <v>854.65610315496497</v>
      </c>
      <c r="L151" s="18">
        <f t="shared" si="13"/>
        <v>523.28590363749834</v>
      </c>
      <c r="M151" s="18">
        <f t="shared" si="14"/>
        <v>331.37019951746663</v>
      </c>
      <c r="N151" s="8">
        <v>0</v>
      </c>
      <c r="O151" s="18">
        <f t="shared" si="15"/>
        <v>116826.62034697639</v>
      </c>
    </row>
    <row r="152" spans="10:15" x14ac:dyDescent="0.25">
      <c r="J152" s="8">
        <v>149</v>
      </c>
      <c r="K152" s="21">
        <f>IF($E$20&lt;O152+(O152*($B$5/$E$20)),$E$20,O152+(O152*($B$5/$E$20)))</f>
        <v>854.65610315496497</v>
      </c>
      <c r="L152" s="18">
        <f t="shared" si="13"/>
        <v>521.80164128549302</v>
      </c>
      <c r="M152" s="18">
        <f t="shared" si="14"/>
        <v>332.85446186947195</v>
      </c>
      <c r="N152" s="8">
        <v>0</v>
      </c>
      <c r="O152" s="18">
        <f t="shared" si="15"/>
        <v>116495.25014745892</v>
      </c>
    </row>
    <row r="153" spans="10:15" x14ac:dyDescent="0.25">
      <c r="J153" s="8">
        <v>150</v>
      </c>
      <c r="K153" s="21">
        <f>IF($E$20&lt;O153+(O153*($B$5/$E$20)),$E$20,O153+(O153*($B$5/$E$20)))</f>
        <v>854.65610315496497</v>
      </c>
      <c r="L153" s="18">
        <f t="shared" si="13"/>
        <v>520.3107306750361</v>
      </c>
      <c r="M153" s="18">
        <f t="shared" si="14"/>
        <v>334.34537247992887</v>
      </c>
      <c r="N153" s="8">
        <v>0</v>
      </c>
      <c r="O153" s="18">
        <f t="shared" si="15"/>
        <v>116162.39568558945</v>
      </c>
    </row>
    <row r="154" spans="10:15" x14ac:dyDescent="0.25">
      <c r="J154" s="8">
        <v>151</v>
      </c>
      <c r="K154" s="21">
        <f>IF($E$20&lt;O154+(O154*($B$5/$E$20)),$E$20,O154+(O154*($B$5/$E$20)))</f>
        <v>854.65610315496497</v>
      </c>
      <c r="L154" s="18">
        <f t="shared" si="13"/>
        <v>518.81314202746978</v>
      </c>
      <c r="M154" s="18">
        <f t="shared" si="14"/>
        <v>335.84296112749519</v>
      </c>
      <c r="N154" s="8">
        <v>0</v>
      </c>
      <c r="O154" s="18">
        <f t="shared" si="15"/>
        <v>115828.05031310952</v>
      </c>
    </row>
    <row r="155" spans="10:15" x14ac:dyDescent="0.25">
      <c r="J155" s="8">
        <v>152</v>
      </c>
      <c r="K155" s="21">
        <f>IF($E$20&lt;O155+(O155*($B$5/$E$20)),$E$20,O155+(O155*($B$5/$E$20)))</f>
        <v>854.65610315496497</v>
      </c>
      <c r="L155" s="18">
        <f t="shared" si="13"/>
        <v>517.30884543075285</v>
      </c>
      <c r="M155" s="18">
        <f t="shared" si="14"/>
        <v>337.34725772421211</v>
      </c>
      <c r="N155" s="8">
        <v>0</v>
      </c>
      <c r="O155" s="18">
        <f t="shared" si="15"/>
        <v>115492.20735198203</v>
      </c>
    </row>
    <row r="156" spans="10:15" x14ac:dyDescent="0.25">
      <c r="J156" s="8">
        <v>153</v>
      </c>
      <c r="K156" s="21">
        <f>IF($E$20&lt;O156+(O156*($B$5/$E$20)),$E$20,O156+(O156*($B$5/$E$20)))</f>
        <v>854.65610315496497</v>
      </c>
      <c r="L156" s="18">
        <f t="shared" si="13"/>
        <v>515.79781083886314</v>
      </c>
      <c r="M156" s="18">
        <f t="shared" si="14"/>
        <v>338.85829231610182</v>
      </c>
      <c r="N156" s="8">
        <v>0</v>
      </c>
      <c r="O156" s="18">
        <f t="shared" si="15"/>
        <v>115154.86009425782</v>
      </c>
    </row>
    <row r="157" spans="10:15" x14ac:dyDescent="0.25">
      <c r="J157" s="8">
        <v>154</v>
      </c>
      <c r="K157" s="21">
        <f>IF($E$20&lt;O157+(O157*($B$5/$E$20)),$E$20,O157+(O157*($B$5/$E$20)))</f>
        <v>854.65610315496497</v>
      </c>
      <c r="L157" s="18">
        <f t="shared" si="13"/>
        <v>514.28000807119724</v>
      </c>
      <c r="M157" s="18">
        <f t="shared" si="14"/>
        <v>340.37609508376772</v>
      </c>
      <c r="N157" s="8">
        <v>0</v>
      </c>
      <c r="O157" s="18">
        <f t="shared" si="15"/>
        <v>114816.00180194172</v>
      </c>
    </row>
    <row r="158" spans="10:15" x14ac:dyDescent="0.25">
      <c r="J158" s="8">
        <v>155</v>
      </c>
      <c r="K158" s="21">
        <f>IF($E$20&lt;O158+(O158*($B$5/$E$20)),$E$20,O158+(O158*($B$5/$E$20)))</f>
        <v>854.65610315496497</v>
      </c>
      <c r="L158" s="18">
        <f t="shared" si="13"/>
        <v>512.75540681196787</v>
      </c>
      <c r="M158" s="18">
        <f t="shared" si="14"/>
        <v>341.90069634299709</v>
      </c>
      <c r="N158" s="8">
        <v>0</v>
      </c>
      <c r="O158" s="18">
        <f t="shared" si="15"/>
        <v>114475.62570685794</v>
      </c>
    </row>
    <row r="159" spans="10:15" x14ac:dyDescent="0.25">
      <c r="J159" s="8">
        <v>156</v>
      </c>
      <c r="K159" s="21">
        <f>IF($E$20&lt;O159+(O159*($B$5/$E$20)),$E$20,O159+(O159*($B$5/$E$20)))</f>
        <v>854.65610315496497</v>
      </c>
      <c r="L159" s="18">
        <f t="shared" si="13"/>
        <v>511.22397660959814</v>
      </c>
      <c r="M159" s="18">
        <f t="shared" si="14"/>
        <v>343.43212654536683</v>
      </c>
      <c r="N159" s="8">
        <v>0</v>
      </c>
      <c r="O159" s="18">
        <f t="shared" si="15"/>
        <v>114133.72501051494</v>
      </c>
    </row>
    <row r="160" spans="10:15" x14ac:dyDescent="0.25">
      <c r="J160" s="8">
        <v>157</v>
      </c>
      <c r="K160" s="21">
        <f>IF($E$20&lt;O160+(O160*($B$5/$E$20)),$E$20,O160+(O160*($B$5/$E$20)))</f>
        <v>854.65610315496497</v>
      </c>
      <c r="L160" s="18">
        <f t="shared" si="13"/>
        <v>509.68568687611378</v>
      </c>
      <c r="M160" s="18">
        <f t="shared" si="14"/>
        <v>344.97041627885119</v>
      </c>
      <c r="N160" s="8">
        <v>0</v>
      </c>
      <c r="O160" s="18">
        <f t="shared" si="15"/>
        <v>113790.29288396958</v>
      </c>
    </row>
    <row r="161" spans="10:15" x14ac:dyDescent="0.25">
      <c r="J161" s="8">
        <v>158</v>
      </c>
      <c r="K161" s="21">
        <f>IF($E$20&lt;O161+(O161*($B$5/$E$20)),$E$20,O161+(O161*($B$5/$E$20)))</f>
        <v>854.65610315496497</v>
      </c>
      <c r="L161" s="18">
        <f t="shared" si="13"/>
        <v>508.14050688653134</v>
      </c>
      <c r="M161" s="18">
        <f t="shared" si="14"/>
        <v>346.51559626843363</v>
      </c>
      <c r="N161" s="8">
        <v>0</v>
      </c>
      <c r="O161" s="18">
        <f t="shared" si="15"/>
        <v>113445.32246769073</v>
      </c>
    </row>
    <row r="162" spans="10:15" x14ac:dyDescent="0.25">
      <c r="J162" s="8">
        <v>159</v>
      </c>
      <c r="K162" s="21">
        <f>IF($E$20&lt;O162+(O162*($B$5/$E$20)),$E$20,O162+(O162*($B$5/$E$20)))</f>
        <v>854.65610315496497</v>
      </c>
      <c r="L162" s="18">
        <f t="shared" si="13"/>
        <v>506.58840577824566</v>
      </c>
      <c r="M162" s="18">
        <f t="shared" si="14"/>
        <v>348.06769737671931</v>
      </c>
      <c r="N162" s="8">
        <v>0</v>
      </c>
      <c r="O162" s="18">
        <f t="shared" si="15"/>
        <v>113098.80687142229</v>
      </c>
    </row>
    <row r="163" spans="10:15" x14ac:dyDescent="0.25">
      <c r="J163" s="8">
        <v>160</v>
      </c>
      <c r="K163" s="21">
        <f>IF($E$20&lt;O163+(O163*($B$5/$E$20)),$E$20,O163+(O163*($B$5/$E$20)))</f>
        <v>854.65610315496497</v>
      </c>
      <c r="L163" s="18">
        <f t="shared" si="13"/>
        <v>505.0293525504124</v>
      </c>
      <c r="M163" s="18">
        <f t="shared" si="14"/>
        <v>349.62675060455257</v>
      </c>
      <c r="N163" s="8">
        <v>0</v>
      </c>
      <c r="O163" s="18">
        <f t="shared" si="15"/>
        <v>112750.73917404556</v>
      </c>
    </row>
    <row r="164" spans="10:15" x14ac:dyDescent="0.25">
      <c r="J164" s="8">
        <v>161</v>
      </c>
      <c r="K164" s="21">
        <f>IF($E$20&lt;O164+(O164*($B$5/$E$20)),$E$20,O164+(O164*($B$5/$E$20)))</f>
        <v>854.65610315496497</v>
      </c>
      <c r="L164" s="18">
        <f t="shared" si="13"/>
        <v>503.4633160633295</v>
      </c>
      <c r="M164" s="18">
        <f t="shared" si="14"/>
        <v>351.19278709163547</v>
      </c>
      <c r="N164" s="8">
        <v>0</v>
      </c>
      <c r="O164" s="18">
        <f t="shared" si="15"/>
        <v>112401.11242344101</v>
      </c>
    </row>
    <row r="165" spans="10:15" x14ac:dyDescent="0.25">
      <c r="J165" s="8">
        <v>162</v>
      </c>
      <c r="K165" s="21">
        <f>IF($E$20&lt;O165+(O165*($B$5/$E$20)),$E$20,O165+(O165*($B$5/$E$20)))</f>
        <v>854.65610315496497</v>
      </c>
      <c r="L165" s="18">
        <f t="shared" si="13"/>
        <v>501.89026503781491</v>
      </c>
      <c r="M165" s="18">
        <f t="shared" si="14"/>
        <v>352.76583811715005</v>
      </c>
      <c r="N165" s="8">
        <v>0</v>
      </c>
      <c r="O165" s="18">
        <f t="shared" si="15"/>
        <v>112049.91963634937</v>
      </c>
    </row>
    <row r="166" spans="10:15" x14ac:dyDescent="0.25">
      <c r="J166" s="8">
        <v>163</v>
      </c>
      <c r="K166" s="21">
        <f>IF($E$20&lt;O166+(O166*($B$5/$E$20)),$E$20,O166+(O166*($B$5/$E$20)))</f>
        <v>854.65610315496497</v>
      </c>
      <c r="L166" s="18">
        <f t="shared" si="13"/>
        <v>500.31016805458177</v>
      </c>
      <c r="M166" s="18">
        <f t="shared" si="14"/>
        <v>354.3459351003832</v>
      </c>
      <c r="N166" s="8">
        <v>0</v>
      </c>
      <c r="O166" s="18">
        <f t="shared" si="15"/>
        <v>111697.15379823222</v>
      </c>
    </row>
    <row r="167" spans="10:15" x14ac:dyDescent="0.25">
      <c r="J167" s="8">
        <v>164</v>
      </c>
      <c r="K167" s="21">
        <f>IF($E$20&lt;O167+(O167*($B$5/$E$20)),$E$20,O167+(O167*($B$5/$E$20)))</f>
        <v>854.65610315496497</v>
      </c>
      <c r="L167" s="18">
        <f t="shared" si="13"/>
        <v>498.72299355361133</v>
      </c>
      <c r="M167" s="18">
        <f t="shared" si="14"/>
        <v>355.93310960135364</v>
      </c>
      <c r="N167" s="8">
        <v>0</v>
      </c>
      <c r="O167" s="18">
        <f t="shared" si="15"/>
        <v>111342.80786313183</v>
      </c>
    </row>
    <row r="168" spans="10:15" x14ac:dyDescent="0.25">
      <c r="J168" s="8">
        <v>165</v>
      </c>
      <c r="K168" s="21">
        <f>IF($E$20&lt;O168+(O168*($B$5/$E$20)),$E$20,O168+(O168*($B$5/$E$20)))</f>
        <v>854.65610315496497</v>
      </c>
      <c r="L168" s="18">
        <f t="shared" si="13"/>
        <v>497.12870983352195</v>
      </c>
      <c r="M168" s="18">
        <f t="shared" si="14"/>
        <v>357.52739332144301</v>
      </c>
      <c r="N168" s="8">
        <v>0</v>
      </c>
      <c r="O168" s="18">
        <f t="shared" si="15"/>
        <v>110986.87475353049</v>
      </c>
    </row>
    <row r="169" spans="10:15" x14ac:dyDescent="0.25">
      <c r="J169" s="8">
        <v>166</v>
      </c>
      <c r="K169" s="21">
        <f>IF($E$20&lt;O169+(O169*($B$5/$E$20)),$E$20,O169+(O169*($B$5/$E$20)))</f>
        <v>854.65610315496497</v>
      </c>
      <c r="L169" s="18">
        <f t="shared" si="13"/>
        <v>495.52728505093631</v>
      </c>
      <c r="M169" s="18">
        <f t="shared" si="14"/>
        <v>359.12881810402865</v>
      </c>
      <c r="N169" s="8">
        <v>0</v>
      </c>
      <c r="O169" s="18">
        <f t="shared" si="15"/>
        <v>110629.34736020904</v>
      </c>
    </row>
    <row r="170" spans="10:15" x14ac:dyDescent="0.25">
      <c r="J170" s="8">
        <v>167</v>
      </c>
      <c r="K170" s="21">
        <f>IF($E$20&lt;O170+(O170*($B$5/$E$20)),$E$20,O170+(O170*($B$5/$E$20)))</f>
        <v>854.65610315496497</v>
      </c>
      <c r="L170" s="18">
        <f t="shared" si="13"/>
        <v>493.91868721984537</v>
      </c>
      <c r="M170" s="18">
        <f t="shared" si="14"/>
        <v>360.7374159351196</v>
      </c>
      <c r="N170" s="8">
        <v>0</v>
      </c>
      <c r="O170" s="18">
        <f t="shared" si="15"/>
        <v>110270.21854210501</v>
      </c>
    </row>
    <row r="171" spans="10:15" x14ac:dyDescent="0.25">
      <c r="J171" s="8">
        <v>168</v>
      </c>
      <c r="K171" s="21">
        <f>IF($E$20&lt;O171+(O171*($B$5/$E$20)),$E$20,O171+(O171*($B$5/$E$20)))</f>
        <v>854.65610315496497</v>
      </c>
      <c r="L171" s="18">
        <f t="shared" si="13"/>
        <v>492.3028842109693</v>
      </c>
      <c r="M171" s="18">
        <f t="shared" si="14"/>
        <v>362.35321894399567</v>
      </c>
      <c r="N171" s="8">
        <v>0</v>
      </c>
      <c r="O171" s="18">
        <f t="shared" si="15"/>
        <v>109909.48112616989</v>
      </c>
    </row>
    <row r="172" spans="10:15" x14ac:dyDescent="0.25">
      <c r="J172" s="8">
        <v>169</v>
      </c>
      <c r="K172" s="21">
        <f>IF($E$20&lt;O172+(O172*($B$5/$E$20)),$E$20,O172+(O172*($B$5/$E$20)))</f>
        <v>854.65610315496497</v>
      </c>
      <c r="L172" s="18">
        <f t="shared" si="13"/>
        <v>490.67984375111592</v>
      </c>
      <c r="M172" s="18">
        <f t="shared" si="14"/>
        <v>363.97625940384904</v>
      </c>
      <c r="N172" s="8">
        <v>0</v>
      </c>
      <c r="O172" s="18">
        <f t="shared" si="15"/>
        <v>109547.12790722589</v>
      </c>
    </row>
    <row r="173" spans="10:15" x14ac:dyDescent="0.25">
      <c r="J173" s="8">
        <v>170</v>
      </c>
      <c r="K173" s="21">
        <f>IF($E$20&lt;O173+(O173*($B$5/$E$20)),$E$20,O173+(O173*($B$5/$E$20)))</f>
        <v>854.65610315496497</v>
      </c>
      <c r="L173" s="18">
        <f t="shared" si="13"/>
        <v>489.04953342253629</v>
      </c>
      <c r="M173" s="18">
        <f t="shared" si="14"/>
        <v>365.60656973242868</v>
      </c>
      <c r="N173" s="8">
        <v>0</v>
      </c>
      <c r="O173" s="18">
        <f t="shared" si="15"/>
        <v>109183.15164782204</v>
      </c>
    </row>
    <row r="174" spans="10:15" x14ac:dyDescent="0.25">
      <c r="J174" s="8">
        <v>171</v>
      </c>
      <c r="K174" s="21">
        <f>IF($E$20&lt;O174+(O174*($B$5/$E$20)),$E$20,O174+(O174*($B$5/$E$20)))</f>
        <v>854.65610315496497</v>
      </c>
      <c r="L174" s="18">
        <f t="shared" si="13"/>
        <v>487.41192066227637</v>
      </c>
      <c r="M174" s="18">
        <f t="shared" si="14"/>
        <v>367.24418249268859</v>
      </c>
      <c r="N174" s="8">
        <v>0</v>
      </c>
      <c r="O174" s="18">
        <f t="shared" si="15"/>
        <v>108817.54507808962</v>
      </c>
    </row>
    <row r="175" spans="10:15" x14ac:dyDescent="0.25">
      <c r="J175" s="8">
        <v>172</v>
      </c>
      <c r="K175" s="21">
        <f>IF($E$20&lt;O175+(O175*($B$5/$E$20)),$E$20,O175+(O175*($B$5/$E$20)))</f>
        <v>854.65610315496497</v>
      </c>
      <c r="L175" s="18">
        <f t="shared" si="13"/>
        <v>485.76697276152794</v>
      </c>
      <c r="M175" s="18">
        <f t="shared" si="14"/>
        <v>368.88913039343703</v>
      </c>
      <c r="N175" s="8">
        <v>0</v>
      </c>
      <c r="O175" s="18">
        <f t="shared" si="15"/>
        <v>108450.30089559693</v>
      </c>
    </row>
    <row r="176" spans="10:15" x14ac:dyDescent="0.25">
      <c r="J176" s="8">
        <v>173</v>
      </c>
      <c r="K176" s="21">
        <f>IF($E$20&lt;O176+(O176*($B$5/$E$20)),$E$20,O176+(O176*($B$5/$E$20)))</f>
        <v>854.65610315496497</v>
      </c>
      <c r="L176" s="18">
        <f t="shared" si="13"/>
        <v>484.11465686497399</v>
      </c>
      <c r="M176" s="18">
        <f t="shared" si="14"/>
        <v>370.54144628999097</v>
      </c>
      <c r="N176" s="8">
        <v>0</v>
      </c>
      <c r="O176" s="18">
        <f t="shared" si="15"/>
        <v>108081.41176520349</v>
      </c>
    </row>
    <row r="177" spans="10:15" x14ac:dyDescent="0.25">
      <c r="J177" s="8">
        <v>174</v>
      </c>
      <c r="K177" s="21">
        <f>IF($E$20&lt;O177+(O177*($B$5/$E$20)),$E$20,O177+(O177*($B$5/$E$20)))</f>
        <v>854.65610315496497</v>
      </c>
      <c r="L177" s="18">
        <f t="shared" si="13"/>
        <v>482.45493997013335</v>
      </c>
      <c r="M177" s="18">
        <f t="shared" si="14"/>
        <v>372.20116318483161</v>
      </c>
      <c r="N177" s="8">
        <v>0</v>
      </c>
      <c r="O177" s="18">
        <f t="shared" si="15"/>
        <v>107710.8703189135</v>
      </c>
    </row>
    <row r="178" spans="10:15" x14ac:dyDescent="0.25">
      <c r="J178" s="8">
        <v>175</v>
      </c>
      <c r="K178" s="21">
        <f>IF($E$20&lt;O178+(O178*($B$5/$E$20)),$E$20,O178+(O178*($B$5/$E$20)))</f>
        <v>854.65610315496497</v>
      </c>
      <c r="L178" s="18">
        <f t="shared" si="13"/>
        <v>480.7877889267013</v>
      </c>
      <c r="M178" s="18">
        <f t="shared" si="14"/>
        <v>373.86831422826367</v>
      </c>
      <c r="N178" s="8">
        <v>0</v>
      </c>
      <c r="O178" s="18">
        <f t="shared" si="15"/>
        <v>107338.66915572867</v>
      </c>
    </row>
    <row r="179" spans="10:15" x14ac:dyDescent="0.25">
      <c r="J179" s="8">
        <v>176</v>
      </c>
      <c r="K179" s="21">
        <f>IF($E$20&lt;O179+(O179*($B$5/$E$20)),$E$20,O179+(O179*($B$5/$E$20)))</f>
        <v>854.65610315496497</v>
      </c>
      <c r="L179" s="18">
        <f t="shared" si="13"/>
        <v>479.11317043588724</v>
      </c>
      <c r="M179" s="18">
        <f t="shared" si="14"/>
        <v>375.54293271907773</v>
      </c>
      <c r="N179" s="8">
        <v>0</v>
      </c>
      <c r="O179" s="18">
        <f t="shared" si="15"/>
        <v>106964.8008415004</v>
      </c>
    </row>
    <row r="180" spans="10:15" x14ac:dyDescent="0.25">
      <c r="J180" s="8">
        <v>177</v>
      </c>
      <c r="K180" s="21">
        <f>IF($E$20&lt;O180+(O180*($B$5/$E$20)),$E$20,O180+(O180*($B$5/$E$20)))</f>
        <v>854.65610315496497</v>
      </c>
      <c r="L180" s="18">
        <f t="shared" si="13"/>
        <v>477.43105104974967</v>
      </c>
      <c r="M180" s="18">
        <f t="shared" si="14"/>
        <v>377.2250521052153</v>
      </c>
      <c r="N180" s="8">
        <v>0</v>
      </c>
      <c r="O180" s="18">
        <f t="shared" si="15"/>
        <v>106589.25790878132</v>
      </c>
    </row>
    <row r="181" spans="10:15" x14ac:dyDescent="0.25">
      <c r="J181" s="8">
        <v>178</v>
      </c>
      <c r="K181" s="21">
        <f>IF($E$20&lt;O181+(O181*($B$5/$E$20)),$E$20,O181+(O181*($B$5/$E$20)))</f>
        <v>854.65610315496497</v>
      </c>
      <c r="L181" s="18">
        <f t="shared" si="13"/>
        <v>475.74139717052839</v>
      </c>
      <c r="M181" s="18">
        <f t="shared" si="14"/>
        <v>378.91470598443658</v>
      </c>
      <c r="N181" s="8">
        <v>0</v>
      </c>
      <c r="O181" s="18">
        <f t="shared" si="15"/>
        <v>106212.0328566761</v>
      </c>
    </row>
    <row r="182" spans="10:15" x14ac:dyDescent="0.25">
      <c r="J182" s="8">
        <v>179</v>
      </c>
      <c r="K182" s="21">
        <f>IF($E$20&lt;O182+(O182*($B$5/$E$20)),$E$20,O182+(O182*($B$5/$E$20)))</f>
        <v>854.65610315496497</v>
      </c>
      <c r="L182" s="18">
        <f t="shared" si="13"/>
        <v>474.04417504997309</v>
      </c>
      <c r="M182" s="18">
        <f t="shared" si="14"/>
        <v>380.61192810499188</v>
      </c>
      <c r="N182" s="8">
        <v>0</v>
      </c>
      <c r="O182" s="18">
        <f t="shared" si="15"/>
        <v>105833.11815069166</v>
      </c>
    </row>
    <row r="183" spans="10:15" x14ac:dyDescent="0.25">
      <c r="J183" s="8">
        <v>180</v>
      </c>
      <c r="K183" s="21">
        <f>IF($E$20&lt;O183+(O183*($B$5/$E$20)),$E$20,O183+(O183*($B$5/$E$20)))</f>
        <v>854.65610315496497</v>
      </c>
      <c r="L183" s="18">
        <f t="shared" si="13"/>
        <v>472.33935078866944</v>
      </c>
      <c r="M183" s="18">
        <f t="shared" si="14"/>
        <v>382.31675236629553</v>
      </c>
      <c r="N183" s="8">
        <v>0</v>
      </c>
      <c r="O183" s="18">
        <f t="shared" si="15"/>
        <v>105452.50622258667</v>
      </c>
    </row>
    <row r="184" spans="10:15" x14ac:dyDescent="0.25">
      <c r="J184" s="8">
        <v>181</v>
      </c>
      <c r="K184" s="21">
        <f>IF($E$20&lt;O184+(O184*($B$5/$E$20)),$E$20,O184+(O184*($B$5/$E$20)))</f>
        <v>854.65610315496497</v>
      </c>
      <c r="L184" s="18">
        <f t="shared" si="13"/>
        <v>470.62689033536208</v>
      </c>
      <c r="M184" s="18">
        <f t="shared" si="14"/>
        <v>384.02921281960289</v>
      </c>
      <c r="N184" s="8">
        <v>0</v>
      </c>
      <c r="O184" s="18">
        <f t="shared" si="15"/>
        <v>105070.18947022037</v>
      </c>
    </row>
    <row r="185" spans="10:15" x14ac:dyDescent="0.25">
      <c r="J185" s="8">
        <v>182</v>
      </c>
      <c r="K185" s="21">
        <f>IF($E$20&lt;O185+(O185*($B$5/$E$20)),$E$20,O185+(O185*($B$5/$E$20)))</f>
        <v>854.65610315496497</v>
      </c>
      <c r="L185" s="18">
        <f t="shared" si="13"/>
        <v>468.90675948627427</v>
      </c>
      <c r="M185" s="18">
        <f t="shared" si="14"/>
        <v>385.7493436686907</v>
      </c>
      <c r="N185" s="8">
        <v>0</v>
      </c>
      <c r="O185" s="18">
        <f t="shared" si="15"/>
        <v>104686.16025740077</v>
      </c>
    </row>
    <row r="186" spans="10:15" x14ac:dyDescent="0.25">
      <c r="J186" s="8">
        <v>183</v>
      </c>
      <c r="K186" s="21">
        <f>IF($E$20&lt;O186+(O186*($B$5/$E$20)),$E$20,O186+(O186*($B$5/$E$20)))</f>
        <v>854.65610315496497</v>
      </c>
      <c r="L186" s="18">
        <f t="shared" si="13"/>
        <v>467.17892388442493</v>
      </c>
      <c r="M186" s="18">
        <f t="shared" si="14"/>
        <v>387.47717927054003</v>
      </c>
      <c r="N186" s="8">
        <v>0</v>
      </c>
      <c r="O186" s="18">
        <f t="shared" si="15"/>
        <v>104300.41091373208</v>
      </c>
    </row>
    <row r="187" spans="10:15" x14ac:dyDescent="0.25">
      <c r="J187" s="8">
        <v>184</v>
      </c>
      <c r="K187" s="21">
        <f>IF($E$20&lt;O187+(O187*($B$5/$E$20)),$E$20,O187+(O187*($B$5/$E$20)))</f>
        <v>854.65610315496497</v>
      </c>
      <c r="L187" s="18">
        <f t="shared" si="13"/>
        <v>465.44334901894223</v>
      </c>
      <c r="M187" s="18">
        <f t="shared" si="14"/>
        <v>389.21275413602274</v>
      </c>
      <c r="N187" s="8">
        <v>0</v>
      </c>
      <c r="O187" s="18">
        <f t="shared" si="15"/>
        <v>103912.93373446153</v>
      </c>
    </row>
    <row r="188" spans="10:15" x14ac:dyDescent="0.25">
      <c r="J188" s="8">
        <v>185</v>
      </c>
      <c r="K188" s="21">
        <f>IF($E$20&lt;O188+(O188*($B$5/$E$20)),$E$20,O188+(O188*($B$5/$E$20)))</f>
        <v>854.65610315496497</v>
      </c>
      <c r="L188" s="18">
        <f t="shared" si="13"/>
        <v>463.70000022437466</v>
      </c>
      <c r="M188" s="18">
        <f t="shared" si="14"/>
        <v>390.9561029305903</v>
      </c>
      <c r="N188" s="8">
        <v>0</v>
      </c>
      <c r="O188" s="18">
        <f t="shared" si="15"/>
        <v>103523.72098032551</v>
      </c>
    </row>
    <row r="189" spans="10:15" x14ac:dyDescent="0.25">
      <c r="J189" s="8">
        <v>186</v>
      </c>
      <c r="K189" s="21">
        <f>IF($E$20&lt;O189+(O189*($B$5/$E$20)),$E$20,O189+(O189*($B$5/$E$20)))</f>
        <v>854.65610315496497</v>
      </c>
      <c r="L189" s="18">
        <f t="shared" si="13"/>
        <v>461.94884267999805</v>
      </c>
      <c r="M189" s="18">
        <f t="shared" si="14"/>
        <v>392.70726047496692</v>
      </c>
      <c r="N189" s="8">
        <v>0</v>
      </c>
      <c r="O189" s="18">
        <f t="shared" si="15"/>
        <v>103132.76487739492</v>
      </c>
    </row>
    <row r="190" spans="10:15" x14ac:dyDescent="0.25">
      <c r="J190" s="8">
        <v>187</v>
      </c>
      <c r="K190" s="21">
        <f>IF($E$20&lt;O190+(O190*($B$5/$E$20)),$E$20,O190+(O190*($B$5/$E$20)))</f>
        <v>854.65610315496497</v>
      </c>
      <c r="L190" s="18">
        <f t="shared" si="13"/>
        <v>460.18984140912062</v>
      </c>
      <c r="M190" s="18">
        <f t="shared" si="14"/>
        <v>394.46626174584435</v>
      </c>
      <c r="N190" s="8">
        <v>0</v>
      </c>
      <c r="O190" s="18">
        <f t="shared" si="15"/>
        <v>102740.05761691995</v>
      </c>
    </row>
    <row r="191" spans="10:15" x14ac:dyDescent="0.25">
      <c r="J191" s="8">
        <v>188</v>
      </c>
      <c r="K191" s="21">
        <f>IF($E$20&lt;O191+(O191*($B$5/$E$20)),$E$20,O191+(O191*($B$5/$E$20)))</f>
        <v>854.65610315496497</v>
      </c>
      <c r="L191" s="18">
        <f t="shared" si="13"/>
        <v>458.42296127838404</v>
      </c>
      <c r="M191" s="18">
        <f t="shared" si="14"/>
        <v>396.23314187658093</v>
      </c>
      <c r="N191" s="8">
        <v>0</v>
      </c>
      <c r="O191" s="18">
        <f t="shared" si="15"/>
        <v>102345.59135517411</v>
      </c>
    </row>
    <row r="192" spans="10:15" x14ac:dyDescent="0.25">
      <c r="J192" s="8">
        <v>189</v>
      </c>
      <c r="K192" s="21">
        <f>IF($E$20&lt;O192+(O192*($B$5/$E$20)),$E$20,O192+(O192*($B$5/$E$20)))</f>
        <v>854.65610315496497</v>
      </c>
      <c r="L192" s="18">
        <f t="shared" si="13"/>
        <v>456.64816699706188</v>
      </c>
      <c r="M192" s="18">
        <f t="shared" si="14"/>
        <v>398.00793615790309</v>
      </c>
      <c r="N192" s="8">
        <v>0</v>
      </c>
      <c r="O192" s="18">
        <f t="shared" si="15"/>
        <v>101949.35821329753</v>
      </c>
    </row>
    <row r="193" spans="10:15" x14ac:dyDescent="0.25">
      <c r="J193" s="8">
        <v>190</v>
      </c>
      <c r="K193" s="21">
        <f>IF($E$20&lt;O193+(O193*($B$5/$E$20)),$E$20,O193+(O193*($B$5/$E$20)))</f>
        <v>854.65610315496497</v>
      </c>
      <c r="L193" s="18">
        <f t="shared" si="13"/>
        <v>454.86542311635458</v>
      </c>
      <c r="M193" s="18">
        <f t="shared" si="14"/>
        <v>399.79068003861039</v>
      </c>
      <c r="N193" s="8">
        <v>0</v>
      </c>
      <c r="O193" s="18">
        <f t="shared" si="15"/>
        <v>101551.35027713963</v>
      </c>
    </row>
    <row r="194" spans="10:15" x14ac:dyDescent="0.25">
      <c r="J194" s="8">
        <v>191</v>
      </c>
      <c r="K194" s="21">
        <f>IF($E$20&lt;O194+(O194*($B$5/$E$20)),$E$20,O194+(O194*($B$5/$E$20)))</f>
        <v>854.65610315496497</v>
      </c>
      <c r="L194" s="18">
        <f t="shared" si="13"/>
        <v>453.07469402868168</v>
      </c>
      <c r="M194" s="18">
        <f t="shared" si="14"/>
        <v>401.58140912628329</v>
      </c>
      <c r="N194" s="8">
        <v>0</v>
      </c>
      <c r="O194" s="18">
        <f t="shared" si="15"/>
        <v>101151.55959710102</v>
      </c>
    </row>
    <row r="195" spans="10:15" x14ac:dyDescent="0.25">
      <c r="J195" s="8">
        <v>192</v>
      </c>
      <c r="K195" s="21">
        <f>IF($E$20&lt;O195+(O195*($B$5/$E$20)),$E$20,O195+(O195*($B$5/$E$20)))</f>
        <v>854.65610315496497</v>
      </c>
      <c r="L195" s="18">
        <f t="shared" ref="L195:L258" si="16">O195*$B$5/$B$4</f>
        <v>451.27594396697015</v>
      </c>
      <c r="M195" s="18">
        <f t="shared" si="14"/>
        <v>403.38015918799482</v>
      </c>
      <c r="N195" s="8">
        <v>0</v>
      </c>
      <c r="O195" s="18">
        <f t="shared" si="15"/>
        <v>100749.97818797473</v>
      </c>
    </row>
    <row r="196" spans="10:15" x14ac:dyDescent="0.25">
      <c r="J196" s="8">
        <v>193</v>
      </c>
      <c r="K196" s="21">
        <f>IF($E$20&lt;O196+(O196*($B$5/$E$20)),$E$20,O196+(O196*($B$5/$E$20)))</f>
        <v>854.65610315496497</v>
      </c>
      <c r="L196" s="18">
        <f t="shared" si="16"/>
        <v>449.4691370039406</v>
      </c>
      <c r="M196" s="18">
        <f t="shared" si="14"/>
        <v>405.18696615102436</v>
      </c>
      <c r="N196" s="8">
        <v>0</v>
      </c>
      <c r="O196" s="18">
        <f t="shared" si="15"/>
        <v>100346.59802878674</v>
      </c>
    </row>
    <row r="197" spans="10:15" x14ac:dyDescent="0.25">
      <c r="J197" s="8">
        <v>194</v>
      </c>
      <c r="K197" s="21">
        <f>IF($E$20&lt;O197+(O197*($B$5/$E$20)),$E$20,O197+(O197*($B$5/$E$20)))</f>
        <v>854.65610315496497</v>
      </c>
      <c r="L197" s="18">
        <f t="shared" si="16"/>
        <v>447.65423705138915</v>
      </c>
      <c r="M197" s="18">
        <f t="shared" ref="M197:M260" si="17">K197-L197</f>
        <v>407.00186610357582</v>
      </c>
      <c r="N197" s="8">
        <v>0</v>
      </c>
      <c r="O197" s="18">
        <f t="shared" ref="O197:O260" si="18">O196-M196-N196</f>
        <v>99941.411062635714</v>
      </c>
    </row>
    <row r="198" spans="10:15" x14ac:dyDescent="0.25">
      <c r="J198" s="8">
        <v>195</v>
      </c>
      <c r="K198" s="21">
        <f>IF($E$20&lt;O198+(O198*($B$5/$E$20)),$E$20,O198+(O198*($B$5/$E$20)))</f>
        <v>854.65610315496497</v>
      </c>
      <c r="L198" s="18">
        <f t="shared" si="16"/>
        <v>445.83120785946693</v>
      </c>
      <c r="M198" s="18">
        <f t="shared" si="17"/>
        <v>408.82489529549804</v>
      </c>
      <c r="N198" s="8">
        <v>0</v>
      </c>
      <c r="O198" s="18">
        <f t="shared" si="18"/>
        <v>99534.409196532142</v>
      </c>
    </row>
    <row r="199" spans="10:15" x14ac:dyDescent="0.25">
      <c r="J199" s="8">
        <v>196</v>
      </c>
      <c r="K199" s="21">
        <f>IF($E$20&lt;O199+(O199*($B$5/$E$20)),$E$20,O199+(O199*($B$5/$E$20)))</f>
        <v>854.65610315496497</v>
      </c>
      <c r="L199" s="18">
        <f t="shared" si="16"/>
        <v>444.0000130159558</v>
      </c>
      <c r="M199" s="18">
        <f t="shared" si="17"/>
        <v>410.65609013900917</v>
      </c>
      <c r="N199" s="8">
        <v>0</v>
      </c>
      <c r="O199" s="18">
        <f t="shared" si="18"/>
        <v>99125.584301236639</v>
      </c>
    </row>
    <row r="200" spans="10:15" x14ac:dyDescent="0.25">
      <c r="J200" s="8">
        <v>197</v>
      </c>
      <c r="K200" s="21">
        <f>IF($E$20&lt;O200+(O200*($B$5/$E$20)),$E$20,O200+(O200*($B$5/$E$20)))</f>
        <v>854.65610315496497</v>
      </c>
      <c r="L200" s="18">
        <f t="shared" si="16"/>
        <v>442.16061594554145</v>
      </c>
      <c r="M200" s="18">
        <f t="shared" si="17"/>
        <v>412.49548720942352</v>
      </c>
      <c r="N200" s="8">
        <v>0</v>
      </c>
      <c r="O200" s="18">
        <f t="shared" si="18"/>
        <v>98714.928211097635</v>
      </c>
    </row>
    <row r="201" spans="10:15" x14ac:dyDescent="0.25">
      <c r="J201" s="8">
        <v>198</v>
      </c>
      <c r="K201" s="21">
        <f>IF($E$20&lt;O201+(O201*($B$5/$E$20)),$E$20,O201+(O201*($B$5/$E$20)))</f>
        <v>854.65610315496497</v>
      </c>
      <c r="L201" s="18">
        <f t="shared" si="16"/>
        <v>440.31297990908257</v>
      </c>
      <c r="M201" s="18">
        <f t="shared" si="17"/>
        <v>414.3431232458824</v>
      </c>
      <c r="N201" s="8">
        <v>0</v>
      </c>
      <c r="O201" s="18">
        <f t="shared" si="18"/>
        <v>98302.432723888211</v>
      </c>
    </row>
    <row r="202" spans="10:15" x14ac:dyDescent="0.25">
      <c r="J202" s="8">
        <v>199</v>
      </c>
      <c r="K202" s="21">
        <f>IF($E$20&lt;O202+(O202*($B$5/$E$20)),$E$20,O202+(O202*($B$5/$E$20)))</f>
        <v>854.65610315496497</v>
      </c>
      <c r="L202" s="18">
        <f t="shared" si="16"/>
        <v>438.45706800287712</v>
      </c>
      <c r="M202" s="18">
        <f t="shared" si="17"/>
        <v>416.19903515208784</v>
      </c>
      <c r="N202" s="8">
        <v>0</v>
      </c>
      <c r="O202" s="18">
        <f t="shared" si="18"/>
        <v>97888.089600642328</v>
      </c>
    </row>
    <row r="203" spans="10:15" x14ac:dyDescent="0.25">
      <c r="J203" s="8">
        <v>200</v>
      </c>
      <c r="K203" s="21">
        <f>IF($E$20&lt;O203+(O203*($B$5/$E$20)),$E$20,O203+(O203*($B$5/$E$20)))</f>
        <v>854.65610315496497</v>
      </c>
      <c r="L203" s="18">
        <f t="shared" si="16"/>
        <v>436.59284315792502</v>
      </c>
      <c r="M203" s="18">
        <f t="shared" si="17"/>
        <v>418.06325999703995</v>
      </c>
      <c r="N203" s="8">
        <v>0</v>
      </c>
      <c r="O203" s="18">
        <f t="shared" si="18"/>
        <v>97471.890565490234</v>
      </c>
    </row>
    <row r="204" spans="10:15" x14ac:dyDescent="0.25">
      <c r="J204" s="8">
        <v>201</v>
      </c>
      <c r="K204" s="21">
        <f>IF($E$20&lt;O204+(O204*($B$5/$E$20)),$E$20,O204+(O204*($B$5/$E$20)))</f>
        <v>854.65610315496497</v>
      </c>
      <c r="L204" s="18">
        <f t="shared" si="16"/>
        <v>434.72026813918825</v>
      </c>
      <c r="M204" s="18">
        <f t="shared" si="17"/>
        <v>419.93583501577672</v>
      </c>
      <c r="N204" s="8">
        <v>0</v>
      </c>
      <c r="O204" s="18">
        <f t="shared" si="18"/>
        <v>97053.827305493192</v>
      </c>
    </row>
    <row r="205" spans="10:15" x14ac:dyDescent="0.25">
      <c r="J205" s="8">
        <v>202</v>
      </c>
      <c r="K205" s="21">
        <f>IF($E$20&lt;O205+(O205*($B$5/$E$20)),$E$20,O205+(O205*($B$5/$E$20)))</f>
        <v>854.65610315496497</v>
      </c>
      <c r="L205" s="18">
        <f t="shared" si="16"/>
        <v>432.83930554484681</v>
      </c>
      <c r="M205" s="18">
        <f t="shared" si="17"/>
        <v>421.81679761011816</v>
      </c>
      <c r="N205" s="8">
        <v>0</v>
      </c>
      <c r="O205" s="18">
        <f t="shared" si="18"/>
        <v>96633.891470477422</v>
      </c>
    </row>
    <row r="206" spans="10:15" x14ac:dyDescent="0.25">
      <c r="J206" s="8">
        <v>203</v>
      </c>
      <c r="K206" s="21">
        <f>IF($E$20&lt;O206+(O206*($B$5/$E$20)),$E$20,O206+(O206*($B$5/$E$20)))</f>
        <v>854.65610315496497</v>
      </c>
      <c r="L206" s="18">
        <f t="shared" si="16"/>
        <v>430.94991780555142</v>
      </c>
      <c r="M206" s="18">
        <f t="shared" si="17"/>
        <v>423.70618534941354</v>
      </c>
      <c r="N206" s="8">
        <v>0</v>
      </c>
      <c r="O206" s="18">
        <f t="shared" si="18"/>
        <v>96212.074672867297</v>
      </c>
    </row>
    <row r="207" spans="10:15" x14ac:dyDescent="0.25">
      <c r="J207" s="8">
        <v>204</v>
      </c>
      <c r="K207" s="21">
        <f>IF($E$20&lt;O207+(O207*($B$5/$E$20)),$E$20,O207+(O207*($B$5/$E$20)))</f>
        <v>854.65610315496497</v>
      </c>
      <c r="L207" s="18">
        <f t="shared" si="16"/>
        <v>429.0520671836739</v>
      </c>
      <c r="M207" s="18">
        <f t="shared" si="17"/>
        <v>425.60403597129107</v>
      </c>
      <c r="N207" s="8">
        <v>0</v>
      </c>
      <c r="O207" s="18">
        <f t="shared" si="18"/>
        <v>95788.368487517888</v>
      </c>
    </row>
    <row r="208" spans="10:15" x14ac:dyDescent="0.25">
      <c r="J208" s="8">
        <v>205</v>
      </c>
      <c r="K208" s="21">
        <f>IF($E$20&lt;O208+(O208*($B$5/$E$20)),$E$20,O208+(O208*($B$5/$E$20)))</f>
        <v>854.65610315496497</v>
      </c>
      <c r="L208" s="18">
        <f t="shared" si="16"/>
        <v>427.14571577255242</v>
      </c>
      <c r="M208" s="18">
        <f t="shared" si="17"/>
        <v>427.51038738241255</v>
      </c>
      <c r="N208" s="8">
        <v>0</v>
      </c>
      <c r="O208" s="18">
        <f t="shared" si="18"/>
        <v>95362.764451546595</v>
      </c>
    </row>
    <row r="209" spans="10:15" x14ac:dyDescent="0.25">
      <c r="J209" s="8">
        <v>206</v>
      </c>
      <c r="K209" s="21">
        <f>IF($E$20&lt;O209+(O209*($B$5/$E$20)),$E$20,O209+(O209*($B$5/$E$20)))</f>
        <v>854.65610315496497</v>
      </c>
      <c r="L209" s="18">
        <f t="shared" si="16"/>
        <v>425.23082549573542</v>
      </c>
      <c r="M209" s="18">
        <f t="shared" si="17"/>
        <v>429.42527765922955</v>
      </c>
      <c r="N209" s="8">
        <v>0</v>
      </c>
      <c r="O209" s="18">
        <f t="shared" si="18"/>
        <v>94935.254064164183</v>
      </c>
    </row>
    <row r="210" spans="10:15" x14ac:dyDescent="0.25">
      <c r="J210" s="8">
        <v>207</v>
      </c>
      <c r="K210" s="21">
        <f>IF($E$20&lt;O210+(O210*($B$5/$E$20)),$E$20,O210+(O210*($B$5/$E$20)))</f>
        <v>854.65610315496497</v>
      </c>
      <c r="L210" s="18">
        <f t="shared" si="16"/>
        <v>423.30735810622008</v>
      </c>
      <c r="M210" s="18">
        <f t="shared" si="17"/>
        <v>431.34874504874489</v>
      </c>
      <c r="N210" s="8">
        <v>0</v>
      </c>
      <c r="O210" s="18">
        <f t="shared" si="18"/>
        <v>94505.82878650495</v>
      </c>
    </row>
    <row r="211" spans="10:15" x14ac:dyDescent="0.25">
      <c r="J211" s="8">
        <v>208</v>
      </c>
      <c r="K211" s="21">
        <f>IF($E$20&lt;O211+(O211*($B$5/$E$20)),$E$20,O211+(O211*($B$5/$E$20)))</f>
        <v>854.65610315496497</v>
      </c>
      <c r="L211" s="18">
        <f t="shared" si="16"/>
        <v>421.37527518568919</v>
      </c>
      <c r="M211" s="18">
        <f t="shared" si="17"/>
        <v>433.28082796927578</v>
      </c>
      <c r="N211" s="8">
        <v>0</v>
      </c>
      <c r="O211" s="18">
        <f t="shared" si="18"/>
        <v>94074.480041456205</v>
      </c>
    </row>
    <row r="212" spans="10:15" x14ac:dyDescent="0.25">
      <c r="J212" s="8">
        <v>209</v>
      </c>
      <c r="K212" s="21">
        <f>IF($E$20&lt;O212+(O212*($B$5/$E$20)),$E$20,O212+(O212*($B$5/$E$20)))</f>
        <v>854.65610315496497</v>
      </c>
      <c r="L212" s="18">
        <f t="shared" si="16"/>
        <v>419.43453814374357</v>
      </c>
      <c r="M212" s="18">
        <f t="shared" si="17"/>
        <v>435.2215650112214</v>
      </c>
      <c r="N212" s="8">
        <v>0</v>
      </c>
      <c r="O212" s="18">
        <f t="shared" si="18"/>
        <v>93641.199213486936</v>
      </c>
    </row>
    <row r="213" spans="10:15" x14ac:dyDescent="0.25">
      <c r="J213" s="8">
        <v>210</v>
      </c>
      <c r="K213" s="21">
        <f>IF($E$20&lt;O213+(O213*($B$5/$E$20)),$E$20,O213+(O213*($B$5/$E$20)))</f>
        <v>854.65610315496497</v>
      </c>
      <c r="L213" s="18">
        <f t="shared" si="16"/>
        <v>417.4851082171308</v>
      </c>
      <c r="M213" s="18">
        <f t="shared" si="17"/>
        <v>437.17099493783417</v>
      </c>
      <c r="N213" s="8">
        <v>0</v>
      </c>
      <c r="O213" s="18">
        <f t="shared" si="18"/>
        <v>93205.977648475717</v>
      </c>
    </row>
    <row r="214" spans="10:15" x14ac:dyDescent="0.25">
      <c r="J214" s="8">
        <v>211</v>
      </c>
      <c r="K214" s="21">
        <f>IF($E$20&lt;O214+(O214*($B$5/$E$20)),$E$20,O214+(O214*($B$5/$E$20)))</f>
        <v>854.65610315496497</v>
      </c>
      <c r="L214" s="18">
        <f t="shared" si="16"/>
        <v>415.5269464689718</v>
      </c>
      <c r="M214" s="18">
        <f t="shared" si="17"/>
        <v>439.12915668599317</v>
      </c>
      <c r="N214" s="8">
        <v>0</v>
      </c>
      <c r="O214" s="18">
        <f t="shared" si="18"/>
        <v>92768.806653537889</v>
      </c>
    </row>
    <row r="215" spans="10:15" x14ac:dyDescent="0.25">
      <c r="J215" s="8">
        <v>212</v>
      </c>
      <c r="K215" s="21">
        <f>IF($E$20&lt;O215+(O215*($B$5/$E$20)),$E$20,O215+(O215*($B$5/$E$20)))</f>
        <v>854.65610315496497</v>
      </c>
      <c r="L215" s="18">
        <f t="shared" si="16"/>
        <v>413.56001378798243</v>
      </c>
      <c r="M215" s="18">
        <f t="shared" si="17"/>
        <v>441.09608936698254</v>
      </c>
      <c r="N215" s="8">
        <v>0</v>
      </c>
      <c r="O215" s="18">
        <f t="shared" si="18"/>
        <v>92329.677496851902</v>
      </c>
    </row>
    <row r="216" spans="10:15" x14ac:dyDescent="0.25">
      <c r="J216" s="8">
        <v>213</v>
      </c>
      <c r="K216" s="21">
        <f>IF($E$20&lt;O216+(O216*($B$5/$E$20)),$E$20,O216+(O216*($B$5/$E$20)))</f>
        <v>854.65610315496497</v>
      </c>
      <c r="L216" s="18">
        <f t="shared" si="16"/>
        <v>411.58427088769287</v>
      </c>
      <c r="M216" s="18">
        <f t="shared" si="17"/>
        <v>443.0718322672721</v>
      </c>
      <c r="N216" s="8">
        <v>0</v>
      </c>
      <c r="O216" s="18">
        <f t="shared" si="18"/>
        <v>91888.581407484919</v>
      </c>
    </row>
    <row r="217" spans="10:15" x14ac:dyDescent="0.25">
      <c r="J217" s="8">
        <v>214</v>
      </c>
      <c r="K217" s="21">
        <f>IF($E$20&lt;O217+(O217*($B$5/$E$20)),$E$20,O217+(O217*($B$5/$E$20)))</f>
        <v>854.65610315496497</v>
      </c>
      <c r="L217" s="18">
        <f t="shared" si="16"/>
        <v>409.59967830566234</v>
      </c>
      <c r="M217" s="18">
        <f t="shared" si="17"/>
        <v>445.05642484930263</v>
      </c>
      <c r="N217" s="8">
        <v>0</v>
      </c>
      <c r="O217" s="18">
        <f t="shared" si="18"/>
        <v>91445.509575217642</v>
      </c>
    </row>
    <row r="218" spans="10:15" x14ac:dyDescent="0.25">
      <c r="J218" s="8">
        <v>215</v>
      </c>
      <c r="K218" s="21">
        <f>IF($E$20&lt;O218+(O218*($B$5/$E$20)),$E$20,O218+(O218*($B$5/$E$20)))</f>
        <v>854.65610315496497</v>
      </c>
      <c r="L218" s="18">
        <f t="shared" si="16"/>
        <v>407.60619640269152</v>
      </c>
      <c r="M218" s="18">
        <f t="shared" si="17"/>
        <v>447.04990675227344</v>
      </c>
      <c r="N218" s="8">
        <v>0</v>
      </c>
      <c r="O218" s="18">
        <f t="shared" si="18"/>
        <v>91000.453150368339</v>
      </c>
    </row>
    <row r="219" spans="10:15" x14ac:dyDescent="0.25">
      <c r="J219" s="8">
        <v>216</v>
      </c>
      <c r="K219" s="21">
        <f>IF($E$20&lt;O219+(O219*($B$5/$E$20)),$E$20,O219+(O219*($B$5/$E$20)))</f>
        <v>854.65610315496497</v>
      </c>
      <c r="L219" s="18">
        <f t="shared" si="16"/>
        <v>405.60378536203029</v>
      </c>
      <c r="M219" s="18">
        <f t="shared" si="17"/>
        <v>449.05231779293467</v>
      </c>
      <c r="N219" s="8">
        <v>0</v>
      </c>
      <c r="O219" s="18">
        <f t="shared" si="18"/>
        <v>90553.403243616063</v>
      </c>
    </row>
    <row r="220" spans="10:15" x14ac:dyDescent="0.25">
      <c r="J220" s="8">
        <v>217</v>
      </c>
      <c r="K220" s="21">
        <f>IF($E$20&lt;O220+(O220*($B$5/$E$20)),$E$20,O220+(O220*($B$5/$E$20)))</f>
        <v>854.65610315496497</v>
      </c>
      <c r="L220" s="18">
        <f t="shared" si="16"/>
        <v>403.59240518858275</v>
      </c>
      <c r="M220" s="18">
        <f t="shared" si="17"/>
        <v>451.06369796638222</v>
      </c>
      <c r="N220" s="8">
        <v>0</v>
      </c>
      <c r="O220" s="18">
        <f t="shared" si="18"/>
        <v>90104.350925823135</v>
      </c>
    </row>
    <row r="221" spans="10:15" x14ac:dyDescent="0.25">
      <c r="J221" s="8">
        <v>218</v>
      </c>
      <c r="K221" s="21">
        <f>IF($E$20&lt;O221+(O221*($B$5/$E$20)),$E$20,O221+(O221*($B$5/$E$20)))</f>
        <v>854.65610315496497</v>
      </c>
      <c r="L221" s="18">
        <f t="shared" si="16"/>
        <v>401.57201570810838</v>
      </c>
      <c r="M221" s="18">
        <f t="shared" si="17"/>
        <v>453.08408744685659</v>
      </c>
      <c r="N221" s="8">
        <v>0</v>
      </c>
      <c r="O221" s="18">
        <f t="shared" si="18"/>
        <v>89653.287227856752</v>
      </c>
    </row>
    <row r="222" spans="10:15" x14ac:dyDescent="0.25">
      <c r="J222" s="8">
        <v>219</v>
      </c>
      <c r="K222" s="21">
        <f>IF($E$20&lt;O222+(O222*($B$5/$E$20)),$E$20,O222+(O222*($B$5/$E$20)))</f>
        <v>854.65610315496497</v>
      </c>
      <c r="L222" s="18">
        <f t="shared" si="16"/>
        <v>399.54257656641931</v>
      </c>
      <c r="M222" s="18">
        <f t="shared" si="17"/>
        <v>455.11352658854565</v>
      </c>
      <c r="N222" s="8">
        <v>0</v>
      </c>
      <c r="O222" s="18">
        <f t="shared" si="18"/>
        <v>89200.203140409896</v>
      </c>
    </row>
    <row r="223" spans="10:15" x14ac:dyDescent="0.25">
      <c r="J223" s="8">
        <v>220</v>
      </c>
      <c r="K223" s="21">
        <f>IF($E$20&lt;O223+(O223*($B$5/$E$20)),$E$20,O223+(O223*($B$5/$E$20)))</f>
        <v>854.65610315496497</v>
      </c>
      <c r="L223" s="18">
        <f t="shared" si="16"/>
        <v>397.50404722857479</v>
      </c>
      <c r="M223" s="18">
        <f t="shared" si="17"/>
        <v>457.15205592639018</v>
      </c>
      <c r="N223" s="8">
        <v>0</v>
      </c>
      <c r="O223" s="18">
        <f t="shared" si="18"/>
        <v>88745.089613821357</v>
      </c>
    </row>
    <row r="224" spans="10:15" x14ac:dyDescent="0.25">
      <c r="J224" s="8">
        <v>221</v>
      </c>
      <c r="K224" s="21">
        <f>IF($E$20&lt;O224+(O224*($B$5/$E$20)),$E$20,O224+(O224*($B$5/$E$20)))</f>
        <v>854.65610315496497</v>
      </c>
      <c r="L224" s="18">
        <f t="shared" si="16"/>
        <v>395.45638697807118</v>
      </c>
      <c r="M224" s="18">
        <f t="shared" si="17"/>
        <v>459.19971617689379</v>
      </c>
      <c r="N224" s="8">
        <v>0</v>
      </c>
      <c r="O224" s="18">
        <f t="shared" si="18"/>
        <v>88287.937557894969</v>
      </c>
    </row>
    <row r="225" spans="10:15" x14ac:dyDescent="0.25">
      <c r="J225" s="8">
        <v>222</v>
      </c>
      <c r="K225" s="21">
        <f>IF($E$20&lt;O225+(O225*($B$5/$E$20)),$E$20,O225+(O225*($B$5/$E$20)))</f>
        <v>854.65610315496497</v>
      </c>
      <c r="L225" s="18">
        <f t="shared" si="16"/>
        <v>393.39955491602888</v>
      </c>
      <c r="M225" s="18">
        <f t="shared" si="17"/>
        <v>461.25654823893609</v>
      </c>
      <c r="N225" s="8">
        <v>0</v>
      </c>
      <c r="O225" s="18">
        <f t="shared" si="18"/>
        <v>87828.737841718073</v>
      </c>
    </row>
    <row r="226" spans="10:15" x14ac:dyDescent="0.25">
      <c r="J226" s="8">
        <v>223</v>
      </c>
      <c r="K226" s="21">
        <f>IF($E$20&lt;O226+(O226*($B$5/$E$20)),$E$20,O226+(O226*($B$5/$E$20)))</f>
        <v>854.65610315496497</v>
      </c>
      <c r="L226" s="18">
        <f t="shared" si="16"/>
        <v>391.3335099603753</v>
      </c>
      <c r="M226" s="18">
        <f t="shared" si="17"/>
        <v>463.32259319458967</v>
      </c>
      <c r="N226" s="8">
        <v>0</v>
      </c>
      <c r="O226" s="18">
        <f t="shared" si="18"/>
        <v>87367.481293479141</v>
      </c>
    </row>
    <row r="227" spans="10:15" x14ac:dyDescent="0.25">
      <c r="J227" s="8">
        <v>224</v>
      </c>
      <c r="K227" s="21">
        <f>IF($E$20&lt;O227+(O227*($B$5/$E$20)),$E$20,O227+(O227*($B$5/$E$20)))</f>
        <v>854.65610315496497</v>
      </c>
      <c r="L227" s="18">
        <f t="shared" si="16"/>
        <v>389.25821084502451</v>
      </c>
      <c r="M227" s="18">
        <f t="shared" si="17"/>
        <v>465.39789230994046</v>
      </c>
      <c r="N227" s="8">
        <v>0</v>
      </c>
      <c r="O227" s="18">
        <f t="shared" si="18"/>
        <v>86904.158700284548</v>
      </c>
    </row>
    <row r="228" spans="10:15" x14ac:dyDescent="0.25">
      <c r="J228" s="8">
        <v>225</v>
      </c>
      <c r="K228" s="21">
        <f>IF($E$20&lt;O228+(O228*($B$5/$E$20)),$E$20,O228+(O228*($B$5/$E$20)))</f>
        <v>854.65610315496497</v>
      </c>
      <c r="L228" s="18">
        <f t="shared" si="16"/>
        <v>387.17361611905295</v>
      </c>
      <c r="M228" s="18">
        <f t="shared" si="17"/>
        <v>467.48248703591202</v>
      </c>
      <c r="N228" s="8">
        <v>0</v>
      </c>
      <c r="O228" s="18">
        <f t="shared" si="18"/>
        <v>86438.760807974613</v>
      </c>
    </row>
    <row r="229" spans="10:15" x14ac:dyDescent="0.25">
      <c r="J229" s="8">
        <v>226</v>
      </c>
      <c r="K229" s="21">
        <f>IF($E$20&lt;O229+(O229*($B$5/$E$20)),$E$20,O229+(O229*($B$5/$E$20)))</f>
        <v>854.65610315496497</v>
      </c>
      <c r="L229" s="18">
        <f t="shared" si="16"/>
        <v>385.07968414587123</v>
      </c>
      <c r="M229" s="18">
        <f t="shared" si="17"/>
        <v>469.57641900909374</v>
      </c>
      <c r="N229" s="8">
        <v>0</v>
      </c>
      <c r="O229" s="18">
        <f t="shared" si="18"/>
        <v>85971.278320938698</v>
      </c>
    </row>
    <row r="230" spans="10:15" x14ac:dyDescent="0.25">
      <c r="J230" s="8">
        <v>227</v>
      </c>
      <c r="K230" s="21">
        <f>IF($E$20&lt;O230+(O230*($B$5/$E$20)),$E$20,O230+(O230*($B$5/$E$20)))</f>
        <v>854.65610315496497</v>
      </c>
      <c r="L230" s="18">
        <f t="shared" si="16"/>
        <v>382.97637310239298</v>
      </c>
      <c r="M230" s="18">
        <f t="shared" si="17"/>
        <v>471.67973005257198</v>
      </c>
      <c r="N230" s="8">
        <v>0</v>
      </c>
      <c r="O230" s="18">
        <f t="shared" si="18"/>
        <v>85501.701901929599</v>
      </c>
    </row>
    <row r="231" spans="10:15" x14ac:dyDescent="0.25">
      <c r="J231" s="8">
        <v>228</v>
      </c>
      <c r="K231" s="21">
        <f>IF($E$20&lt;O231+(O231*($B$5/$E$20)),$E$20,O231+(O231*($B$5/$E$20)))</f>
        <v>854.65610315496497</v>
      </c>
      <c r="L231" s="18">
        <f t="shared" si="16"/>
        <v>380.86364097819916</v>
      </c>
      <c r="M231" s="18">
        <f t="shared" si="17"/>
        <v>473.79246217676581</v>
      </c>
      <c r="N231" s="8">
        <v>0</v>
      </c>
      <c r="O231" s="18">
        <f t="shared" si="18"/>
        <v>85030.022171877034</v>
      </c>
    </row>
    <row r="232" spans="10:15" x14ac:dyDescent="0.25">
      <c r="J232" s="8">
        <v>229</v>
      </c>
      <c r="K232" s="21">
        <f>IF($E$20&lt;O232+(O232*($B$5/$E$20)),$E$20,O232+(O232*($B$5/$E$20)))</f>
        <v>854.65610315496497</v>
      </c>
      <c r="L232" s="18">
        <f t="shared" si="16"/>
        <v>378.74144557469913</v>
      </c>
      <c r="M232" s="18">
        <f t="shared" si="17"/>
        <v>475.91465758026584</v>
      </c>
      <c r="N232" s="8">
        <v>0</v>
      </c>
      <c r="O232" s="18">
        <f t="shared" si="18"/>
        <v>84556.229709700274</v>
      </c>
    </row>
    <row r="233" spans="10:15" x14ac:dyDescent="0.25">
      <c r="J233" s="8">
        <v>230</v>
      </c>
      <c r="K233" s="21">
        <f>IF($E$20&lt;O233+(O233*($B$5/$E$20)),$E$20,O233+(O233*($B$5/$E$20)))</f>
        <v>854.65610315496497</v>
      </c>
      <c r="L233" s="18">
        <f t="shared" si="16"/>
        <v>376.60974450428756</v>
      </c>
      <c r="M233" s="18">
        <f t="shared" si="17"/>
        <v>478.0463586506774</v>
      </c>
      <c r="N233" s="8">
        <v>0</v>
      </c>
      <c r="O233" s="18">
        <f t="shared" si="18"/>
        <v>84080.315052120015</v>
      </c>
    </row>
    <row r="234" spans="10:15" x14ac:dyDescent="0.25">
      <c r="J234" s="8">
        <v>231</v>
      </c>
      <c r="K234" s="21">
        <f>IF($E$20&lt;O234+(O234*($B$5/$E$20)),$E$20,O234+(O234*($B$5/$E$20)))</f>
        <v>854.65610315496497</v>
      </c>
      <c r="L234" s="18">
        <f t="shared" si="16"/>
        <v>374.46849518949807</v>
      </c>
      <c r="M234" s="18">
        <f t="shared" si="17"/>
        <v>480.1876079654669</v>
      </c>
      <c r="N234" s="8">
        <v>0</v>
      </c>
      <c r="O234" s="18">
        <f t="shared" si="18"/>
        <v>83602.268693469334</v>
      </c>
    </row>
    <row r="235" spans="10:15" x14ac:dyDescent="0.25">
      <c r="J235" s="8">
        <v>232</v>
      </c>
      <c r="K235" s="21">
        <f>IF($E$20&lt;O235+(O235*($B$5/$E$20)),$E$20,O235+(O235*($B$5/$E$20)))</f>
        <v>854.65610315496497</v>
      </c>
      <c r="L235" s="18">
        <f t="shared" si="16"/>
        <v>372.31765486215272</v>
      </c>
      <c r="M235" s="18">
        <f t="shared" si="17"/>
        <v>482.33844829281225</v>
      </c>
      <c r="N235" s="8">
        <v>0</v>
      </c>
      <c r="O235" s="18">
        <f t="shared" si="18"/>
        <v>83122.081085503873</v>
      </c>
    </row>
    <row r="236" spans="10:15" x14ac:dyDescent="0.25">
      <c r="J236" s="8">
        <v>233</v>
      </c>
      <c r="K236" s="21">
        <f>IF($E$20&lt;O236+(O236*($B$5/$E$20)),$E$20,O236+(O236*($B$5/$E$20)))</f>
        <v>854.65610315496497</v>
      </c>
      <c r="L236" s="18">
        <f t="shared" si="16"/>
        <v>370.1571805625079</v>
      </c>
      <c r="M236" s="18">
        <f t="shared" si="17"/>
        <v>484.49892259245706</v>
      </c>
      <c r="N236" s="8">
        <v>0</v>
      </c>
      <c r="O236" s="18">
        <f t="shared" si="18"/>
        <v>82639.742637211064</v>
      </c>
    </row>
    <row r="237" spans="10:15" x14ac:dyDescent="0.25">
      <c r="J237" s="8">
        <v>234</v>
      </c>
      <c r="K237" s="21">
        <f>IF($E$20&lt;O237+(O237*($B$5/$E$20)),$E$20,O237+(O237*($B$5/$E$20)))</f>
        <v>854.65610315496497</v>
      </c>
      <c r="L237" s="18">
        <f t="shared" si="16"/>
        <v>367.98702913839588</v>
      </c>
      <c r="M237" s="18">
        <f t="shared" si="17"/>
        <v>486.66907401656908</v>
      </c>
      <c r="N237" s="8">
        <v>0</v>
      </c>
      <c r="O237" s="18">
        <f t="shared" si="18"/>
        <v>82155.243714618613</v>
      </c>
    </row>
    <row r="238" spans="10:15" x14ac:dyDescent="0.25">
      <c r="J238" s="8">
        <v>235</v>
      </c>
      <c r="K238" s="21">
        <f>IF($E$20&lt;O238+(O238*($B$5/$E$20)),$E$20,O238+(O238*($B$5/$E$20)))</f>
        <v>854.65610315496497</v>
      </c>
      <c r="L238" s="18">
        <f t="shared" si="16"/>
        <v>365.80715724436328</v>
      </c>
      <c r="M238" s="18">
        <f t="shared" si="17"/>
        <v>488.84894591060169</v>
      </c>
      <c r="N238" s="8">
        <v>0</v>
      </c>
      <c r="O238" s="18">
        <f t="shared" si="18"/>
        <v>81668.574640602048</v>
      </c>
    </row>
    <row r="239" spans="10:15" x14ac:dyDescent="0.25">
      <c r="J239" s="8">
        <v>236</v>
      </c>
      <c r="K239" s="21">
        <f>IF($E$20&lt;O239+(O239*($B$5/$E$20)),$E$20,O239+(O239*($B$5/$E$20)))</f>
        <v>854.65610315496497</v>
      </c>
      <c r="L239" s="18">
        <f t="shared" si="16"/>
        <v>363.61752134080547</v>
      </c>
      <c r="M239" s="18">
        <f t="shared" si="17"/>
        <v>491.0385818141595</v>
      </c>
      <c r="N239" s="8">
        <v>0</v>
      </c>
      <c r="O239" s="18">
        <f t="shared" si="18"/>
        <v>81179.725694691442</v>
      </c>
    </row>
    <row r="240" spans="10:15" x14ac:dyDescent="0.25">
      <c r="J240" s="8">
        <v>237</v>
      </c>
      <c r="K240" s="21">
        <f>IF($E$20&lt;O240+(O240*($B$5/$E$20)),$E$20,O240+(O240*($B$5/$E$20)))</f>
        <v>854.65610315496497</v>
      </c>
      <c r="L240" s="18">
        <f t="shared" si="16"/>
        <v>361.41807769309617</v>
      </c>
      <c r="M240" s="18">
        <f t="shared" si="17"/>
        <v>493.2380254618688</v>
      </c>
      <c r="N240" s="8">
        <v>0</v>
      </c>
      <c r="O240" s="18">
        <f t="shared" si="18"/>
        <v>80688.687112877276</v>
      </c>
    </row>
    <row r="241" spans="10:15" x14ac:dyDescent="0.25">
      <c r="J241" s="8">
        <v>238</v>
      </c>
      <c r="K241" s="21">
        <f>IF($E$20&lt;O241+(O241*($B$5/$E$20)),$E$20,O241+(O241*($B$5/$E$20)))</f>
        <v>854.65610315496497</v>
      </c>
      <c r="L241" s="18">
        <f t="shared" si="16"/>
        <v>359.20878237071491</v>
      </c>
      <c r="M241" s="18">
        <f t="shared" si="17"/>
        <v>495.44732078425005</v>
      </c>
      <c r="N241" s="8">
        <v>0</v>
      </c>
      <c r="O241" s="18">
        <f t="shared" si="18"/>
        <v>80195.449087415414</v>
      </c>
    </row>
    <row r="242" spans="10:15" x14ac:dyDescent="0.25">
      <c r="J242" s="8">
        <v>239</v>
      </c>
      <c r="K242" s="21">
        <f>IF($E$20&lt;O242+(O242*($B$5/$E$20)),$E$20,O242+(O242*($B$5/$E$20)))</f>
        <v>854.65610315496497</v>
      </c>
      <c r="L242" s="18">
        <f t="shared" si="16"/>
        <v>356.98959124636872</v>
      </c>
      <c r="M242" s="18">
        <f t="shared" si="17"/>
        <v>497.66651190859625</v>
      </c>
      <c r="N242" s="8">
        <v>0</v>
      </c>
      <c r="O242" s="18">
        <f t="shared" si="18"/>
        <v>79700.001766631161</v>
      </c>
    </row>
    <row r="243" spans="10:15" x14ac:dyDescent="0.25">
      <c r="J243" s="8">
        <v>240</v>
      </c>
      <c r="K243" s="21">
        <f>IF($E$20&lt;O243+(O243*($B$5/$E$20)),$E$20,O243+(O243*($B$5/$E$20)))</f>
        <v>854.65610315496497</v>
      </c>
      <c r="L243" s="18">
        <f t="shared" si="16"/>
        <v>354.76045999511149</v>
      </c>
      <c r="M243" s="18">
        <f t="shared" si="17"/>
        <v>499.89564315985348</v>
      </c>
      <c r="N243" s="8">
        <v>0</v>
      </c>
      <c r="O243" s="18">
        <f t="shared" si="18"/>
        <v>79202.335254722566</v>
      </c>
    </row>
    <row r="244" spans="10:15" x14ac:dyDescent="0.25">
      <c r="J244" s="8">
        <v>241</v>
      </c>
      <c r="K244" s="21">
        <f>IF($E$20&lt;O244+(O244*($B$5/$E$20)),$E$20,O244+(O244*($B$5/$E$20)))</f>
        <v>854.65610315496497</v>
      </c>
      <c r="L244" s="18">
        <f t="shared" si="16"/>
        <v>352.52134409345803</v>
      </c>
      <c r="M244" s="18">
        <f t="shared" si="17"/>
        <v>502.13475906150694</v>
      </c>
      <c r="N244" s="8">
        <v>0</v>
      </c>
      <c r="O244" s="18">
        <f t="shared" si="18"/>
        <v>78702.439611562717</v>
      </c>
    </row>
    <row r="245" spans="10:15" x14ac:dyDescent="0.25">
      <c r="J245" s="8">
        <v>242</v>
      </c>
      <c r="K245" s="21">
        <f>IF($E$20&lt;O245+(O245*($B$5/$E$20)),$E$20,O245+(O245*($B$5/$E$20)))</f>
        <v>854.65610315496497</v>
      </c>
      <c r="L245" s="18">
        <f t="shared" si="16"/>
        <v>350.27219881849504</v>
      </c>
      <c r="M245" s="18">
        <f t="shared" si="17"/>
        <v>504.38390433646993</v>
      </c>
      <c r="N245" s="8">
        <v>0</v>
      </c>
      <c r="O245" s="18">
        <f t="shared" si="18"/>
        <v>78200.304852501213</v>
      </c>
    </row>
    <row r="246" spans="10:15" x14ac:dyDescent="0.25">
      <c r="J246" s="8">
        <v>243</v>
      </c>
      <c r="K246" s="21">
        <f>IF($E$20&lt;O246+(O246*($B$5/$E$20)),$E$20,O246+(O246*($B$5/$E$20)))</f>
        <v>854.65610315496497</v>
      </c>
      <c r="L246" s="18">
        <f t="shared" si="16"/>
        <v>348.01297924698792</v>
      </c>
      <c r="M246" s="18">
        <f t="shared" si="17"/>
        <v>506.64312390797704</v>
      </c>
      <c r="N246" s="8">
        <v>0</v>
      </c>
      <c r="O246" s="18">
        <f t="shared" si="18"/>
        <v>77695.920948164741</v>
      </c>
    </row>
    <row r="247" spans="10:15" x14ac:dyDescent="0.25">
      <c r="J247" s="8">
        <v>244</v>
      </c>
      <c r="K247" s="21">
        <f>IF($E$20&lt;O247+(O247*($B$5/$E$20)),$E$20,O247+(O247*($B$5/$E$20)))</f>
        <v>854.65610315496497</v>
      </c>
      <c r="L247" s="18">
        <f t="shared" si="16"/>
        <v>345.74364025448341</v>
      </c>
      <c r="M247" s="18">
        <f t="shared" si="17"/>
        <v>508.91246290048156</v>
      </c>
      <c r="N247" s="8">
        <v>0</v>
      </c>
      <c r="O247" s="18">
        <f t="shared" si="18"/>
        <v>77189.277824256758</v>
      </c>
    </row>
    <row r="248" spans="10:15" x14ac:dyDescent="0.25">
      <c r="J248" s="8">
        <v>245</v>
      </c>
      <c r="K248" s="21">
        <f>IF($E$20&lt;O248+(O248*($B$5/$E$20)),$E$20,O248+(O248*($B$5/$E$20)))</f>
        <v>854.65610315496497</v>
      </c>
      <c r="L248" s="18">
        <f t="shared" si="16"/>
        <v>343.46413651440838</v>
      </c>
      <c r="M248" s="18">
        <f t="shared" si="17"/>
        <v>511.19196664055659</v>
      </c>
      <c r="N248" s="8">
        <v>0</v>
      </c>
      <c r="O248" s="18">
        <f t="shared" si="18"/>
        <v>76680.365361356278</v>
      </c>
    </row>
    <row r="249" spans="10:15" x14ac:dyDescent="0.25">
      <c r="J249" s="8">
        <v>246</v>
      </c>
      <c r="K249" s="21">
        <f>IF($E$20&lt;O249+(O249*($B$5/$E$20)),$E$20,O249+(O249*($B$5/$E$20)))</f>
        <v>854.65610315496497</v>
      </c>
      <c r="L249" s="18">
        <f t="shared" si="16"/>
        <v>341.17442249716413</v>
      </c>
      <c r="M249" s="18">
        <f t="shared" si="17"/>
        <v>513.48168065780078</v>
      </c>
      <c r="N249" s="8">
        <v>0</v>
      </c>
      <c r="O249" s="18">
        <f t="shared" si="18"/>
        <v>76169.173394715719</v>
      </c>
    </row>
    <row r="250" spans="10:15" x14ac:dyDescent="0.25">
      <c r="J250" s="8">
        <v>247</v>
      </c>
      <c r="K250" s="21">
        <f>IF($E$20&lt;O250+(O250*($B$5/$E$20)),$E$20,O250+(O250*($B$5/$E$20)))</f>
        <v>854.65610315496497</v>
      </c>
      <c r="L250" s="18">
        <f t="shared" si="16"/>
        <v>338.87445246921772</v>
      </c>
      <c r="M250" s="18">
        <f t="shared" si="17"/>
        <v>515.78165068574731</v>
      </c>
      <c r="N250" s="8">
        <v>0</v>
      </c>
      <c r="O250" s="18">
        <f t="shared" si="18"/>
        <v>75655.691714057917</v>
      </c>
    </row>
    <row r="251" spans="10:15" x14ac:dyDescent="0.25">
      <c r="J251" s="8">
        <v>248</v>
      </c>
      <c r="K251" s="21">
        <f>IF($E$20&lt;O251+(O251*($B$5/$E$20)),$E$20,O251+(O251*($B$5/$E$20)))</f>
        <v>854.65610315496497</v>
      </c>
      <c r="L251" s="18">
        <f t="shared" si="16"/>
        <v>336.56418049218786</v>
      </c>
      <c r="M251" s="18">
        <f t="shared" si="17"/>
        <v>518.09192266277705</v>
      </c>
      <c r="N251" s="8">
        <v>0</v>
      </c>
      <c r="O251" s="18">
        <f t="shared" si="18"/>
        <v>75139.910063372168</v>
      </c>
    </row>
    <row r="252" spans="10:15" x14ac:dyDescent="0.25">
      <c r="J252" s="8">
        <v>249</v>
      </c>
      <c r="K252" s="21">
        <f>IF($E$20&lt;O252+(O252*($B$5/$E$20)),$E$20,O252+(O252*($B$5/$E$20)))</f>
        <v>854.65610315496497</v>
      </c>
      <c r="L252" s="18">
        <f t="shared" si="16"/>
        <v>334.2435604219275</v>
      </c>
      <c r="M252" s="18">
        <f t="shared" si="17"/>
        <v>520.41254273303753</v>
      </c>
      <c r="N252" s="8">
        <v>0</v>
      </c>
      <c r="O252" s="18">
        <f t="shared" si="18"/>
        <v>74621.818140709394</v>
      </c>
    </row>
    <row r="253" spans="10:15" x14ac:dyDescent="0.25">
      <c r="J253" s="8">
        <v>250</v>
      </c>
      <c r="K253" s="21">
        <f>IF($E$20&lt;O253+(O253*($B$5/$E$20)),$E$20,O253+(O253*($B$5/$E$20)))</f>
        <v>854.65610315496497</v>
      </c>
      <c r="L253" s="18">
        <f t="shared" si="16"/>
        <v>331.91254590760241</v>
      </c>
      <c r="M253" s="18">
        <f t="shared" si="17"/>
        <v>522.74355724736256</v>
      </c>
      <c r="N253" s="8">
        <v>0</v>
      </c>
      <c r="O253" s="18">
        <f t="shared" si="18"/>
        <v>74101.405597976351</v>
      </c>
    </row>
    <row r="254" spans="10:15" x14ac:dyDescent="0.25">
      <c r="J254" s="8">
        <v>251</v>
      </c>
      <c r="K254" s="21">
        <f>IF($E$20&lt;O254+(O254*($B$5/$E$20)),$E$20,O254+(O254*($B$5/$E$20)))</f>
        <v>854.65610315496497</v>
      </c>
      <c r="L254" s="18">
        <f t="shared" si="16"/>
        <v>329.57109039076528</v>
      </c>
      <c r="M254" s="18">
        <f t="shared" si="17"/>
        <v>525.08501276419975</v>
      </c>
      <c r="N254" s="8">
        <v>0</v>
      </c>
      <c r="O254" s="18">
        <f t="shared" si="18"/>
        <v>73578.662040728988</v>
      </c>
    </row>
    <row r="255" spans="10:15" x14ac:dyDescent="0.25">
      <c r="J255" s="8">
        <v>252</v>
      </c>
      <c r="K255" s="21">
        <f>IF($E$20&lt;O255+(O255*($B$5/$E$20)),$E$20,O255+(O255*($B$5/$E$20)))</f>
        <v>854.65610315496497</v>
      </c>
      <c r="L255" s="18">
        <f t="shared" si="16"/>
        <v>327.21914710442559</v>
      </c>
      <c r="M255" s="18">
        <f t="shared" si="17"/>
        <v>527.43695605053938</v>
      </c>
      <c r="N255" s="8">
        <v>0</v>
      </c>
      <c r="O255" s="18">
        <f t="shared" si="18"/>
        <v>73053.577027964784</v>
      </c>
    </row>
    <row r="256" spans="10:15" x14ac:dyDescent="0.25">
      <c r="J256" s="8">
        <v>253</v>
      </c>
      <c r="K256" s="21">
        <f>IF($E$20&lt;O256+(O256*($B$5/$E$20)),$E$20,O256+(O256*($B$5/$E$20)))</f>
        <v>854.65610315496497</v>
      </c>
      <c r="L256" s="18">
        <f t="shared" si="16"/>
        <v>324.85666907211584</v>
      </c>
      <c r="M256" s="18">
        <f t="shared" si="17"/>
        <v>529.79943408284907</v>
      </c>
      <c r="N256" s="8">
        <v>0</v>
      </c>
      <c r="O256" s="18">
        <f t="shared" si="18"/>
        <v>72526.14007191424</v>
      </c>
    </row>
    <row r="257" spans="10:15" x14ac:dyDescent="0.25">
      <c r="J257" s="8">
        <v>254</v>
      </c>
      <c r="K257" s="21">
        <f>IF($E$20&lt;O257+(O257*($B$5/$E$20)),$E$20,O257+(O257*($B$5/$E$20)))</f>
        <v>854.65610315496497</v>
      </c>
      <c r="L257" s="18">
        <f t="shared" si="16"/>
        <v>322.48360910695311</v>
      </c>
      <c r="M257" s="18">
        <f t="shared" si="17"/>
        <v>532.17249404801191</v>
      </c>
      <c r="N257" s="8">
        <v>0</v>
      </c>
      <c r="O257" s="18">
        <f t="shared" si="18"/>
        <v>71996.340637831396</v>
      </c>
    </row>
    <row r="258" spans="10:15" x14ac:dyDescent="0.25">
      <c r="J258" s="8">
        <v>255</v>
      </c>
      <c r="K258" s="21">
        <f>IF($E$20&lt;O258+(O258*($B$5/$E$20)),$E$20,O258+(O258*($B$5/$E$20)))</f>
        <v>854.65610315496497</v>
      </c>
      <c r="L258" s="18">
        <f t="shared" si="16"/>
        <v>320.09991981069646</v>
      </c>
      <c r="M258" s="18">
        <f t="shared" si="17"/>
        <v>534.55618334426845</v>
      </c>
      <c r="N258" s="8">
        <v>0</v>
      </c>
      <c r="O258" s="18">
        <f t="shared" si="18"/>
        <v>71464.16814378339</v>
      </c>
    </row>
    <row r="259" spans="10:15" x14ac:dyDescent="0.25">
      <c r="J259" s="8">
        <v>256</v>
      </c>
      <c r="K259" s="21">
        <f>IF($E$20&lt;O259+(O259*($B$5/$E$20)),$E$20,O259+(O259*($B$5/$E$20)))</f>
        <v>854.65610315496497</v>
      </c>
      <c r="L259" s="18">
        <f t="shared" ref="L259:L322" si="19">O259*$B$5/$B$4</f>
        <v>317.70555357280028</v>
      </c>
      <c r="M259" s="18">
        <f t="shared" si="17"/>
        <v>536.95054958216474</v>
      </c>
      <c r="N259" s="8">
        <v>0</v>
      </c>
      <c r="O259" s="18">
        <f t="shared" si="18"/>
        <v>70929.611960439128</v>
      </c>
    </row>
    <row r="260" spans="10:15" x14ac:dyDescent="0.25">
      <c r="J260" s="8">
        <v>257</v>
      </c>
      <c r="K260" s="21">
        <f>IF($E$20&lt;O260+(O260*($B$5/$E$20)),$E$20,O260+(O260*($B$5/$E$20)))</f>
        <v>854.65610315496497</v>
      </c>
      <c r="L260" s="18">
        <f t="shared" si="19"/>
        <v>315.30046256946349</v>
      </c>
      <c r="M260" s="18">
        <f t="shared" si="17"/>
        <v>539.35564058550153</v>
      </c>
      <c r="N260" s="8">
        <v>0</v>
      </c>
      <c r="O260" s="18">
        <f t="shared" si="18"/>
        <v>70392.661410856963</v>
      </c>
    </row>
    <row r="261" spans="10:15" x14ac:dyDescent="0.25">
      <c r="J261" s="8">
        <v>258</v>
      </c>
      <c r="K261" s="21">
        <f>IF($E$20&lt;O261+(O261*($B$5/$E$20)),$E$20,O261+(O261*($B$5/$E$20)))</f>
        <v>854.65610315496497</v>
      </c>
      <c r="L261" s="18">
        <f t="shared" si="19"/>
        <v>312.88459876267422</v>
      </c>
      <c r="M261" s="18">
        <f t="shared" ref="M261:M324" si="20">K261-L261</f>
        <v>541.77150439229081</v>
      </c>
      <c r="N261" s="8">
        <v>0</v>
      </c>
      <c r="O261" s="18">
        <f t="shared" ref="O261:O324" si="21">O260-M260-N260</f>
        <v>69853.305770271458</v>
      </c>
    </row>
    <row r="262" spans="10:15" x14ac:dyDescent="0.25">
      <c r="J262" s="8">
        <v>259</v>
      </c>
      <c r="K262" s="21">
        <f>IF($E$20&lt;O262+(O262*($B$5/$E$20)),$E$20,O262+(O262*($B$5/$E$20)))</f>
        <v>854.65610315496497</v>
      </c>
      <c r="L262" s="18">
        <f t="shared" si="19"/>
        <v>310.4579138992504</v>
      </c>
      <c r="M262" s="18">
        <f t="shared" si="20"/>
        <v>544.19818925571462</v>
      </c>
      <c r="N262" s="8">
        <v>0</v>
      </c>
      <c r="O262" s="18">
        <f t="shared" si="21"/>
        <v>69311.534265879163</v>
      </c>
    </row>
    <row r="263" spans="10:15" x14ac:dyDescent="0.25">
      <c r="J263" s="8">
        <v>260</v>
      </c>
      <c r="K263" s="21">
        <f>IF($E$20&lt;O263+(O263*($B$5/$E$20)),$E$20,O263+(O263*($B$5/$E$20)))</f>
        <v>854.65610315496497</v>
      </c>
      <c r="L263" s="18">
        <f t="shared" si="19"/>
        <v>308.0203595098759</v>
      </c>
      <c r="M263" s="18">
        <f t="shared" si="20"/>
        <v>546.63574364508906</v>
      </c>
      <c r="N263" s="8">
        <v>0</v>
      </c>
      <c r="O263" s="18">
        <f t="shared" si="21"/>
        <v>68767.336076623455</v>
      </c>
    </row>
    <row r="264" spans="10:15" x14ac:dyDescent="0.25">
      <c r="J264" s="8">
        <v>261</v>
      </c>
      <c r="K264" s="21">
        <f>IF($E$20&lt;O264+(O264*($B$5/$E$20)),$E$20,O264+(O264*($B$5/$E$20)))</f>
        <v>854.65610315496497</v>
      </c>
      <c r="L264" s="18">
        <f t="shared" si="19"/>
        <v>305.57188690813223</v>
      </c>
      <c r="M264" s="18">
        <f t="shared" si="20"/>
        <v>549.08421624683274</v>
      </c>
      <c r="N264" s="8">
        <v>0</v>
      </c>
      <c r="O264" s="18">
        <f t="shared" si="21"/>
        <v>68220.700332978362</v>
      </c>
    </row>
    <row r="265" spans="10:15" x14ac:dyDescent="0.25">
      <c r="J265" s="8">
        <v>262</v>
      </c>
      <c r="K265" s="21">
        <f>IF($E$20&lt;O265+(O265*($B$5/$E$20)),$E$20,O265+(O265*($B$5/$E$20)))</f>
        <v>854.65610315496497</v>
      </c>
      <c r="L265" s="18">
        <f t="shared" si="19"/>
        <v>303.11244718952662</v>
      </c>
      <c r="M265" s="18">
        <f t="shared" si="20"/>
        <v>551.54365596543835</v>
      </c>
      <c r="N265" s="8">
        <v>0</v>
      </c>
      <c r="O265" s="18">
        <f t="shared" si="21"/>
        <v>67671.616116731529</v>
      </c>
    </row>
    <row r="266" spans="10:15" x14ac:dyDescent="0.25">
      <c r="J266" s="8">
        <v>263</v>
      </c>
      <c r="K266" s="21">
        <f>IF($E$20&lt;O266+(O266*($B$5/$E$20)),$E$20,O266+(O266*($B$5/$E$20)))</f>
        <v>854.65610315496497</v>
      </c>
      <c r="L266" s="18">
        <f t="shared" si="19"/>
        <v>300.6419912305148</v>
      </c>
      <c r="M266" s="18">
        <f t="shared" si="20"/>
        <v>554.01411192445016</v>
      </c>
      <c r="N266" s="8">
        <v>0</v>
      </c>
      <c r="O266" s="18">
        <f t="shared" si="21"/>
        <v>67120.072460766096</v>
      </c>
    </row>
    <row r="267" spans="10:15" x14ac:dyDescent="0.25">
      <c r="J267" s="8">
        <v>264</v>
      </c>
      <c r="K267" s="21">
        <f>IF($E$20&lt;O267+(O267*($B$5/$E$20)),$E$20,O267+(O267*($B$5/$E$20)))</f>
        <v>854.65610315496497</v>
      </c>
      <c r="L267" s="18">
        <f t="shared" si="19"/>
        <v>298.16046968751988</v>
      </c>
      <c r="M267" s="18">
        <f t="shared" si="20"/>
        <v>556.49563346744503</v>
      </c>
      <c r="N267" s="8">
        <v>0</v>
      </c>
      <c r="O267" s="18">
        <f t="shared" si="21"/>
        <v>66566.058348841645</v>
      </c>
    </row>
    <row r="268" spans="10:15" x14ac:dyDescent="0.25">
      <c r="J268" s="8">
        <v>265</v>
      </c>
      <c r="K268" s="21">
        <f>IF($E$20&lt;O268+(O268*($B$5/$E$20)),$E$20,O268+(O268*($B$5/$E$20)))</f>
        <v>854.65610315496497</v>
      </c>
      <c r="L268" s="18">
        <f t="shared" si="19"/>
        <v>295.66783299594692</v>
      </c>
      <c r="M268" s="18">
        <f t="shared" si="20"/>
        <v>558.98827015901804</v>
      </c>
      <c r="N268" s="8">
        <v>0</v>
      </c>
      <c r="O268" s="18">
        <f t="shared" si="21"/>
        <v>66009.562715374195</v>
      </c>
    </row>
    <row r="269" spans="10:15" x14ac:dyDescent="0.25">
      <c r="J269" s="8">
        <v>266</v>
      </c>
      <c r="K269" s="21">
        <f>IF($E$20&lt;O269+(O269*($B$5/$E$20)),$E$20,O269+(O269*($B$5/$E$20)))</f>
        <v>854.65610315496497</v>
      </c>
      <c r="L269" s="18">
        <f t="shared" si="19"/>
        <v>293.16403136919297</v>
      </c>
      <c r="M269" s="18">
        <f t="shared" si="20"/>
        <v>561.49207178577194</v>
      </c>
      <c r="N269" s="8">
        <v>0</v>
      </c>
      <c r="O269" s="18">
        <f t="shared" si="21"/>
        <v>65450.574445215178</v>
      </c>
    </row>
    <row r="270" spans="10:15" x14ac:dyDescent="0.25">
      <c r="J270" s="8">
        <v>267</v>
      </c>
      <c r="K270" s="21">
        <f>IF($E$20&lt;O270+(O270*($B$5/$E$20)),$E$20,O270+(O270*($B$5/$E$20)))</f>
        <v>854.65610315496497</v>
      </c>
      <c r="L270" s="18">
        <f t="shared" si="19"/>
        <v>290.64901479765251</v>
      </c>
      <c r="M270" s="18">
        <f t="shared" si="20"/>
        <v>564.00708835731245</v>
      </c>
      <c r="N270" s="8">
        <v>0</v>
      </c>
      <c r="O270" s="18">
        <f t="shared" si="21"/>
        <v>64889.082373429403</v>
      </c>
    </row>
    <row r="271" spans="10:15" x14ac:dyDescent="0.25">
      <c r="J271" s="8">
        <v>268</v>
      </c>
      <c r="K271" s="21">
        <f>IF($E$20&lt;O271+(O271*($B$5/$E$20)),$E$20,O271+(O271*($B$5/$E$20)))</f>
        <v>854.65610315496497</v>
      </c>
      <c r="L271" s="18">
        <f t="shared" si="19"/>
        <v>288.12273304771873</v>
      </c>
      <c r="M271" s="18">
        <f t="shared" si="20"/>
        <v>566.53337010724624</v>
      </c>
      <c r="N271" s="8">
        <v>0</v>
      </c>
      <c r="O271" s="18">
        <f t="shared" si="21"/>
        <v>64325.075285072089</v>
      </c>
    </row>
    <row r="272" spans="10:15" x14ac:dyDescent="0.25">
      <c r="J272" s="8">
        <v>269</v>
      </c>
      <c r="K272" s="21">
        <f>IF($E$20&lt;O272+(O272*($B$5/$E$20)),$E$20,O272+(O272*($B$5/$E$20)))</f>
        <v>854.65610315496497</v>
      </c>
      <c r="L272" s="18">
        <f t="shared" si="19"/>
        <v>285.58513566078005</v>
      </c>
      <c r="M272" s="18">
        <f t="shared" si="20"/>
        <v>569.07096749418497</v>
      </c>
      <c r="N272" s="8">
        <v>0</v>
      </c>
      <c r="O272" s="18">
        <f t="shared" si="21"/>
        <v>63758.541914964844</v>
      </c>
    </row>
    <row r="273" spans="10:15" x14ac:dyDescent="0.25">
      <c r="J273" s="8">
        <v>270</v>
      </c>
      <c r="K273" s="21">
        <f>IF($E$20&lt;O273+(O273*($B$5/$E$20)),$E$20,O273+(O273*($B$5/$E$20)))</f>
        <v>854.65610315496497</v>
      </c>
      <c r="L273" s="18">
        <f t="shared" si="19"/>
        <v>283.03617195221233</v>
      </c>
      <c r="M273" s="18">
        <f t="shared" si="20"/>
        <v>571.6199312027527</v>
      </c>
      <c r="N273" s="8">
        <v>0</v>
      </c>
      <c r="O273" s="18">
        <f t="shared" si="21"/>
        <v>63189.470947470661</v>
      </c>
    </row>
    <row r="274" spans="10:15" x14ac:dyDescent="0.25">
      <c r="J274" s="8">
        <v>271</v>
      </c>
      <c r="K274" s="21">
        <f>IF($E$20&lt;O274+(O274*($B$5/$E$20)),$E$20,O274+(O274*($B$5/$E$20)))</f>
        <v>854.65610315496497</v>
      </c>
      <c r="L274" s="18">
        <f t="shared" si="19"/>
        <v>280.47579101036666</v>
      </c>
      <c r="M274" s="18">
        <f t="shared" si="20"/>
        <v>574.18031214459825</v>
      </c>
      <c r="N274" s="8">
        <v>0</v>
      </c>
      <c r="O274" s="18">
        <f t="shared" si="21"/>
        <v>62617.851016267909</v>
      </c>
    </row>
    <row r="275" spans="10:15" x14ac:dyDescent="0.25">
      <c r="J275" s="8">
        <v>272</v>
      </c>
      <c r="K275" s="21">
        <f>IF($E$20&lt;O275+(O275*($B$5/$E$20)),$E$20,O275+(O275*($B$5/$E$20)))</f>
        <v>854.65610315496497</v>
      </c>
      <c r="L275" s="18">
        <f t="shared" si="19"/>
        <v>277.90394169555231</v>
      </c>
      <c r="M275" s="18">
        <f t="shared" si="20"/>
        <v>576.75216145941272</v>
      </c>
      <c r="N275" s="8">
        <v>0</v>
      </c>
      <c r="O275" s="18">
        <f t="shared" si="21"/>
        <v>62043.670704123309</v>
      </c>
    </row>
    <row r="276" spans="10:15" x14ac:dyDescent="0.25">
      <c r="J276" s="8">
        <v>273</v>
      </c>
      <c r="K276" s="21">
        <f>IF($E$20&lt;O276+(O276*($B$5/$E$20)),$E$20,O276+(O276*($B$5/$E$20)))</f>
        <v>854.65610315496497</v>
      </c>
      <c r="L276" s="18">
        <f t="shared" si="19"/>
        <v>275.32057263901532</v>
      </c>
      <c r="M276" s="18">
        <f t="shared" si="20"/>
        <v>579.33553051594959</v>
      </c>
      <c r="N276" s="8">
        <v>0</v>
      </c>
      <c r="O276" s="18">
        <f t="shared" si="21"/>
        <v>61466.918542663894</v>
      </c>
    </row>
    <row r="277" spans="10:15" x14ac:dyDescent="0.25">
      <c r="J277" s="8">
        <v>274</v>
      </c>
      <c r="K277" s="21">
        <f>IF($E$20&lt;O277+(O277*($B$5/$E$20)),$E$20,O277+(O277*($B$5/$E$20)))</f>
        <v>854.65610315496497</v>
      </c>
      <c r="L277" s="18">
        <f t="shared" si="19"/>
        <v>272.72563224191265</v>
      </c>
      <c r="M277" s="18">
        <f t="shared" si="20"/>
        <v>581.93047091305232</v>
      </c>
      <c r="N277" s="8">
        <v>0</v>
      </c>
      <c r="O277" s="18">
        <f t="shared" si="21"/>
        <v>60887.583012147945</v>
      </c>
    </row>
    <row r="278" spans="10:15" x14ac:dyDescent="0.25">
      <c r="J278" s="8">
        <v>275</v>
      </c>
      <c r="K278" s="21">
        <f>IF($E$20&lt;O278+(O278*($B$5/$E$20)),$E$20,O278+(O278*($B$5/$E$20)))</f>
        <v>854.65610315496497</v>
      </c>
      <c r="L278" s="18">
        <f t="shared" si="19"/>
        <v>270.11906867428132</v>
      </c>
      <c r="M278" s="18">
        <f t="shared" si="20"/>
        <v>584.53703448068359</v>
      </c>
      <c r="N278" s="8">
        <v>0</v>
      </c>
      <c r="O278" s="18">
        <f t="shared" si="21"/>
        <v>60305.652541234893</v>
      </c>
    </row>
    <row r="279" spans="10:15" x14ac:dyDescent="0.25">
      <c r="J279" s="8">
        <v>276</v>
      </c>
      <c r="K279" s="21">
        <f>IF($E$20&lt;O279+(O279*($B$5/$E$20)),$E$20,O279+(O279*($B$5/$E$20)))</f>
        <v>854.65610315496497</v>
      </c>
      <c r="L279" s="18">
        <f t="shared" si="19"/>
        <v>267.50082987400322</v>
      </c>
      <c r="M279" s="18">
        <f t="shared" si="20"/>
        <v>587.15527328096175</v>
      </c>
      <c r="N279" s="8">
        <v>0</v>
      </c>
      <c r="O279" s="18">
        <f t="shared" si="21"/>
        <v>59721.115506754206</v>
      </c>
    </row>
    <row r="280" spans="10:15" x14ac:dyDescent="0.25">
      <c r="J280" s="8">
        <v>277</v>
      </c>
      <c r="K280" s="21">
        <f>IF($E$20&lt;O280+(O280*($B$5/$E$20)),$E$20,O280+(O280*($B$5/$E$20)))</f>
        <v>854.65610315496497</v>
      </c>
      <c r="L280" s="18">
        <f t="shared" si="19"/>
        <v>264.87086354576553</v>
      </c>
      <c r="M280" s="18">
        <f t="shared" si="20"/>
        <v>589.78523960919938</v>
      </c>
      <c r="N280" s="8">
        <v>0</v>
      </c>
      <c r="O280" s="18">
        <f t="shared" si="21"/>
        <v>59133.960233473241</v>
      </c>
    </row>
    <row r="281" spans="10:15" x14ac:dyDescent="0.25">
      <c r="J281" s="8">
        <v>278</v>
      </c>
      <c r="K281" s="21">
        <f>IF($E$20&lt;O281+(O281*($B$5/$E$20)),$E$20,O281+(O281*($B$5/$E$20)))</f>
        <v>854.65610315496497</v>
      </c>
      <c r="L281" s="18">
        <f t="shared" si="19"/>
        <v>262.22911716001602</v>
      </c>
      <c r="M281" s="18">
        <f t="shared" si="20"/>
        <v>592.42698599494895</v>
      </c>
      <c r="N281" s="8">
        <v>0</v>
      </c>
      <c r="O281" s="18">
        <f t="shared" si="21"/>
        <v>58544.174993864042</v>
      </c>
    </row>
    <row r="282" spans="10:15" x14ac:dyDescent="0.25">
      <c r="J282" s="8">
        <v>279</v>
      </c>
      <c r="K282" s="21">
        <f>IF($E$20&lt;O282+(O282*($B$5/$E$20)),$E$20,O282+(O282*($B$5/$E$20)))</f>
        <v>854.65610315496497</v>
      </c>
      <c r="L282" s="18">
        <f t="shared" si="19"/>
        <v>259.57553795191365</v>
      </c>
      <c r="M282" s="18">
        <f t="shared" si="20"/>
        <v>595.08056520305126</v>
      </c>
      <c r="N282" s="8">
        <v>0</v>
      </c>
      <c r="O282" s="18">
        <f t="shared" si="21"/>
        <v>57951.748007869093</v>
      </c>
    </row>
    <row r="283" spans="10:15" x14ac:dyDescent="0.25">
      <c r="J283" s="8">
        <v>280</v>
      </c>
      <c r="K283" s="21">
        <f>IF($E$20&lt;O283+(O283*($B$5/$E$20)),$E$20,O283+(O283*($B$5/$E$20)))</f>
        <v>854.65610315496497</v>
      </c>
      <c r="L283" s="18">
        <f t="shared" si="19"/>
        <v>256.91007292027496</v>
      </c>
      <c r="M283" s="18">
        <f t="shared" si="20"/>
        <v>597.74603023469001</v>
      </c>
      <c r="N283" s="8">
        <v>0</v>
      </c>
      <c r="O283" s="18">
        <f t="shared" si="21"/>
        <v>57356.667442666039</v>
      </c>
    </row>
    <row r="284" spans="10:15" x14ac:dyDescent="0.25">
      <c r="J284" s="8">
        <v>281</v>
      </c>
      <c r="K284" s="21">
        <f>IF($E$20&lt;O284+(O284*($B$5/$E$20)),$E$20,O284+(O284*($B$5/$E$20)))</f>
        <v>854.65610315496497</v>
      </c>
      <c r="L284" s="18">
        <f t="shared" si="19"/>
        <v>254.23266882651544</v>
      </c>
      <c r="M284" s="18">
        <f t="shared" si="20"/>
        <v>600.4234343284495</v>
      </c>
      <c r="N284" s="8">
        <v>0</v>
      </c>
      <c r="O284" s="18">
        <f t="shared" si="21"/>
        <v>56758.921412431351</v>
      </c>
    </row>
    <row r="285" spans="10:15" x14ac:dyDescent="0.25">
      <c r="J285" s="8">
        <v>282</v>
      </c>
      <c r="K285" s="21">
        <f>IF($E$20&lt;O285+(O285*($B$5/$E$20)),$E$20,O285+(O285*($B$5/$E$20)))</f>
        <v>854.65610315496497</v>
      </c>
      <c r="L285" s="18">
        <f t="shared" si="19"/>
        <v>251.54327219358592</v>
      </c>
      <c r="M285" s="18">
        <f t="shared" si="20"/>
        <v>603.11283096137902</v>
      </c>
      <c r="N285" s="8">
        <v>0</v>
      </c>
      <c r="O285" s="18">
        <f t="shared" si="21"/>
        <v>56158.497978102903</v>
      </c>
    </row>
    <row r="286" spans="10:15" x14ac:dyDescent="0.25">
      <c r="J286" s="8">
        <v>283</v>
      </c>
      <c r="K286" s="21">
        <f>IF($E$20&lt;O286+(O286*($B$5/$E$20)),$E$20,O286+(O286*($B$5/$E$20)))</f>
        <v>854.65610315496497</v>
      </c>
      <c r="L286" s="18">
        <f t="shared" si="19"/>
        <v>248.84182930490476</v>
      </c>
      <c r="M286" s="18">
        <f t="shared" si="20"/>
        <v>605.8142738500602</v>
      </c>
      <c r="N286" s="8">
        <v>0</v>
      </c>
      <c r="O286" s="18">
        <f t="shared" si="21"/>
        <v>55555.385147141526</v>
      </c>
    </row>
    <row r="287" spans="10:15" x14ac:dyDescent="0.25">
      <c r="J287" s="8">
        <v>284</v>
      </c>
      <c r="K287" s="21">
        <f>IF($E$20&lt;O287+(O287*($B$5/$E$20)),$E$20,O287+(O287*($B$5/$E$20)))</f>
        <v>854.65610315496497</v>
      </c>
      <c r="L287" s="18">
        <f t="shared" si="19"/>
        <v>246.12828620328469</v>
      </c>
      <c r="M287" s="18">
        <f t="shared" si="20"/>
        <v>608.52781695168028</v>
      </c>
      <c r="N287" s="8">
        <v>0</v>
      </c>
      <c r="O287" s="18">
        <f t="shared" si="21"/>
        <v>54949.570873291465</v>
      </c>
    </row>
    <row r="288" spans="10:15" x14ac:dyDescent="0.25">
      <c r="J288" s="8">
        <v>285</v>
      </c>
      <c r="K288" s="21">
        <f>IF($E$20&lt;O288+(O288*($B$5/$E$20)),$E$20,O288+(O288*($B$5/$E$20)))</f>
        <v>854.65610315496497</v>
      </c>
      <c r="L288" s="18">
        <f t="shared" si="19"/>
        <v>243.40258868985526</v>
      </c>
      <c r="M288" s="18">
        <f t="shared" si="20"/>
        <v>611.25351446510967</v>
      </c>
      <c r="N288" s="8">
        <v>0</v>
      </c>
      <c r="O288" s="18">
        <f t="shared" si="21"/>
        <v>54341.043056339782</v>
      </c>
    </row>
    <row r="289" spans="10:15" x14ac:dyDescent="0.25">
      <c r="J289" s="8">
        <v>286</v>
      </c>
      <c r="K289" s="21">
        <f>IF($E$20&lt;O289+(O289*($B$5/$E$20)),$E$20,O289+(O289*($B$5/$E$20)))</f>
        <v>854.65610315496497</v>
      </c>
      <c r="L289" s="18">
        <f t="shared" si="19"/>
        <v>240.6646823229803</v>
      </c>
      <c r="M289" s="18">
        <f t="shared" si="20"/>
        <v>613.99142083198467</v>
      </c>
      <c r="N289" s="8">
        <v>0</v>
      </c>
      <c r="O289" s="18">
        <f t="shared" si="21"/>
        <v>53729.78954187467</v>
      </c>
    </row>
    <row r="290" spans="10:15" x14ac:dyDescent="0.25">
      <c r="J290" s="8">
        <v>287</v>
      </c>
      <c r="K290" s="21">
        <f>IF($E$20&lt;O290+(O290*($B$5/$E$20)),$E$20,O290+(O290*($B$5/$E$20)))</f>
        <v>854.65610315496497</v>
      </c>
      <c r="L290" s="18">
        <f t="shared" si="19"/>
        <v>237.91451241717039</v>
      </c>
      <c r="M290" s="18">
        <f t="shared" si="20"/>
        <v>616.74159073779458</v>
      </c>
      <c r="N290" s="8">
        <v>0</v>
      </c>
      <c r="O290" s="18">
        <f t="shared" si="21"/>
        <v>53115.798121042688</v>
      </c>
    </row>
    <row r="291" spans="10:15" x14ac:dyDescent="0.25">
      <c r="J291" s="8">
        <v>288</v>
      </c>
      <c r="K291" s="21">
        <f>IF($E$20&lt;O291+(O291*($B$5/$E$20)),$E$20,O291+(O291*($B$5/$E$20)))</f>
        <v>854.65610315496497</v>
      </c>
      <c r="L291" s="18">
        <f t="shared" si="19"/>
        <v>235.15202404199067</v>
      </c>
      <c r="M291" s="18">
        <f t="shared" si="20"/>
        <v>619.5040791129743</v>
      </c>
      <c r="N291" s="8">
        <v>0</v>
      </c>
      <c r="O291" s="18">
        <f t="shared" si="21"/>
        <v>52499.056530304893</v>
      </c>
    </row>
    <row r="292" spans="10:15" x14ac:dyDescent="0.25">
      <c r="J292" s="8">
        <v>289</v>
      </c>
      <c r="K292" s="21">
        <f>IF($E$20&lt;O292+(O292*($B$5/$E$20)),$E$20,O292+(O292*($B$5/$E$20)))</f>
        <v>854.65610315496497</v>
      </c>
      <c r="L292" s="18">
        <f t="shared" si="19"/>
        <v>232.37716202096382</v>
      </c>
      <c r="M292" s="18">
        <f t="shared" si="20"/>
        <v>622.27894113400112</v>
      </c>
      <c r="N292" s="8">
        <v>0</v>
      </c>
      <c r="O292" s="18">
        <f t="shared" si="21"/>
        <v>51879.552451191921</v>
      </c>
    </row>
    <row r="293" spans="10:15" x14ac:dyDescent="0.25">
      <c r="J293" s="8">
        <v>290</v>
      </c>
      <c r="K293" s="21">
        <f>IF($E$20&lt;O293+(O293*($B$5/$E$20)),$E$20,O293+(O293*($B$5/$E$20)))</f>
        <v>854.65610315496497</v>
      </c>
      <c r="L293" s="18">
        <f t="shared" si="19"/>
        <v>229.58987093046778</v>
      </c>
      <c r="M293" s="18">
        <f t="shared" si="20"/>
        <v>625.06623222449718</v>
      </c>
      <c r="N293" s="8">
        <v>0</v>
      </c>
      <c r="O293" s="18">
        <f t="shared" si="21"/>
        <v>51257.273510057923</v>
      </c>
    </row>
    <row r="294" spans="10:15" x14ac:dyDescent="0.25">
      <c r="J294" s="8">
        <v>291</v>
      </c>
      <c r="K294" s="21">
        <f>IF($E$20&lt;O294+(O294*($B$5/$E$20)),$E$20,O294+(O294*($B$5/$E$20)))</f>
        <v>854.65610315496497</v>
      </c>
      <c r="L294" s="18">
        <f t="shared" si="19"/>
        <v>226.79009509862888</v>
      </c>
      <c r="M294" s="18">
        <f t="shared" si="20"/>
        <v>627.86600805633611</v>
      </c>
      <c r="N294" s="8">
        <v>0</v>
      </c>
      <c r="O294" s="18">
        <f t="shared" si="21"/>
        <v>50632.207277833426</v>
      </c>
    </row>
    <row r="295" spans="10:15" x14ac:dyDescent="0.25">
      <c r="J295" s="8">
        <v>292</v>
      </c>
      <c r="K295" s="21">
        <f>IF($E$20&lt;O295+(O295*($B$5/$E$20)),$E$20,O295+(O295*($B$5/$E$20)))</f>
        <v>854.65610315496497</v>
      </c>
      <c r="L295" s="18">
        <f t="shared" si="19"/>
        <v>223.97777860420987</v>
      </c>
      <c r="M295" s="18">
        <f t="shared" si="20"/>
        <v>630.67832455075506</v>
      </c>
      <c r="N295" s="8">
        <v>0</v>
      </c>
      <c r="O295" s="18">
        <f t="shared" si="21"/>
        <v>50004.341269777091</v>
      </c>
    </row>
    <row r="296" spans="10:15" x14ac:dyDescent="0.25">
      <c r="J296" s="8">
        <v>293</v>
      </c>
      <c r="K296" s="21">
        <f>IF($E$20&lt;O296+(O296*($B$5/$E$20)),$E$20,O296+(O296*($B$5/$E$20)))</f>
        <v>854.65610315496497</v>
      </c>
      <c r="L296" s="18">
        <f t="shared" si="19"/>
        <v>221.15286527549299</v>
      </c>
      <c r="M296" s="18">
        <f t="shared" si="20"/>
        <v>633.50323787947195</v>
      </c>
      <c r="N296" s="8">
        <v>0</v>
      </c>
      <c r="O296" s="18">
        <f t="shared" si="21"/>
        <v>49373.662945226337</v>
      </c>
    </row>
    <row r="297" spans="10:15" x14ac:dyDescent="0.25">
      <c r="J297" s="8">
        <v>294</v>
      </c>
      <c r="K297" s="21">
        <f>IF($E$20&lt;O297+(O297*($B$5/$E$20)),$E$20,O297+(O297*($B$5/$E$20)))</f>
        <v>854.65610315496497</v>
      </c>
      <c r="L297" s="18">
        <f t="shared" si="19"/>
        <v>218.31529868915786</v>
      </c>
      <c r="M297" s="18">
        <f t="shared" si="20"/>
        <v>636.34080446580708</v>
      </c>
      <c r="N297" s="8">
        <v>0</v>
      </c>
      <c r="O297" s="18">
        <f t="shared" si="21"/>
        <v>48740.159707346866</v>
      </c>
    </row>
    <row r="298" spans="10:15" x14ac:dyDescent="0.25">
      <c r="J298" s="8">
        <v>295</v>
      </c>
      <c r="K298" s="21">
        <f>IF($E$20&lt;O298+(O298*($B$5/$E$20)),$E$20,O298+(O298*($B$5/$E$20)))</f>
        <v>854.65610315496497</v>
      </c>
      <c r="L298" s="18">
        <f t="shared" si="19"/>
        <v>215.46502216915474</v>
      </c>
      <c r="M298" s="18">
        <f t="shared" si="20"/>
        <v>639.19108098581023</v>
      </c>
      <c r="N298" s="8">
        <v>0</v>
      </c>
      <c r="O298" s="18">
        <f t="shared" si="21"/>
        <v>48103.818902881059</v>
      </c>
    </row>
    <row r="299" spans="10:15" x14ac:dyDescent="0.25">
      <c r="J299" s="8">
        <v>296</v>
      </c>
      <c r="K299" s="21">
        <f>IF($E$20&lt;O299+(O299*($B$5/$E$20)),$E$20,O299+(O299*($B$5/$E$20)))</f>
        <v>854.65610315496497</v>
      </c>
      <c r="L299" s="18">
        <f t="shared" si="19"/>
        <v>212.60197878557247</v>
      </c>
      <c r="M299" s="18">
        <f t="shared" si="20"/>
        <v>642.05412436939253</v>
      </c>
      <c r="N299" s="8">
        <v>0</v>
      </c>
      <c r="O299" s="18">
        <f t="shared" si="21"/>
        <v>47464.62782189525</v>
      </c>
    </row>
    <row r="300" spans="10:15" x14ac:dyDescent="0.25">
      <c r="J300" s="8">
        <v>297</v>
      </c>
      <c r="K300" s="21">
        <f>IF($E$20&lt;O300+(O300*($B$5/$E$20)),$E$20,O300+(O300*($B$5/$E$20)))</f>
        <v>854.65610315496497</v>
      </c>
      <c r="L300" s="18">
        <f t="shared" si="19"/>
        <v>209.72611135350121</v>
      </c>
      <c r="M300" s="18">
        <f t="shared" si="20"/>
        <v>644.92999180146376</v>
      </c>
      <c r="N300" s="8">
        <v>0</v>
      </c>
      <c r="O300" s="18">
        <f t="shared" si="21"/>
        <v>46822.573697525855</v>
      </c>
    </row>
    <row r="301" spans="10:15" x14ac:dyDescent="0.25">
      <c r="J301" s="8">
        <v>298</v>
      </c>
      <c r="K301" s="21">
        <f>IF($E$20&lt;O301+(O301*($B$5/$E$20)),$E$20,O301+(O301*($B$5/$E$20)))</f>
        <v>854.65610315496497</v>
      </c>
      <c r="L301" s="18">
        <f t="shared" si="19"/>
        <v>206.83736243189048</v>
      </c>
      <c r="M301" s="18">
        <f t="shared" si="20"/>
        <v>647.81874072307448</v>
      </c>
      <c r="N301" s="8">
        <v>0</v>
      </c>
      <c r="O301" s="18">
        <f t="shared" si="21"/>
        <v>46177.643705724389</v>
      </c>
    </row>
    <row r="302" spans="10:15" x14ac:dyDescent="0.25">
      <c r="J302" s="8">
        <v>299</v>
      </c>
      <c r="K302" s="21">
        <f>IF($E$20&lt;O302+(O302*($B$5/$E$20)),$E$20,O302+(O302*($B$5/$E$20)))</f>
        <v>854.65610315496497</v>
      </c>
      <c r="L302" s="18">
        <f t="shared" si="19"/>
        <v>203.93567432240172</v>
      </c>
      <c r="M302" s="18">
        <f t="shared" si="20"/>
        <v>650.72042883256324</v>
      </c>
      <c r="N302" s="8">
        <v>0</v>
      </c>
      <c r="O302" s="18">
        <f t="shared" si="21"/>
        <v>45529.824965001317</v>
      </c>
    </row>
    <row r="303" spans="10:15" x14ac:dyDescent="0.25">
      <c r="J303" s="8">
        <v>300</v>
      </c>
      <c r="K303" s="21">
        <f>IF($E$20&lt;O303+(O303*($B$5/$E$20)),$E$20,O303+(O303*($B$5/$E$20)))</f>
        <v>854.65610315496497</v>
      </c>
      <c r="L303" s="18">
        <f t="shared" si="19"/>
        <v>201.02098906825586</v>
      </c>
      <c r="M303" s="18">
        <f t="shared" si="20"/>
        <v>653.63511408670911</v>
      </c>
      <c r="N303" s="8">
        <v>0</v>
      </c>
      <c r="O303" s="18">
        <f t="shared" si="21"/>
        <v>44879.10453616875</v>
      </c>
    </row>
    <row r="304" spans="10:15" x14ac:dyDescent="0.25">
      <c r="J304" s="8">
        <v>301</v>
      </c>
      <c r="K304" s="21">
        <f>IF($E$20&lt;O304+(O304*($B$5/$E$20)),$E$20,O304+(O304*($B$5/$E$20)))</f>
        <v>854.65610315496497</v>
      </c>
      <c r="L304" s="18">
        <f t="shared" si="19"/>
        <v>198.0932484530758</v>
      </c>
      <c r="M304" s="18">
        <f t="shared" si="20"/>
        <v>656.56285470188914</v>
      </c>
      <c r="N304" s="8">
        <v>0</v>
      </c>
      <c r="O304" s="18">
        <f t="shared" si="21"/>
        <v>44225.469422082038</v>
      </c>
    </row>
    <row r="305" spans="10:15" x14ac:dyDescent="0.25">
      <c r="J305" s="8">
        <v>302</v>
      </c>
      <c r="K305" s="21">
        <f>IF($E$20&lt;O305+(O305*($B$5/$E$20)),$E$20,O305+(O305*($B$5/$E$20)))</f>
        <v>854.65610315496497</v>
      </c>
      <c r="L305" s="18">
        <f t="shared" si="19"/>
        <v>195.15239399972359</v>
      </c>
      <c r="M305" s="18">
        <f t="shared" si="20"/>
        <v>659.50370915524138</v>
      </c>
      <c r="N305" s="8">
        <v>0</v>
      </c>
      <c r="O305" s="18">
        <f t="shared" si="21"/>
        <v>43568.906567380152</v>
      </c>
    </row>
    <row r="306" spans="10:15" x14ac:dyDescent="0.25">
      <c r="J306" s="8">
        <v>303</v>
      </c>
      <c r="K306" s="21">
        <f>IF($E$20&lt;O306+(O306*($B$5/$E$20)),$E$20,O306+(O306*($B$5/$E$20)))</f>
        <v>854.65610315496497</v>
      </c>
      <c r="L306" s="18">
        <f t="shared" si="19"/>
        <v>192.19836696913239</v>
      </c>
      <c r="M306" s="18">
        <f t="shared" si="20"/>
        <v>662.45773618583257</v>
      </c>
      <c r="N306" s="8">
        <v>0</v>
      </c>
      <c r="O306" s="18">
        <f t="shared" si="21"/>
        <v>42909.402858224908</v>
      </c>
    </row>
    <row r="307" spans="10:15" x14ac:dyDescent="0.25">
      <c r="J307" s="8">
        <v>304</v>
      </c>
      <c r="K307" s="21">
        <f>IF($E$20&lt;O307+(O307*($B$5/$E$20)),$E$20,O307+(O307*($B$5/$E$20)))</f>
        <v>854.65610315496497</v>
      </c>
      <c r="L307" s="18">
        <f t="shared" si="19"/>
        <v>189.23110835913337</v>
      </c>
      <c r="M307" s="18">
        <f t="shared" si="20"/>
        <v>665.42499479583159</v>
      </c>
      <c r="N307" s="8">
        <v>0</v>
      </c>
      <c r="O307" s="18">
        <f t="shared" si="21"/>
        <v>42246.945122039077</v>
      </c>
    </row>
    <row r="308" spans="10:15" x14ac:dyDescent="0.25">
      <c r="J308" s="8">
        <v>305</v>
      </c>
      <c r="K308" s="21">
        <f>IF($E$20&lt;O308+(O308*($B$5/$E$20)),$E$20,O308+(O308*($B$5/$E$20)))</f>
        <v>854.65610315496497</v>
      </c>
      <c r="L308" s="18">
        <f t="shared" si="19"/>
        <v>186.25055890327704</v>
      </c>
      <c r="M308" s="18">
        <f t="shared" si="20"/>
        <v>668.40554425168796</v>
      </c>
      <c r="N308" s="8">
        <v>0</v>
      </c>
      <c r="O308" s="18">
        <f t="shared" si="21"/>
        <v>41581.520127243246</v>
      </c>
    </row>
    <row r="309" spans="10:15" x14ac:dyDescent="0.25">
      <c r="J309" s="8">
        <v>306</v>
      </c>
      <c r="K309" s="21">
        <f>IF($E$20&lt;O309+(O309*($B$5/$E$20)),$E$20,O309+(O309*($B$5/$E$20)))</f>
        <v>854.65610315496497</v>
      </c>
      <c r="L309" s="18">
        <f t="shared" si="19"/>
        <v>183.25665906964969</v>
      </c>
      <c r="M309" s="18">
        <f t="shared" si="20"/>
        <v>671.39944408531528</v>
      </c>
      <c r="N309" s="8">
        <v>0</v>
      </c>
      <c r="O309" s="18">
        <f t="shared" si="21"/>
        <v>40913.114582991555</v>
      </c>
    </row>
    <row r="310" spans="10:15" x14ac:dyDescent="0.25">
      <c r="J310" s="8">
        <v>307</v>
      </c>
      <c r="K310" s="21">
        <f>IF($E$20&lt;O310+(O310*($B$5/$E$20)),$E$20,O310+(O310*($B$5/$E$20)))</f>
        <v>854.65610315496497</v>
      </c>
      <c r="L310" s="18">
        <f t="shared" si="19"/>
        <v>180.24934905968419</v>
      </c>
      <c r="M310" s="18">
        <f t="shared" si="20"/>
        <v>674.4067540952808</v>
      </c>
      <c r="N310" s="8">
        <v>0</v>
      </c>
      <c r="O310" s="18">
        <f t="shared" si="21"/>
        <v>40241.715138906242</v>
      </c>
    </row>
    <row r="311" spans="10:15" x14ac:dyDescent="0.25">
      <c r="J311" s="8">
        <v>308</v>
      </c>
      <c r="K311" s="21">
        <f>IF($E$20&lt;O311+(O311*($B$5/$E$20)),$E$20,O311+(O311*($B$5/$E$20)))</f>
        <v>854.65610315496497</v>
      </c>
      <c r="L311" s="18">
        <f t="shared" si="19"/>
        <v>177.22856880696577</v>
      </c>
      <c r="M311" s="18">
        <f t="shared" si="20"/>
        <v>677.4275343479992</v>
      </c>
      <c r="N311" s="8">
        <v>0</v>
      </c>
      <c r="O311" s="18">
        <f t="shared" si="21"/>
        <v>39567.30838481096</v>
      </c>
    </row>
    <row r="312" spans="10:15" x14ac:dyDescent="0.25">
      <c r="J312" s="8">
        <v>309</v>
      </c>
      <c r="K312" s="21">
        <f>IF($E$20&lt;O312+(O312*($B$5/$E$20)),$E$20,O312+(O312*($B$5/$E$20)))</f>
        <v>854.65610315496497</v>
      </c>
      <c r="L312" s="18">
        <f t="shared" si="19"/>
        <v>174.19425797603205</v>
      </c>
      <c r="M312" s="18">
        <f t="shared" si="20"/>
        <v>680.46184517893289</v>
      </c>
      <c r="N312" s="8">
        <v>0</v>
      </c>
      <c r="O312" s="18">
        <f t="shared" si="21"/>
        <v>38889.880850462963</v>
      </c>
    </row>
    <row r="313" spans="10:15" x14ac:dyDescent="0.25">
      <c r="J313" s="8">
        <v>310</v>
      </c>
      <c r="K313" s="21">
        <f>IF($E$20&lt;O313+(O313*($B$5/$E$20)),$E$20,O313+(O313*($B$5/$E$20)))</f>
        <v>854.65610315496497</v>
      </c>
      <c r="L313" s="18">
        <f t="shared" si="19"/>
        <v>171.14635596116804</v>
      </c>
      <c r="M313" s="18">
        <f t="shared" si="20"/>
        <v>683.5097471937969</v>
      </c>
      <c r="N313" s="8">
        <v>0</v>
      </c>
      <c r="O313" s="18">
        <f t="shared" si="21"/>
        <v>38209.419005284028</v>
      </c>
    </row>
    <row r="314" spans="10:15" x14ac:dyDescent="0.25">
      <c r="J314" s="8">
        <v>311</v>
      </c>
      <c r="K314" s="21">
        <f>IF($E$20&lt;O314+(O314*($B$5/$E$20)),$E$20,O314+(O314*($B$5/$E$20)))</f>
        <v>854.65610315496497</v>
      </c>
      <c r="L314" s="18">
        <f t="shared" si="19"/>
        <v>168.08480188519582</v>
      </c>
      <c r="M314" s="18">
        <f t="shared" si="20"/>
        <v>686.57130126976915</v>
      </c>
      <c r="N314" s="8">
        <v>0</v>
      </c>
      <c r="O314" s="18">
        <f t="shared" si="21"/>
        <v>37525.909258090229</v>
      </c>
    </row>
    <row r="315" spans="10:15" x14ac:dyDescent="0.25">
      <c r="J315" s="8">
        <v>312</v>
      </c>
      <c r="K315" s="21">
        <f>IF($E$20&lt;O315+(O315*($B$5/$E$20)),$E$20,O315+(O315*($B$5/$E$20)))</f>
        <v>854.65610315496497</v>
      </c>
      <c r="L315" s="18">
        <f t="shared" si="19"/>
        <v>165.00953459825831</v>
      </c>
      <c r="M315" s="18">
        <f t="shared" si="20"/>
        <v>689.6465685567066</v>
      </c>
      <c r="N315" s="8">
        <v>0</v>
      </c>
      <c r="O315" s="18">
        <f t="shared" si="21"/>
        <v>36839.337956820462</v>
      </c>
    </row>
    <row r="316" spans="10:15" x14ac:dyDescent="0.25">
      <c r="J316" s="8">
        <v>313</v>
      </c>
      <c r="K316" s="21">
        <f>IF($E$20&lt;O316+(O316*($B$5/$E$20)),$E$20,O316+(O316*($B$5/$E$20)))</f>
        <v>854.65610315496497</v>
      </c>
      <c r="L316" s="18">
        <f t="shared" si="19"/>
        <v>161.92049267659806</v>
      </c>
      <c r="M316" s="18">
        <f t="shared" si="20"/>
        <v>692.73561047836688</v>
      </c>
      <c r="N316" s="8">
        <v>0</v>
      </c>
      <c r="O316" s="18">
        <f t="shared" si="21"/>
        <v>36149.691388263753</v>
      </c>
    </row>
    <row r="317" spans="10:15" x14ac:dyDescent="0.25">
      <c r="J317" s="8">
        <v>314</v>
      </c>
      <c r="K317" s="21">
        <f>IF($E$20&lt;O317+(O317*($B$5/$E$20)),$E$20,O317+(O317*($B$5/$E$20)))</f>
        <v>854.65610315496497</v>
      </c>
      <c r="L317" s="18">
        <f t="shared" si="19"/>
        <v>158.81761442133038</v>
      </c>
      <c r="M317" s="18">
        <f t="shared" si="20"/>
        <v>695.83848873363456</v>
      </c>
      <c r="N317" s="8">
        <v>0</v>
      </c>
      <c r="O317" s="18">
        <f t="shared" si="21"/>
        <v>35456.955777785384</v>
      </c>
    </row>
    <row r="318" spans="10:15" x14ac:dyDescent="0.25">
      <c r="J318" s="8">
        <v>315</v>
      </c>
      <c r="K318" s="21">
        <f>IF($E$20&lt;O318+(O318*($B$5/$E$20)),$E$20,O318+(O318*($B$5/$E$20)))</f>
        <v>854.65610315496497</v>
      </c>
      <c r="L318" s="18">
        <f t="shared" si="19"/>
        <v>155.70083785721096</v>
      </c>
      <c r="M318" s="18">
        <f t="shared" si="20"/>
        <v>698.95526529775407</v>
      </c>
      <c r="N318" s="8">
        <v>0</v>
      </c>
      <c r="O318" s="18">
        <f t="shared" si="21"/>
        <v>34761.117289051748</v>
      </c>
    </row>
    <row r="319" spans="10:15" x14ac:dyDescent="0.25">
      <c r="J319" s="8">
        <v>316</v>
      </c>
      <c r="K319" s="21">
        <f>IF($E$20&lt;O319+(O319*($B$5/$E$20)),$E$20,O319+(O319*($B$5/$E$20)))</f>
        <v>854.65610315496497</v>
      </c>
      <c r="L319" s="18">
        <f t="shared" si="19"/>
        <v>152.57010073139813</v>
      </c>
      <c r="M319" s="18">
        <f t="shared" si="20"/>
        <v>702.08600242356681</v>
      </c>
      <c r="N319" s="8">
        <v>0</v>
      </c>
      <c r="O319" s="18">
        <f t="shared" si="21"/>
        <v>34062.162023753997</v>
      </c>
    </row>
    <row r="320" spans="10:15" x14ac:dyDescent="0.25">
      <c r="J320" s="8">
        <v>317</v>
      </c>
      <c r="K320" s="21">
        <f>IF($E$20&lt;O320+(O320*($B$5/$E$20)),$E$20,O320+(O320*($B$5/$E$20)))</f>
        <v>854.65610315496497</v>
      </c>
      <c r="L320" s="18">
        <f t="shared" si="19"/>
        <v>149.4253405122092</v>
      </c>
      <c r="M320" s="18">
        <f t="shared" si="20"/>
        <v>705.23076264275574</v>
      </c>
      <c r="N320" s="8">
        <v>0</v>
      </c>
      <c r="O320" s="18">
        <f t="shared" si="21"/>
        <v>33360.076021330431</v>
      </c>
    </row>
    <row r="321" spans="10:15" x14ac:dyDescent="0.25">
      <c r="J321" s="8">
        <v>318</v>
      </c>
      <c r="K321" s="21">
        <f>IF($E$20&lt;O321+(O321*($B$5/$E$20)),$E$20,O321+(O321*($B$5/$E$20)))</f>
        <v>854.65610315496497</v>
      </c>
      <c r="L321" s="18">
        <f t="shared" si="19"/>
        <v>146.26649438787186</v>
      </c>
      <c r="M321" s="18">
        <f t="shared" si="20"/>
        <v>708.38960876709314</v>
      </c>
      <c r="N321" s="8">
        <v>0</v>
      </c>
      <c r="O321" s="18">
        <f t="shared" si="21"/>
        <v>32654.845258687674</v>
      </c>
    </row>
    <row r="322" spans="10:15" x14ac:dyDescent="0.25">
      <c r="J322" s="8">
        <v>319</v>
      </c>
      <c r="K322" s="21">
        <f>IF($E$20&lt;O322+(O322*($B$5/$E$20)),$E$20,O322+(O322*($B$5/$E$20)))</f>
        <v>854.65610315496497</v>
      </c>
      <c r="L322" s="18">
        <f t="shared" si="19"/>
        <v>143.09349926526926</v>
      </c>
      <c r="M322" s="18">
        <f t="shared" si="20"/>
        <v>711.56260388969577</v>
      </c>
      <c r="N322" s="8">
        <v>0</v>
      </c>
      <c r="O322" s="18">
        <f t="shared" si="21"/>
        <v>31946.455649920579</v>
      </c>
    </row>
    <row r="323" spans="10:15" x14ac:dyDescent="0.25">
      <c r="J323" s="8">
        <v>320</v>
      </c>
      <c r="K323" s="21">
        <f>IF($E$20&lt;O323+(O323*($B$5/$E$20)),$E$20,O323+(O323*($B$5/$E$20)))</f>
        <v>854.65610315496497</v>
      </c>
      <c r="L323" s="18">
        <f t="shared" ref="L323:L363" si="22">O323*$B$5/$B$4</f>
        <v>139.90629176868001</v>
      </c>
      <c r="M323" s="18">
        <f t="shared" si="20"/>
        <v>714.74981138628493</v>
      </c>
      <c r="N323" s="8">
        <v>0</v>
      </c>
      <c r="O323" s="18">
        <f t="shared" si="21"/>
        <v>31234.893046030884</v>
      </c>
    </row>
    <row r="324" spans="10:15" x14ac:dyDescent="0.25">
      <c r="J324" s="8">
        <v>321</v>
      </c>
      <c r="K324" s="21">
        <f>IF($E$20&lt;O324+(O324*($B$5/$E$20)),$E$20,O324+(O324*($B$5/$E$20)))</f>
        <v>854.65610315496497</v>
      </c>
      <c r="L324" s="18">
        <f t="shared" si="22"/>
        <v>136.70480823851224</v>
      </c>
      <c r="M324" s="18">
        <f t="shared" si="20"/>
        <v>717.95129491645275</v>
      </c>
      <c r="N324" s="8">
        <v>0</v>
      </c>
      <c r="O324" s="18">
        <f t="shared" si="21"/>
        <v>30520.143234644598</v>
      </c>
    </row>
    <row r="325" spans="10:15" x14ac:dyDescent="0.25">
      <c r="J325" s="8">
        <v>322</v>
      </c>
      <c r="K325" s="21">
        <f>IF($E$20&lt;O325+(O325*($B$5/$E$20)),$E$20,O325+(O325*($B$5/$E$20)))</f>
        <v>854.65610315496497</v>
      </c>
      <c r="L325" s="18">
        <f t="shared" si="22"/>
        <v>133.48898473003231</v>
      </c>
      <c r="M325" s="18">
        <f t="shared" ref="M325:M363" si="23">K325-L325</f>
        <v>721.1671184249326</v>
      </c>
      <c r="N325" s="8">
        <v>0</v>
      </c>
      <c r="O325" s="18">
        <f t="shared" ref="O325:O363" si="24">O324-M324-N324</f>
        <v>29802.191939728145</v>
      </c>
    </row>
    <row r="326" spans="10:15" x14ac:dyDescent="0.25">
      <c r="J326" s="8">
        <v>323</v>
      </c>
      <c r="K326" s="21">
        <f>IF($E$20&lt;O326+(O326*($B$5/$E$20)),$E$20,O326+(O326*($B$5/$E$20)))</f>
        <v>854.65610315496497</v>
      </c>
      <c r="L326" s="18">
        <f t="shared" si="22"/>
        <v>130.2587570120873</v>
      </c>
      <c r="M326" s="18">
        <f t="shared" si="23"/>
        <v>724.39734614287772</v>
      </c>
      <c r="N326" s="8">
        <v>0</v>
      </c>
      <c r="O326" s="18">
        <f t="shared" si="24"/>
        <v>29081.024821303214</v>
      </c>
    </row>
    <row r="327" spans="10:15" x14ac:dyDescent="0.25">
      <c r="J327" s="8">
        <v>324</v>
      </c>
      <c r="K327" s="21">
        <f>IF($E$20&lt;O327+(O327*($B$5/$E$20)),$E$20,O327+(O327*($B$5/$E$20)))</f>
        <v>854.65610315496497</v>
      </c>
      <c r="L327" s="18">
        <f t="shared" si="22"/>
        <v>127.01406056582232</v>
      </c>
      <c r="M327" s="18">
        <f t="shared" si="23"/>
        <v>727.64204258914265</v>
      </c>
      <c r="N327" s="8">
        <v>0</v>
      </c>
      <c r="O327" s="18">
        <f t="shared" si="24"/>
        <v>28356.627475160334</v>
      </c>
    </row>
    <row r="328" spans="10:15" x14ac:dyDescent="0.25">
      <c r="J328" s="8">
        <v>325</v>
      </c>
      <c r="K328" s="21">
        <f>IF($E$20&lt;O328+(O328*($B$5/$E$20)),$E$20,O328+(O328*($B$5/$E$20)))</f>
        <v>854.65610315496497</v>
      </c>
      <c r="L328" s="18">
        <f t="shared" si="22"/>
        <v>123.75483058339181</v>
      </c>
      <c r="M328" s="18">
        <f t="shared" si="23"/>
        <v>730.90127257157314</v>
      </c>
      <c r="N328" s="8">
        <v>0</v>
      </c>
      <c r="O328" s="18">
        <f t="shared" si="24"/>
        <v>27628.985432571193</v>
      </c>
    </row>
    <row r="329" spans="10:15" x14ac:dyDescent="0.25">
      <c r="J329" s="8">
        <v>326</v>
      </c>
      <c r="K329" s="21">
        <f>IF($E$20&lt;O329+(O329*($B$5/$E$20)),$E$20,O329+(O329*($B$5/$E$20)))</f>
        <v>854.65610315496497</v>
      </c>
      <c r="L329" s="18">
        <f t="shared" si="22"/>
        <v>120.48100196666496</v>
      </c>
      <c r="M329" s="18">
        <f t="shared" si="23"/>
        <v>734.1751011883</v>
      </c>
      <c r="N329" s="8">
        <v>0</v>
      </c>
      <c r="O329" s="18">
        <f t="shared" si="24"/>
        <v>26898.08415999962</v>
      </c>
    </row>
    <row r="330" spans="10:15" x14ac:dyDescent="0.25">
      <c r="J330" s="8">
        <v>327</v>
      </c>
      <c r="K330" s="21">
        <f>IF($E$20&lt;O330+(O330*($B$5/$E$20)),$E$20,O330+(O330*($B$5/$E$20)))</f>
        <v>854.65610315496497</v>
      </c>
      <c r="L330" s="18">
        <f t="shared" si="22"/>
        <v>117.19250932592571</v>
      </c>
      <c r="M330" s="18">
        <f t="shared" si="23"/>
        <v>737.46359382903927</v>
      </c>
      <c r="N330" s="8">
        <v>0</v>
      </c>
      <c r="O330" s="18">
        <f t="shared" si="24"/>
        <v>26163.909058811321</v>
      </c>
    </row>
    <row r="331" spans="10:15" x14ac:dyDescent="0.25">
      <c r="J331" s="8">
        <v>328</v>
      </c>
      <c r="K331" s="21">
        <f>IF($E$20&lt;O331+(O331*($B$5/$E$20)),$E$20,O331+(O331*($B$5/$E$20)))</f>
        <v>854.65610315496497</v>
      </c>
      <c r="L331" s="18">
        <f t="shared" si="22"/>
        <v>113.88928697856647</v>
      </c>
      <c r="M331" s="18">
        <f t="shared" si="23"/>
        <v>740.76681617639849</v>
      </c>
      <c r="N331" s="8">
        <v>0</v>
      </c>
      <c r="O331" s="18">
        <f t="shared" si="24"/>
        <v>25426.445464982284</v>
      </c>
    </row>
    <row r="332" spans="10:15" x14ac:dyDescent="0.25">
      <c r="J332" s="8">
        <v>329</v>
      </c>
      <c r="K332" s="21">
        <f>IF($E$20&lt;O332+(O332*($B$5/$E$20)),$E$20,O332+(O332*($B$5/$E$20)))</f>
        <v>854.65610315496497</v>
      </c>
      <c r="L332" s="18">
        <f t="shared" si="22"/>
        <v>110.57126894777637</v>
      </c>
      <c r="M332" s="18">
        <f t="shared" si="23"/>
        <v>744.08483420718858</v>
      </c>
      <c r="N332" s="8">
        <v>0</v>
      </c>
      <c r="O332" s="18">
        <f t="shared" si="24"/>
        <v>24685.678648805886</v>
      </c>
    </row>
    <row r="333" spans="10:15" x14ac:dyDescent="0.25">
      <c r="J333" s="8">
        <v>330</v>
      </c>
      <c r="K333" s="21">
        <f>IF($E$20&lt;O333+(O333*($B$5/$E$20)),$E$20,O333+(O333*($B$5/$E$20)))</f>
        <v>854.65610315496497</v>
      </c>
      <c r="L333" s="18">
        <f t="shared" si="22"/>
        <v>107.23838896122334</v>
      </c>
      <c r="M333" s="18">
        <f t="shared" si="23"/>
        <v>747.41771419374163</v>
      </c>
      <c r="N333" s="8">
        <v>0</v>
      </c>
      <c r="O333" s="18">
        <f t="shared" si="24"/>
        <v>23941.593814598698</v>
      </c>
    </row>
    <row r="334" spans="10:15" x14ac:dyDescent="0.25">
      <c r="J334" s="8">
        <v>331</v>
      </c>
      <c r="K334" s="21">
        <f>IF($E$20&lt;O334+(O334*($B$5/$E$20)),$E$20,O334+(O334*($B$5/$E$20)))</f>
        <v>854.65610315496497</v>
      </c>
      <c r="L334" s="18">
        <f t="shared" si="22"/>
        <v>103.89058044973052</v>
      </c>
      <c r="M334" s="18">
        <f t="shared" si="23"/>
        <v>750.76552270523439</v>
      </c>
      <c r="N334" s="8">
        <v>0</v>
      </c>
      <c r="O334" s="18">
        <f t="shared" si="24"/>
        <v>23194.176100404955</v>
      </c>
    </row>
    <row r="335" spans="10:15" x14ac:dyDescent="0.25">
      <c r="J335" s="8">
        <v>332</v>
      </c>
      <c r="K335" s="21">
        <f>IF($E$20&lt;O335+(O335*($B$5/$E$20)),$E$20,O335+(O335*($B$5/$E$20)))</f>
        <v>854.65610315496497</v>
      </c>
      <c r="L335" s="18">
        <f t="shared" si="22"/>
        <v>100.52777654594667</v>
      </c>
      <c r="M335" s="18">
        <f t="shared" si="23"/>
        <v>754.12832660901836</v>
      </c>
      <c r="N335" s="8">
        <v>0</v>
      </c>
      <c r="O335" s="18">
        <f t="shared" si="24"/>
        <v>22443.41057769972</v>
      </c>
    </row>
    <row r="336" spans="10:15" x14ac:dyDescent="0.25">
      <c r="J336" s="8">
        <v>333</v>
      </c>
      <c r="K336" s="21">
        <f>IF($E$20&lt;O336+(O336*($B$5/$E$20)),$E$20,O336+(O336*($B$5/$E$20)))</f>
        <v>854.65610315496497</v>
      </c>
      <c r="L336" s="18">
        <f t="shared" si="22"/>
        <v>97.149910083010425</v>
      </c>
      <c r="M336" s="18">
        <f t="shared" si="23"/>
        <v>757.5061930719545</v>
      </c>
      <c r="N336" s="8">
        <v>0</v>
      </c>
      <c r="O336" s="18">
        <f t="shared" si="24"/>
        <v>21689.282251090703</v>
      </c>
    </row>
    <row r="337" spans="10:15" x14ac:dyDescent="0.25">
      <c r="J337" s="8">
        <v>334</v>
      </c>
      <c r="K337" s="21">
        <f>IF($E$20&lt;O337+(O337*($B$5/$E$20)),$E$20,O337+(O337*($B$5/$E$20)))</f>
        <v>854.65610315496497</v>
      </c>
      <c r="L337" s="18">
        <f t="shared" si="22"/>
        <v>93.756913593208978</v>
      </c>
      <c r="M337" s="18">
        <f t="shared" si="23"/>
        <v>760.89918956175597</v>
      </c>
      <c r="N337" s="8">
        <v>0</v>
      </c>
      <c r="O337" s="18">
        <f t="shared" si="24"/>
        <v>20931.77605801875</v>
      </c>
    </row>
    <row r="338" spans="10:15" x14ac:dyDescent="0.25">
      <c r="J338" s="8">
        <v>335</v>
      </c>
      <c r="K338" s="21">
        <f>IF($E$20&lt;O338+(O338*($B$5/$E$20)),$E$20,O338+(O338*($B$5/$E$20)))</f>
        <v>854.65610315496497</v>
      </c>
      <c r="L338" s="18">
        <f t="shared" si="22"/>
        <v>90.348719306630286</v>
      </c>
      <c r="M338" s="18">
        <f t="shared" si="23"/>
        <v>764.30738384833467</v>
      </c>
      <c r="N338" s="8">
        <v>0</v>
      </c>
      <c r="O338" s="18">
        <f t="shared" si="24"/>
        <v>20170.876868456995</v>
      </c>
    </row>
    <row r="339" spans="10:15" x14ac:dyDescent="0.25">
      <c r="J339" s="8">
        <v>336</v>
      </c>
      <c r="K339" s="21">
        <f>IF($E$20&lt;O339+(O339*($B$5/$E$20)),$E$20,O339+(O339*($B$5/$E$20)))</f>
        <v>854.65610315496497</v>
      </c>
      <c r="L339" s="18">
        <f t="shared" si="22"/>
        <v>86.925259149809619</v>
      </c>
      <c r="M339" s="18">
        <f t="shared" si="23"/>
        <v>767.7308440051554</v>
      </c>
      <c r="N339" s="8">
        <v>0</v>
      </c>
      <c r="O339" s="18">
        <f t="shared" si="24"/>
        <v>19406.569484608659</v>
      </c>
    </row>
    <row r="340" spans="10:15" x14ac:dyDescent="0.25">
      <c r="J340" s="8">
        <v>337</v>
      </c>
      <c r="K340" s="21">
        <f>IF($E$20&lt;O340+(O340*($B$5/$E$20)),$E$20,O340+(O340*($B$5/$E$20)))</f>
        <v>854.65610315496497</v>
      </c>
      <c r="L340" s="18">
        <f t="shared" si="22"/>
        <v>83.486464744369854</v>
      </c>
      <c r="M340" s="18">
        <f t="shared" si="23"/>
        <v>771.1696384105951</v>
      </c>
      <c r="N340" s="8">
        <v>0</v>
      </c>
      <c r="O340" s="18">
        <f t="shared" si="24"/>
        <v>18638.838640603502</v>
      </c>
    </row>
    <row r="341" spans="10:15" x14ac:dyDescent="0.25">
      <c r="J341" s="8">
        <v>338</v>
      </c>
      <c r="K341" s="21">
        <f>IF($E$20&lt;O341+(O341*($B$5/$E$20)),$E$20,O341+(O341*($B$5/$E$20)))</f>
        <v>854.65610315496497</v>
      </c>
      <c r="L341" s="18">
        <f t="shared" si="22"/>
        <v>80.03226740565573</v>
      </c>
      <c r="M341" s="18">
        <f t="shared" si="23"/>
        <v>774.62383574930925</v>
      </c>
      <c r="N341" s="8">
        <v>0</v>
      </c>
      <c r="O341" s="18">
        <f t="shared" si="24"/>
        <v>17867.669002192906</v>
      </c>
    </row>
    <row r="342" spans="10:15" x14ac:dyDescent="0.25">
      <c r="J342" s="8">
        <v>339</v>
      </c>
      <c r="K342" s="21">
        <f>IF($E$20&lt;O342+(O342*($B$5/$E$20)),$E$20,O342+(O342*($B$5/$E$20)))</f>
        <v>854.65610315496497</v>
      </c>
      <c r="L342" s="18">
        <f t="shared" si="22"/>
        <v>76.562598141361946</v>
      </c>
      <c r="M342" s="18">
        <f t="shared" si="23"/>
        <v>778.09350501360302</v>
      </c>
      <c r="N342" s="8">
        <v>0</v>
      </c>
      <c r="O342" s="18">
        <f t="shared" si="24"/>
        <v>17093.045166443597</v>
      </c>
    </row>
    <row r="343" spans="10:15" x14ac:dyDescent="0.25">
      <c r="J343" s="8">
        <v>340</v>
      </c>
      <c r="K343" s="21">
        <f>IF($E$20&lt;O343+(O343*($B$5/$E$20)),$E$20,O343+(O343*($B$5/$E$20)))</f>
        <v>854.65610315496497</v>
      </c>
      <c r="L343" s="18">
        <f t="shared" si="22"/>
        <v>73.077387650155188</v>
      </c>
      <c r="M343" s="18">
        <f t="shared" si="23"/>
        <v>781.57871550480979</v>
      </c>
      <c r="N343" s="8">
        <v>0</v>
      </c>
      <c r="O343" s="18">
        <f t="shared" si="24"/>
        <v>16314.951661429994</v>
      </c>
    </row>
    <row r="344" spans="10:15" x14ac:dyDescent="0.25">
      <c r="J344" s="8">
        <v>341</v>
      </c>
      <c r="K344" s="21">
        <f>IF($E$20&lt;O344+(O344*($B$5/$E$20)),$E$20,O344+(O344*($B$5/$E$20)))</f>
        <v>854.65610315496497</v>
      </c>
      <c r="L344" s="18">
        <f t="shared" si="22"/>
        <v>69.576566320289885</v>
      </c>
      <c r="M344" s="18">
        <f t="shared" si="23"/>
        <v>785.07953683467508</v>
      </c>
      <c r="N344" s="8">
        <v>0</v>
      </c>
      <c r="O344" s="18">
        <f t="shared" si="24"/>
        <v>15533.372945925184</v>
      </c>
    </row>
    <row r="345" spans="10:15" x14ac:dyDescent="0.25">
      <c r="J345" s="8">
        <v>342</v>
      </c>
      <c r="K345" s="21">
        <f>IF($E$20&lt;O345+(O345*($B$5/$E$20)),$E$20,O345+(O345*($B$5/$E$20)))</f>
        <v>854.65610315496497</v>
      </c>
      <c r="L345" s="18">
        <f t="shared" si="22"/>
        <v>66.060064228217911</v>
      </c>
      <c r="M345" s="18">
        <f t="shared" si="23"/>
        <v>788.59603892674704</v>
      </c>
      <c r="N345" s="8">
        <v>0</v>
      </c>
      <c r="O345" s="18">
        <f t="shared" si="24"/>
        <v>14748.293409090509</v>
      </c>
    </row>
    <row r="346" spans="10:15" x14ac:dyDescent="0.25">
      <c r="J346" s="8">
        <v>343</v>
      </c>
      <c r="K346" s="21">
        <f>IF($E$20&lt;O346+(O346*($B$5/$E$20)),$E$20,O346+(O346*($B$5/$E$20)))</f>
        <v>854.65610315496497</v>
      </c>
      <c r="L346" s="18">
        <f t="shared" si="22"/>
        <v>62.527811137191854</v>
      </c>
      <c r="M346" s="18">
        <f t="shared" si="23"/>
        <v>792.12829201777311</v>
      </c>
      <c r="N346" s="8">
        <v>0</v>
      </c>
      <c r="O346" s="18">
        <f t="shared" si="24"/>
        <v>13959.697370163762</v>
      </c>
    </row>
    <row r="347" spans="10:15" x14ac:dyDescent="0.25">
      <c r="J347" s="8">
        <v>344</v>
      </c>
      <c r="K347" s="21">
        <f>IF($E$20&lt;O347+(O347*($B$5/$E$20)),$E$20,O347+(O347*($B$5/$E$20)))</f>
        <v>854.65610315496497</v>
      </c>
      <c r="L347" s="18">
        <f t="shared" si="22"/>
        <v>58.979736495862248</v>
      </c>
      <c r="M347" s="18">
        <f t="shared" si="23"/>
        <v>795.67636665910277</v>
      </c>
      <c r="N347" s="8">
        <v>0</v>
      </c>
      <c r="O347" s="18">
        <f t="shared" si="24"/>
        <v>13167.569078145989</v>
      </c>
    </row>
    <row r="348" spans="10:15" x14ac:dyDescent="0.25">
      <c r="J348" s="8">
        <v>345</v>
      </c>
      <c r="K348" s="21">
        <f>IF($E$20&lt;O348+(O348*($B$5/$E$20)),$E$20,O348+(O348*($B$5/$E$20)))</f>
        <v>854.65610315496497</v>
      </c>
      <c r="L348" s="18">
        <f t="shared" si="22"/>
        <v>55.415769436868345</v>
      </c>
      <c r="M348" s="18">
        <f t="shared" si="23"/>
        <v>799.24033371809662</v>
      </c>
      <c r="N348" s="8">
        <v>0</v>
      </c>
      <c r="O348" s="18">
        <f t="shared" si="24"/>
        <v>12371.892711486886</v>
      </c>
    </row>
    <row r="349" spans="10:15" x14ac:dyDescent="0.25">
      <c r="J349" s="8">
        <v>346</v>
      </c>
      <c r="K349" s="21">
        <f>IF($E$20&lt;O349+(O349*($B$5/$E$20)),$E$20,O349+(O349*($B$5/$E$20)))</f>
        <v>854.65610315496497</v>
      </c>
      <c r="L349" s="18">
        <f t="shared" si="22"/>
        <v>51.835838775422701</v>
      </c>
      <c r="M349" s="18">
        <f t="shared" si="23"/>
        <v>802.82026437954232</v>
      </c>
      <c r="N349" s="8">
        <v>0</v>
      </c>
      <c r="O349" s="18">
        <f t="shared" si="24"/>
        <v>11572.652377768789</v>
      </c>
    </row>
    <row r="350" spans="10:15" x14ac:dyDescent="0.25">
      <c r="J350" s="8">
        <v>347</v>
      </c>
      <c r="K350" s="21">
        <f>IF($E$20&lt;O350+(O350*($B$5/$E$20)),$E$20,O350+(O350*($B$5/$E$20)))</f>
        <v>854.65610315496497</v>
      </c>
      <c r="L350" s="18">
        <f t="shared" si="22"/>
        <v>48.239873007889337</v>
      </c>
      <c r="M350" s="18">
        <f t="shared" si="23"/>
        <v>806.41623014707568</v>
      </c>
      <c r="N350" s="8">
        <v>0</v>
      </c>
      <c r="O350" s="18">
        <f t="shared" si="24"/>
        <v>10769.832113389246</v>
      </c>
    </row>
    <row r="351" spans="10:15" x14ac:dyDescent="0.25">
      <c r="J351" s="8">
        <v>348</v>
      </c>
      <c r="K351" s="21">
        <f>IF($E$20&lt;O351+(O351*($B$5/$E$20)),$E$20,O351+(O351*($B$5/$E$20)))</f>
        <v>854.65610315496497</v>
      </c>
      <c r="L351" s="18">
        <f t="shared" si="22"/>
        <v>44.627800310355553</v>
      </c>
      <c r="M351" s="18">
        <f t="shared" si="23"/>
        <v>810.02830284460947</v>
      </c>
      <c r="N351" s="8">
        <v>0</v>
      </c>
      <c r="O351" s="18">
        <f t="shared" si="24"/>
        <v>9963.4158832421708</v>
      </c>
    </row>
    <row r="352" spans="10:15" x14ac:dyDescent="0.25">
      <c r="J352" s="8">
        <v>349</v>
      </c>
      <c r="K352" s="21">
        <f>IF($E$20&lt;O352+(O352*($B$5/$E$20)),$E$20,O352+(O352*($B$5/$E$20)))</f>
        <v>854.65610315496497</v>
      </c>
      <c r="L352" s="18">
        <f t="shared" si="22"/>
        <v>40.999548537197406</v>
      </c>
      <c r="M352" s="18">
        <f t="shared" si="23"/>
        <v>813.6565546177676</v>
      </c>
      <c r="N352" s="8">
        <v>0</v>
      </c>
      <c r="O352" s="18">
        <f t="shared" si="24"/>
        <v>9153.3875803975607</v>
      </c>
    </row>
    <row r="353" spans="10:15" x14ac:dyDescent="0.25">
      <c r="J353" s="8">
        <v>350</v>
      </c>
      <c r="K353" s="21">
        <f>IF($E$20&lt;O353+(O353*($B$5/$E$20)),$E$20,O353+(O353*($B$5/$E$20)))</f>
        <v>854.65610315496497</v>
      </c>
      <c r="L353" s="18">
        <f t="shared" si="22"/>
        <v>37.355045219638654</v>
      </c>
      <c r="M353" s="18">
        <f t="shared" si="23"/>
        <v>817.3010579353263</v>
      </c>
      <c r="N353" s="8">
        <v>0</v>
      </c>
      <c r="O353" s="18">
        <f t="shared" si="24"/>
        <v>8339.7310257797926</v>
      </c>
    </row>
    <row r="354" spans="10:15" x14ac:dyDescent="0.25">
      <c r="J354" s="8">
        <v>351</v>
      </c>
      <c r="K354" s="21">
        <f>IF($E$20&lt;O354+(O354*($B$5/$E$20)),$E$20,O354+(O354*($B$5/$E$20)))</f>
        <v>854.65610315496497</v>
      </c>
      <c r="L354" s="18">
        <f t="shared" si="22"/>
        <v>33.694217564303337</v>
      </c>
      <c r="M354" s="18">
        <f t="shared" si="23"/>
        <v>820.96188559066161</v>
      </c>
      <c r="N354" s="8">
        <v>0</v>
      </c>
      <c r="O354" s="18">
        <f t="shared" si="24"/>
        <v>7522.4299678444659</v>
      </c>
    </row>
    <row r="355" spans="10:15" x14ac:dyDescent="0.25">
      <c r="J355" s="8">
        <v>352</v>
      </c>
      <c r="K355" s="21">
        <f>IF($E$20&lt;O355+(O355*($B$5/$E$20)),$E$20,O355+(O355*($B$5/$E$20)))</f>
        <v>854.65610315496497</v>
      </c>
      <c r="L355" s="18">
        <f t="shared" si="22"/>
        <v>30.016992451761826</v>
      </c>
      <c r="M355" s="18">
        <f t="shared" si="23"/>
        <v>824.63911070320319</v>
      </c>
      <c r="N355" s="8">
        <v>0</v>
      </c>
      <c r="O355" s="18">
        <f t="shared" si="24"/>
        <v>6701.4680822538039</v>
      </c>
    </row>
    <row r="356" spans="10:15" x14ac:dyDescent="0.25">
      <c r="J356" s="8">
        <v>353</v>
      </c>
      <c r="K356" s="21">
        <f>IF($E$20&lt;O356+(O356*($B$5/$E$20)),$E$20,O356+(O356*($B$5/$E$20)))</f>
        <v>854.65610315496497</v>
      </c>
      <c r="L356" s="18">
        <f t="shared" si="22"/>
        <v>26.3232964350704</v>
      </c>
      <c r="M356" s="18">
        <f t="shared" si="23"/>
        <v>828.33280671989462</v>
      </c>
      <c r="N356" s="8">
        <v>0</v>
      </c>
      <c r="O356" s="18">
        <f t="shared" si="24"/>
        <v>5876.8289715506007</v>
      </c>
    </row>
    <row r="357" spans="10:15" x14ac:dyDescent="0.25">
      <c r="J357" s="8">
        <v>354</v>
      </c>
      <c r="K357" s="21">
        <f>IF($E$20&lt;O357+(O357*($B$5/$E$20)),$E$20,O357+(O357*($B$5/$E$20)))</f>
        <v>854.65610315496497</v>
      </c>
      <c r="L357" s="18">
        <f t="shared" si="22"/>
        <v>22.613055738304208</v>
      </c>
      <c r="M357" s="18">
        <f t="shared" si="23"/>
        <v>832.04304741666078</v>
      </c>
      <c r="N357" s="8">
        <v>0</v>
      </c>
      <c r="O357" s="18">
        <f t="shared" si="24"/>
        <v>5048.4961648307062</v>
      </c>
    </row>
    <row r="358" spans="10:15" x14ac:dyDescent="0.25">
      <c r="J358" s="8">
        <v>355</v>
      </c>
      <c r="K358" s="21">
        <f>IF($E$20&lt;O358+(O358*($B$5/$E$20)),$E$20,O358+(O358*($B$5/$E$20)))</f>
        <v>854.65610315496497</v>
      </c>
      <c r="L358" s="18">
        <f t="shared" si="22"/>
        <v>18.886196255083746</v>
      </c>
      <c r="M358" s="18">
        <f t="shared" si="23"/>
        <v>835.76990689988122</v>
      </c>
      <c r="N358" s="8">
        <v>0</v>
      </c>
      <c r="O358" s="18">
        <f t="shared" si="24"/>
        <v>4216.4531174140457</v>
      </c>
    </row>
    <row r="359" spans="10:15" x14ac:dyDescent="0.25">
      <c r="J359" s="8">
        <v>356</v>
      </c>
      <c r="K359" s="21">
        <f>IF($E$20&lt;O359+(O359*($B$5/$E$20)),$E$20,O359+(O359*($B$5/$E$20)))</f>
        <v>854.65610315496497</v>
      </c>
      <c r="L359" s="18">
        <f t="shared" si="22"/>
        <v>15.142643547094695</v>
      </c>
      <c r="M359" s="18">
        <f t="shared" si="23"/>
        <v>839.51345960787023</v>
      </c>
      <c r="N359" s="8">
        <v>0</v>
      </c>
      <c r="O359" s="18">
        <f t="shared" si="24"/>
        <v>3380.6832105141643</v>
      </c>
    </row>
    <row r="360" spans="10:15" x14ac:dyDescent="0.25">
      <c r="J360" s="8">
        <v>357</v>
      </c>
      <c r="K360" s="21">
        <f>IF($E$20&lt;O360+(O360*($B$5/$E$20)),$E$20,O360+(O360*($B$5/$E$20)))</f>
        <v>854.65610315496497</v>
      </c>
      <c r="L360" s="18">
        <f t="shared" si="22"/>
        <v>11.382322842601111</v>
      </c>
      <c r="M360" s="18">
        <f t="shared" si="23"/>
        <v>843.2737803123639</v>
      </c>
      <c r="N360" s="8">
        <v>0</v>
      </c>
      <c r="O360" s="18">
        <f t="shared" si="24"/>
        <v>2541.1697509062942</v>
      </c>
    </row>
    <row r="361" spans="10:15" x14ac:dyDescent="0.25">
      <c r="J361" s="8">
        <v>358</v>
      </c>
      <c r="K361" s="21">
        <f>IF($E$20&lt;O361+(O361*($B$5/$E$20)),$E$20,O361+(O361*($B$5/$E$20)))</f>
        <v>854.65610315496497</v>
      </c>
      <c r="L361" s="18">
        <f t="shared" si="22"/>
        <v>7.6051590349519786</v>
      </c>
      <c r="M361" s="18">
        <f t="shared" si="23"/>
        <v>847.05094412001301</v>
      </c>
      <c r="N361" s="8">
        <v>0</v>
      </c>
      <c r="O361" s="18">
        <f t="shared" si="24"/>
        <v>1697.8959705939303</v>
      </c>
    </row>
    <row r="362" spans="10:15" x14ac:dyDescent="0.25">
      <c r="J362" s="8">
        <v>359</v>
      </c>
      <c r="K362" s="21">
        <f>IF($E$20&lt;O362+(O362*($B$5/$E$20)),$E$20,O362+(O362*($B$5/$E$20)))</f>
        <v>850.89853679228293</v>
      </c>
      <c r="L362" s="18">
        <f t="shared" si="22"/>
        <v>3.8110766810810879</v>
      </c>
      <c r="M362" s="18">
        <f t="shared" si="23"/>
        <v>847.08746011120184</v>
      </c>
      <c r="N362" s="8">
        <v>0</v>
      </c>
      <c r="O362" s="18">
        <f t="shared" si="24"/>
        <v>850.8450264739173</v>
      </c>
    </row>
    <row r="363" spans="10:15" x14ac:dyDescent="0.25">
      <c r="J363" s="8">
        <v>360</v>
      </c>
      <c r="K363" s="21">
        <f>IF($E$20&lt;O363+(O363*($B$5/$E$20)),$E$20,O363+(O363*($B$5/$E$20)))</f>
        <v>3.7578026790434604</v>
      </c>
      <c r="L363" s="18">
        <f t="shared" si="22"/>
        <v>1.683076599966302E-2</v>
      </c>
      <c r="M363" s="18">
        <f t="shared" si="23"/>
        <v>3.7409719130437975</v>
      </c>
      <c r="N363" s="8">
        <v>0</v>
      </c>
      <c r="O363" s="18">
        <f t="shared" si="24"/>
        <v>3.7575663627154654</v>
      </c>
    </row>
    <row r="364" spans="10:15" x14ac:dyDescent="0.25">
      <c r="J364" s="7" t="s">
        <v>17</v>
      </c>
      <c r="K364" s="18">
        <f>SUM(K3:K363)</f>
        <v>307676.19737210509</v>
      </c>
      <c r="L364" s="18">
        <f>SUM(L3:L363)</f>
        <v>155051.21396655316</v>
      </c>
      <c r="M364" s="18">
        <f>SUM(M3:M363)</f>
        <v>152624.98340555033</v>
      </c>
      <c r="N364" s="21">
        <f>SUM(N4:N363)</f>
        <v>0</v>
      </c>
      <c r="O364" s="8"/>
    </row>
  </sheetData>
  <mergeCells count="14">
    <mergeCell ref="D27:E27"/>
    <mergeCell ref="D45:E45"/>
    <mergeCell ref="D24:E24"/>
    <mergeCell ref="G14:H14"/>
    <mergeCell ref="G21:H21"/>
    <mergeCell ref="G1:H1"/>
    <mergeCell ref="A11:B11"/>
    <mergeCell ref="A21:B21"/>
    <mergeCell ref="G17:H17"/>
    <mergeCell ref="J1:O1"/>
    <mergeCell ref="D15:E15"/>
    <mergeCell ref="A1:B1"/>
    <mergeCell ref="D2:E12"/>
    <mergeCell ref="D1:E1"/>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74BA-B726-4D7B-B16D-C671E495A0D2}">
  <dimension ref="A1:V44"/>
  <sheetViews>
    <sheetView workbookViewId="0">
      <selection activeCell="B5" sqref="B5"/>
    </sheetView>
  </sheetViews>
  <sheetFormatPr defaultRowHeight="15" x14ac:dyDescent="0.25"/>
  <cols>
    <col min="1" max="1" width="30.28515625" bestFit="1" customWidth="1"/>
    <col min="2" max="2" width="14.7109375" bestFit="1" customWidth="1"/>
    <col min="3" max="3" width="12.5703125" bestFit="1" customWidth="1"/>
    <col min="4" max="4" width="23.85546875" bestFit="1" customWidth="1"/>
    <col min="5" max="5" width="20.85546875" bestFit="1" customWidth="1"/>
    <col min="6" max="6" width="21.7109375" bestFit="1" customWidth="1"/>
    <col min="7" max="7" width="23.85546875" bestFit="1" customWidth="1"/>
    <col min="8" max="8" width="8.85546875" bestFit="1" customWidth="1"/>
    <col min="9" max="9" width="5" bestFit="1" customWidth="1"/>
    <col min="10" max="10" width="21.7109375" bestFit="1" customWidth="1"/>
    <col min="11" max="11" width="15.42578125" bestFit="1" customWidth="1"/>
    <col min="12" max="12" width="17.7109375" bestFit="1" customWidth="1"/>
    <col min="13" max="13" width="11.140625" customWidth="1"/>
    <col min="14" max="14" width="5" bestFit="1" customWidth="1"/>
    <col min="15" max="15" width="28.28515625" bestFit="1" customWidth="1"/>
    <col min="16" max="16" width="22.7109375" bestFit="1" customWidth="1"/>
    <col min="17" max="17" width="20.28515625" bestFit="1" customWidth="1"/>
    <col min="18" max="18" width="32.28515625" bestFit="1" customWidth="1"/>
    <col min="19" max="19" width="30" bestFit="1" customWidth="1"/>
    <col min="20" max="20" width="16.7109375" bestFit="1" customWidth="1"/>
    <col min="21" max="21" width="24.85546875" bestFit="1" customWidth="1"/>
    <col min="22" max="22" width="17.85546875" customWidth="1"/>
    <col min="23" max="23" width="14.28515625" bestFit="1" customWidth="1"/>
  </cols>
  <sheetData>
    <row r="1" spans="1:22" x14ac:dyDescent="0.25">
      <c r="A1" s="72" t="s">
        <v>42</v>
      </c>
      <c r="B1" s="73"/>
      <c r="D1" s="72" t="s">
        <v>41</v>
      </c>
      <c r="E1" s="73"/>
      <c r="G1" s="72" t="s">
        <v>43</v>
      </c>
      <c r="H1" s="73"/>
    </row>
    <row r="2" spans="1:22" x14ac:dyDescent="0.25">
      <c r="A2" s="24" t="s">
        <v>47</v>
      </c>
      <c r="B2" s="20">
        <f>'Mortgage Calculation'!B2</f>
        <v>170000</v>
      </c>
      <c r="D2" s="11" t="s">
        <v>23</v>
      </c>
      <c r="E2" s="2">
        <f>'Mortgage Calculation'!B12</f>
        <v>75</v>
      </c>
      <c r="G2" s="11" t="s">
        <v>39</v>
      </c>
      <c r="H2" s="2">
        <f>'Mortgage Calculation'!B36</f>
        <v>900</v>
      </c>
    </row>
    <row r="3" spans="1:22" x14ac:dyDescent="0.25">
      <c r="A3" s="11" t="s">
        <v>48</v>
      </c>
      <c r="B3" s="2">
        <f>'Mortgage Calculation'!E16</f>
        <v>152625</v>
      </c>
      <c r="D3" s="9" t="s">
        <v>24</v>
      </c>
      <c r="E3" s="2">
        <f>'Mortgage Calculation'!B13</f>
        <v>60</v>
      </c>
    </row>
    <row r="4" spans="1:22" x14ac:dyDescent="0.25">
      <c r="A4" s="9" t="s">
        <v>3</v>
      </c>
      <c r="B4" s="16">
        <f>'Mortgage Calculation'!E18</f>
        <v>8500</v>
      </c>
      <c r="D4" s="9" t="s">
        <v>25</v>
      </c>
      <c r="E4" s="2">
        <f>'Mortgage Calculation'!B14</f>
        <v>60</v>
      </c>
      <c r="G4" s="72" t="s">
        <v>44</v>
      </c>
      <c r="H4" s="73"/>
    </row>
    <row r="5" spans="1:22" x14ac:dyDescent="0.25">
      <c r="A5" s="11" t="s">
        <v>49</v>
      </c>
      <c r="B5" s="30">
        <f>'Mortgage Calculation'!B6</f>
        <v>10000</v>
      </c>
      <c r="D5" s="9" t="s">
        <v>26</v>
      </c>
      <c r="E5" s="2">
        <f>'Mortgage Calculation'!B15</f>
        <v>23</v>
      </c>
      <c r="G5" s="8" t="s">
        <v>69</v>
      </c>
      <c r="H5" s="2">
        <f>'Mortgage Calculation'!B39</f>
        <v>60</v>
      </c>
    </row>
    <row r="6" spans="1:22" x14ac:dyDescent="0.25">
      <c r="A6" s="41" t="s">
        <v>77</v>
      </c>
      <c r="B6" s="2">
        <f>'Mortgage Calculation'!B7</f>
        <v>10000</v>
      </c>
      <c r="D6" s="9" t="s">
        <v>27</v>
      </c>
      <c r="E6" s="2">
        <f>'Mortgage Calculation'!B16</f>
        <v>10</v>
      </c>
      <c r="G6" s="22" t="s">
        <v>28</v>
      </c>
      <c r="H6" s="2">
        <f>'Mortgage Calculation'!B40</f>
        <v>75</v>
      </c>
    </row>
    <row r="7" spans="1:22" x14ac:dyDescent="0.25">
      <c r="A7" s="11" t="s">
        <v>56</v>
      </c>
      <c r="B7" s="20">
        <f>'Mortgage Calculation'!E25</f>
        <v>18500</v>
      </c>
      <c r="D7" s="9" t="s">
        <v>28</v>
      </c>
      <c r="E7" s="2">
        <f>'Mortgage Calculation'!B17</f>
        <v>65</v>
      </c>
      <c r="G7" s="8" t="s">
        <v>45</v>
      </c>
      <c r="H7" s="3">
        <f>'Mortgage Calculation'!B41</f>
        <v>12.42</v>
      </c>
    </row>
    <row r="8" spans="1:22" x14ac:dyDescent="0.25">
      <c r="A8" s="11" t="s">
        <v>54</v>
      </c>
      <c r="B8" s="2">
        <f>B3+B5</f>
        <v>162625</v>
      </c>
      <c r="D8" s="9" t="s">
        <v>29</v>
      </c>
      <c r="E8" s="2">
        <f>'Mortgage Calculation'!B18</f>
        <v>1500</v>
      </c>
    </row>
    <row r="9" spans="1:22" x14ac:dyDescent="0.25">
      <c r="A9" s="72" t="s">
        <v>64</v>
      </c>
      <c r="B9" s="73"/>
      <c r="D9" s="9" t="s">
        <v>30</v>
      </c>
      <c r="E9" s="2">
        <f>'Mortgage Calculation'!B19</f>
        <v>2000</v>
      </c>
    </row>
    <row r="10" spans="1:22" x14ac:dyDescent="0.25">
      <c r="A10" s="19" t="s">
        <v>46</v>
      </c>
      <c r="B10" s="37">
        <f>'Mortgage Calculation'!B33</f>
        <v>0.04</v>
      </c>
      <c r="D10" s="6"/>
      <c r="Q10" s="40"/>
    </row>
    <row r="11" spans="1:22" x14ac:dyDescent="0.25">
      <c r="A11" s="42"/>
      <c r="D11" s="6"/>
      <c r="Q11" s="4"/>
    </row>
    <row r="12" spans="1:22" x14ac:dyDescent="0.25">
      <c r="A12" s="42"/>
      <c r="D12" s="6"/>
    </row>
    <row r="13" spans="1:22" x14ac:dyDescent="0.25">
      <c r="A13" s="74" t="s">
        <v>60</v>
      </c>
      <c r="B13" s="74"/>
      <c r="C13" s="74"/>
      <c r="D13" s="74"/>
      <c r="E13" s="74"/>
      <c r="F13" s="74"/>
      <c r="G13" s="74"/>
      <c r="I13" s="74" t="s">
        <v>61</v>
      </c>
      <c r="J13" s="74"/>
      <c r="K13" s="74"/>
      <c r="L13" s="74"/>
      <c r="N13" s="74" t="s">
        <v>65</v>
      </c>
      <c r="O13" s="74"/>
      <c r="P13" s="74"/>
      <c r="Q13" s="74"/>
      <c r="R13" s="74"/>
      <c r="S13" s="74"/>
      <c r="U13" s="74" t="s">
        <v>67</v>
      </c>
      <c r="V13" s="74"/>
    </row>
    <row r="14" spans="1:22" x14ac:dyDescent="0.25">
      <c r="A14" s="7" t="s">
        <v>58</v>
      </c>
      <c r="B14" s="7" t="s">
        <v>37</v>
      </c>
      <c r="C14" s="7" t="s">
        <v>38</v>
      </c>
      <c r="D14" s="25" t="s">
        <v>14</v>
      </c>
      <c r="E14" s="23" t="s">
        <v>52</v>
      </c>
      <c r="F14" s="7" t="s">
        <v>59</v>
      </c>
      <c r="G14" s="7" t="s">
        <v>53</v>
      </c>
      <c r="I14" s="7" t="s">
        <v>58</v>
      </c>
      <c r="J14" s="23" t="s">
        <v>37</v>
      </c>
      <c r="K14" s="23" t="s">
        <v>40</v>
      </c>
      <c r="L14" s="7" t="s">
        <v>53</v>
      </c>
      <c r="N14" s="7" t="s">
        <v>58</v>
      </c>
      <c r="O14" s="32" t="s">
        <v>50</v>
      </c>
      <c r="P14" s="23" t="s">
        <v>51</v>
      </c>
      <c r="Q14" s="23" t="s">
        <v>57</v>
      </c>
      <c r="R14" s="7" t="s">
        <v>62</v>
      </c>
      <c r="S14" s="23" t="s">
        <v>63</v>
      </c>
      <c r="U14" s="7" t="s">
        <v>68</v>
      </c>
      <c r="V14" s="7" t="s">
        <v>66</v>
      </c>
    </row>
    <row r="15" spans="1:22" x14ac:dyDescent="0.25">
      <c r="A15" s="7">
        <v>1</v>
      </c>
      <c r="B15" s="2">
        <f>SUM('Mortgage Calculation'!K3:K15)</f>
        <v>11110.52934101454</v>
      </c>
      <c r="C15" s="2">
        <f>SUM('Mortgage Calculation'!L3:L15)</f>
        <v>8826.4828908365635</v>
      </c>
      <c r="D15" s="26">
        <f>SUM('Mortgage Calculation'!M3:M15)</f>
        <v>2284.046450177982</v>
      </c>
      <c r="E15" s="2">
        <f>'Mortgage Calculation'!O15</f>
        <v>150521.39921897533</v>
      </c>
      <c r="F15" s="2" cm="1">
        <f t="array" ref="F15">SUM((E2:E7)*12)+E8+E9</f>
        <v>7016</v>
      </c>
      <c r="G15" s="2">
        <f t="shared" ref="G15:G44" si="0">B15+F15</f>
        <v>18126.529341014539</v>
      </c>
      <c r="I15" s="7">
        <v>1</v>
      </c>
      <c r="J15" s="28">
        <f>H2*12</f>
        <v>10800</v>
      </c>
      <c r="K15" s="2" cm="1">
        <f t="array" ref="K15">SUM((H5:H7)*12)</f>
        <v>1769.04</v>
      </c>
      <c r="L15" s="2">
        <f t="shared" ref="L15:L44" si="1">J15+K15</f>
        <v>12569.04</v>
      </c>
      <c r="N15" s="7">
        <v>1</v>
      </c>
      <c r="O15" s="33">
        <f t="shared" ref="O15:O44" si="2">$B$2*(1+$B$10)^(N15)</f>
        <v>176800</v>
      </c>
      <c r="P15" s="28">
        <f>B15+E15+F15+$B$7+$B$6+$B$5</f>
        <v>207147.92855998987</v>
      </c>
      <c r="Q15" s="5">
        <f>O15-P15</f>
        <v>-30347.928559989872</v>
      </c>
      <c r="R15" s="2">
        <f>B15+E15+$B$7+$B$6+$B$5</f>
        <v>200131.92855998987</v>
      </c>
      <c r="S15" s="5">
        <f>O15-R15</f>
        <v>-23331.928559989872</v>
      </c>
      <c r="U15" s="7">
        <v>1</v>
      </c>
      <c r="V15" s="5">
        <f t="shared" ref="V15:V44" si="3">L15+Q15</f>
        <v>-17778.888559989871</v>
      </c>
    </row>
    <row r="16" spans="1:22" x14ac:dyDescent="0.25">
      <c r="A16" s="29">
        <v>2</v>
      </c>
      <c r="B16" s="30">
        <f>SUM('Mortgage Calculation'!K3:K27)</f>
        <v>21366.402578874116</v>
      </c>
      <c r="C16" s="30">
        <f>SUM('Mortgage Calculation'!L3:L27)</f>
        <v>16852.91780777297</v>
      </c>
      <c r="D16" s="31">
        <f>SUM('Mortgage Calculation'!M3:M27)</f>
        <v>4513.4847711011535</v>
      </c>
      <c r="E16" s="30">
        <f>'Mortgage Calculation'!O27</f>
        <v>148301.90239424625</v>
      </c>
      <c r="F16" s="27">
        <f t="shared" ref="F16:F44" si="4">$F$15*A16</f>
        <v>14032</v>
      </c>
      <c r="G16" s="2">
        <f t="shared" si="0"/>
        <v>35398.402578874113</v>
      </c>
      <c r="I16" s="7">
        <v>2</v>
      </c>
      <c r="J16" s="28">
        <f t="shared" ref="J16:J44" si="5">$J$15*I16</f>
        <v>21600</v>
      </c>
      <c r="K16" s="2">
        <f t="shared" ref="K16:K44" si="6">$K$15*I16</f>
        <v>3538.08</v>
      </c>
      <c r="L16" s="2">
        <f t="shared" si="1"/>
        <v>25138.080000000002</v>
      </c>
      <c r="N16" s="7">
        <v>2</v>
      </c>
      <c r="O16" s="33">
        <f t="shared" si="2"/>
        <v>183872.00000000003</v>
      </c>
      <c r="P16" s="28">
        <f t="shared" ref="P16:P44" si="7">B16+E16+F16+$B$7+$B$6+$B$5</f>
        <v>222200.30497312036</v>
      </c>
      <c r="Q16" s="5">
        <f>O16-P16</f>
        <v>-38328.304973120335</v>
      </c>
      <c r="R16" s="2">
        <f t="shared" ref="R16:R44" si="8">B16+E16+$B$7+$B$6+$B$5</f>
        <v>208168.30497312036</v>
      </c>
      <c r="S16" s="5">
        <f t="shared" ref="S16:S44" si="9">O16-R16</f>
        <v>-24296.304973120335</v>
      </c>
      <c r="U16" s="7">
        <v>2</v>
      </c>
      <c r="V16" s="5">
        <f t="shared" si="3"/>
        <v>-13190.224973120334</v>
      </c>
    </row>
    <row r="17" spans="1:22" x14ac:dyDescent="0.25">
      <c r="A17" s="7">
        <v>3</v>
      </c>
      <c r="B17" s="28">
        <f>SUM('Mortgage Calculation'!K3:K39)</f>
        <v>31622.275816733691</v>
      </c>
      <c r="C17" s="28">
        <f>SUM('Mortgage Calculation'!$L$3:L39)</f>
        <v>24756.523771892538</v>
      </c>
      <c r="D17" s="28">
        <f>SUM('Mortgage Calculation'!$M$3:M39)</f>
        <v>6865.7520448411742</v>
      </c>
      <c r="E17" s="28">
        <f>'Mortgage Calculation'!O39</f>
        <v>145960.12433473117</v>
      </c>
      <c r="F17" s="27">
        <f t="shared" si="4"/>
        <v>21048</v>
      </c>
      <c r="G17" s="2">
        <f t="shared" si="0"/>
        <v>52670.275816733687</v>
      </c>
      <c r="I17" s="7">
        <v>3</v>
      </c>
      <c r="J17" s="28">
        <f t="shared" si="5"/>
        <v>32400</v>
      </c>
      <c r="K17" s="2">
        <f t="shared" si="6"/>
        <v>5307.12</v>
      </c>
      <c r="L17" s="2">
        <f t="shared" si="1"/>
        <v>37707.120000000003</v>
      </c>
      <c r="N17" s="7">
        <v>3</v>
      </c>
      <c r="O17" s="33">
        <f t="shared" si="2"/>
        <v>191226.88</v>
      </c>
      <c r="P17" s="28">
        <f t="shared" si="7"/>
        <v>237130.40015146486</v>
      </c>
      <c r="Q17" s="5">
        <f t="shared" ref="Q17:Q44" si="10">O17-P17</f>
        <v>-45903.520151464851</v>
      </c>
      <c r="R17" s="2">
        <f t="shared" si="8"/>
        <v>216082.40015146486</v>
      </c>
      <c r="S17" s="5">
        <f t="shared" si="9"/>
        <v>-24855.520151464851</v>
      </c>
      <c r="U17" s="23">
        <v>3</v>
      </c>
      <c r="V17" s="5">
        <f t="shared" si="3"/>
        <v>-8196.400151464848</v>
      </c>
    </row>
    <row r="18" spans="1:22" x14ac:dyDescent="0.25">
      <c r="A18" s="7">
        <v>4</v>
      </c>
      <c r="B18" s="28">
        <f>SUM('Mortgage Calculation'!K3:K51)</f>
        <v>41878.149054593268</v>
      </c>
      <c r="C18" s="28">
        <f>SUM('Mortgage Calculation'!$L$3:L51)</f>
        <v>32530.533629554582</v>
      </c>
      <c r="D18" s="28">
        <f>SUM('Mortgage Calculation'!$M$3:M51)</f>
        <v>9347.6154250387153</v>
      </c>
      <c r="E18" s="28">
        <f>'Mortgage Calculation'!O51</f>
        <v>143489.32806283486</v>
      </c>
      <c r="F18" s="27">
        <f t="shared" si="4"/>
        <v>28064</v>
      </c>
      <c r="G18" s="2">
        <f t="shared" si="0"/>
        <v>69942.149054593261</v>
      </c>
      <c r="I18" s="7">
        <v>4</v>
      </c>
      <c r="J18" s="28">
        <f t="shared" si="5"/>
        <v>43200</v>
      </c>
      <c r="K18" s="2">
        <f t="shared" si="6"/>
        <v>7076.16</v>
      </c>
      <c r="L18" s="2">
        <f t="shared" si="1"/>
        <v>50276.160000000003</v>
      </c>
      <c r="N18" s="7">
        <v>4</v>
      </c>
      <c r="O18" s="33">
        <f t="shared" si="2"/>
        <v>198875.95520000003</v>
      </c>
      <c r="P18" s="28">
        <f t="shared" si="7"/>
        <v>251931.47711742812</v>
      </c>
      <c r="Q18" s="5">
        <f t="shared" si="10"/>
        <v>-53055.521917428094</v>
      </c>
      <c r="R18" s="2">
        <f t="shared" si="8"/>
        <v>223867.47711742812</v>
      </c>
      <c r="S18" s="5">
        <f t="shared" si="9"/>
        <v>-24991.521917428094</v>
      </c>
      <c r="U18" s="7">
        <v>4</v>
      </c>
      <c r="V18" s="5">
        <f t="shared" si="3"/>
        <v>-2779.3619174280902</v>
      </c>
    </row>
    <row r="19" spans="1:22" x14ac:dyDescent="0.25">
      <c r="A19" s="29">
        <v>5</v>
      </c>
      <c r="B19" s="28">
        <f>SUM('Mortgage Calculation'!K3:K63)</f>
        <v>52134.022292452843</v>
      </c>
      <c r="C19" s="28">
        <f>SUM('Mortgage Calculation'!$L$3:L63)</f>
        <v>40167.807396712036</v>
      </c>
      <c r="D19" s="28">
        <f>SUM('Mortgage Calculation'!$M$3:M63)</f>
        <v>11966.214895740843</v>
      </c>
      <c r="E19" s="28">
        <f>'Mortgage Calculation'!O63</f>
        <v>140882.4054330785</v>
      </c>
      <c r="F19" s="27">
        <f t="shared" si="4"/>
        <v>35080</v>
      </c>
      <c r="G19" s="2">
        <f t="shared" si="0"/>
        <v>87214.022292452835</v>
      </c>
      <c r="I19" s="7">
        <v>5</v>
      </c>
      <c r="J19" s="28">
        <f t="shared" si="5"/>
        <v>54000</v>
      </c>
      <c r="K19" s="2">
        <f t="shared" si="6"/>
        <v>8845.2000000000007</v>
      </c>
      <c r="L19" s="2">
        <f t="shared" si="1"/>
        <v>62845.2</v>
      </c>
      <c r="N19" s="7">
        <v>5</v>
      </c>
      <c r="O19" s="33">
        <f t="shared" si="2"/>
        <v>206830.99340800007</v>
      </c>
      <c r="P19" s="28">
        <f t="shared" si="7"/>
        <v>266596.42772553134</v>
      </c>
      <c r="Q19" s="5">
        <f t="shared" si="10"/>
        <v>-59765.434317531268</v>
      </c>
      <c r="R19" s="2">
        <f t="shared" si="8"/>
        <v>231516.42772553134</v>
      </c>
      <c r="S19" s="2">
        <f t="shared" si="9"/>
        <v>-24685.434317531268</v>
      </c>
      <c r="U19" s="7">
        <v>5</v>
      </c>
      <c r="V19" s="5">
        <f t="shared" si="3"/>
        <v>3079.7656824687292</v>
      </c>
    </row>
    <row r="20" spans="1:22" x14ac:dyDescent="0.25">
      <c r="A20" s="7">
        <v>6</v>
      </c>
      <c r="B20" s="28">
        <f>SUM('Mortgage Calculation'!K3:K75)</f>
        <v>62389.895530312417</v>
      </c>
      <c r="C20" s="28">
        <f>SUM('Mortgage Calculation'!$L$3:L75)</f>
        <v>47660.811718146535</v>
      </c>
      <c r="D20" s="28">
        <f>SUM('Mortgage Calculation'!$M$3:M75)</f>
        <v>14729.083812165927</v>
      </c>
      <c r="E20" s="28">
        <f>'Mortgage Calculation'!O75</f>
        <v>138131.85668293008</v>
      </c>
      <c r="F20" s="27">
        <f t="shared" si="4"/>
        <v>42096</v>
      </c>
      <c r="G20" s="2">
        <f t="shared" si="0"/>
        <v>104485.89553031241</v>
      </c>
      <c r="I20" s="7">
        <v>6</v>
      </c>
      <c r="J20" s="28">
        <f t="shared" si="5"/>
        <v>64800</v>
      </c>
      <c r="K20" s="2">
        <f t="shared" si="6"/>
        <v>10614.24</v>
      </c>
      <c r="L20" s="2">
        <f t="shared" si="1"/>
        <v>75414.240000000005</v>
      </c>
      <c r="N20" s="7">
        <v>6</v>
      </c>
      <c r="O20" s="33">
        <f t="shared" si="2"/>
        <v>215104.23314432005</v>
      </c>
      <c r="P20" s="28">
        <f t="shared" si="7"/>
        <v>281117.75221324246</v>
      </c>
      <c r="Q20" s="5">
        <f t="shared" si="10"/>
        <v>-66013.519068922411</v>
      </c>
      <c r="R20" s="2">
        <f t="shared" si="8"/>
        <v>239021.75221324249</v>
      </c>
      <c r="S20" s="2">
        <f t="shared" si="9"/>
        <v>-23917.51906892244</v>
      </c>
      <c r="U20" s="23">
        <v>6</v>
      </c>
      <c r="V20" s="5">
        <f t="shared" si="3"/>
        <v>9400.7209310775943</v>
      </c>
    </row>
    <row r="21" spans="1:22" x14ac:dyDescent="0.25">
      <c r="A21" s="7">
        <v>7</v>
      </c>
      <c r="B21" s="28">
        <f>SUM('Mortgage Calculation'!K3:K87)</f>
        <v>72645.768768171998</v>
      </c>
      <c r="C21" s="28">
        <f>SUM('Mortgage Calculation'!$L$3:L87)</f>
        <v>55001.598195028062</v>
      </c>
      <c r="D21" s="28">
        <f>SUM('Mortgage Calculation'!$M$3:M87)</f>
        <v>17644.170573143983</v>
      </c>
      <c r="E21" s="28">
        <f>'Mortgage Calculation'!O87</f>
        <v>135229.76885700561</v>
      </c>
      <c r="F21" s="27">
        <f t="shared" si="4"/>
        <v>49112</v>
      </c>
      <c r="G21" s="2">
        <f t="shared" si="0"/>
        <v>121757.768768172</v>
      </c>
      <c r="I21" s="7">
        <v>7</v>
      </c>
      <c r="J21" s="28">
        <f t="shared" si="5"/>
        <v>75600</v>
      </c>
      <c r="K21" s="2">
        <f t="shared" si="6"/>
        <v>12383.279999999999</v>
      </c>
      <c r="L21" s="2">
        <f t="shared" si="1"/>
        <v>87983.28</v>
      </c>
      <c r="N21" s="7">
        <v>7</v>
      </c>
      <c r="O21" s="33">
        <f t="shared" si="2"/>
        <v>223708.40247009284</v>
      </c>
      <c r="P21" s="28">
        <f t="shared" si="7"/>
        <v>295487.53762517759</v>
      </c>
      <c r="Q21" s="5">
        <f t="shared" si="10"/>
        <v>-71779.135155084747</v>
      </c>
      <c r="R21" s="2">
        <f t="shared" si="8"/>
        <v>246375.53762517759</v>
      </c>
      <c r="S21" s="2">
        <f t="shared" si="9"/>
        <v>-22667.135155084747</v>
      </c>
      <c r="U21" s="7">
        <v>7</v>
      </c>
      <c r="V21" s="5">
        <f t="shared" si="3"/>
        <v>16204.144844915252</v>
      </c>
    </row>
    <row r="22" spans="1:22" x14ac:dyDescent="0.25">
      <c r="A22" s="29">
        <v>8</v>
      </c>
      <c r="B22" s="28">
        <f>SUM('Mortgage Calculation'!K3:K99)</f>
        <v>82901.642006031572</v>
      </c>
      <c r="C22" s="28">
        <f>SUM('Mortgage Calculation'!$L$3:L99)</f>
        <v>62181.780518450447</v>
      </c>
      <c r="D22" s="28">
        <f>SUM('Mortgage Calculation'!$M$3:M99)</f>
        <v>20719.861487581165</v>
      </c>
      <c r="E22" s="28">
        <f>'Mortgage Calculation'!O99</f>
        <v>132167.79304257061</v>
      </c>
      <c r="F22" s="27">
        <f t="shared" si="4"/>
        <v>56128</v>
      </c>
      <c r="G22" s="2">
        <f t="shared" si="0"/>
        <v>139029.64200603159</v>
      </c>
      <c r="I22" s="7">
        <v>8</v>
      </c>
      <c r="J22" s="28">
        <f t="shared" si="5"/>
        <v>86400</v>
      </c>
      <c r="K22" s="2">
        <f t="shared" si="6"/>
        <v>14152.32</v>
      </c>
      <c r="L22" s="2">
        <f t="shared" si="1"/>
        <v>100552.32000000001</v>
      </c>
      <c r="N22" s="7">
        <v>8</v>
      </c>
      <c r="O22" s="33">
        <f t="shared" si="2"/>
        <v>232656.7385688966</v>
      </c>
      <c r="P22" s="28">
        <f t="shared" si="7"/>
        <v>309697.43504860217</v>
      </c>
      <c r="Q22" s="5">
        <f t="shared" si="10"/>
        <v>-77040.69647970557</v>
      </c>
      <c r="R22" s="2">
        <f t="shared" si="8"/>
        <v>253569.43504860217</v>
      </c>
      <c r="S22" s="2">
        <f t="shared" si="9"/>
        <v>-20912.69647970557</v>
      </c>
      <c r="U22" s="7">
        <v>8</v>
      </c>
      <c r="V22" s="5">
        <f t="shared" si="3"/>
        <v>23511.623520294437</v>
      </c>
    </row>
    <row r="23" spans="1:22" x14ac:dyDescent="0.25">
      <c r="A23" s="7">
        <v>9</v>
      </c>
      <c r="B23" s="28">
        <f>SUM('Mortgage Calculation'!K3:K111)</f>
        <v>93157.515243891146</v>
      </c>
      <c r="C23" s="28">
        <f>SUM('Mortgage Calculation'!$L$3:L111)</f>
        <v>69192.510343159098</v>
      </c>
      <c r="D23" s="28">
        <f>SUM('Mortgage Calculation'!$M$3:M111)</f>
        <v>23965.004900732096</v>
      </c>
      <c r="E23" s="28">
        <f>'Mortgage Calculation'!O111</f>
        <v>128937.12035085139</v>
      </c>
      <c r="F23" s="27">
        <f t="shared" si="4"/>
        <v>63144</v>
      </c>
      <c r="G23" s="2">
        <f t="shared" si="0"/>
        <v>156301.51524389116</v>
      </c>
      <c r="I23" s="7">
        <v>9</v>
      </c>
      <c r="J23" s="28">
        <f t="shared" si="5"/>
        <v>97200</v>
      </c>
      <c r="K23" s="2">
        <f t="shared" si="6"/>
        <v>15921.36</v>
      </c>
      <c r="L23" s="2">
        <f t="shared" si="1"/>
        <v>113121.36</v>
      </c>
      <c r="N23" s="7">
        <v>9</v>
      </c>
      <c r="O23" s="33">
        <f t="shared" si="2"/>
        <v>241963.00811165248</v>
      </c>
      <c r="P23" s="28">
        <f t="shared" si="7"/>
        <v>323738.63559474255</v>
      </c>
      <c r="Q23" s="5">
        <f t="shared" si="10"/>
        <v>-81775.627483090066</v>
      </c>
      <c r="R23" s="2">
        <f t="shared" si="8"/>
        <v>260594.63559474255</v>
      </c>
      <c r="S23" s="2">
        <f t="shared" si="9"/>
        <v>-18631.627483090066</v>
      </c>
      <c r="U23" s="23">
        <v>9</v>
      </c>
      <c r="V23" s="5">
        <f t="shared" si="3"/>
        <v>31345.732516909935</v>
      </c>
    </row>
    <row r="24" spans="1:22" x14ac:dyDescent="0.25">
      <c r="A24" s="7">
        <v>10</v>
      </c>
      <c r="B24" s="28">
        <f>SUM('Mortgage Calculation'!K3:K123)</f>
        <v>103413.38848175072</v>
      </c>
      <c r="C24" s="28">
        <f>SUM('Mortgage Calculation'!$L$3:L123)</f>
        <v>76024.451832062696</v>
      </c>
      <c r="D24" s="28">
        <f>SUM('Mortgage Calculation'!$M$3:M123)</f>
        <v>27388.936649688058</v>
      </c>
      <c r="E24" s="28">
        <f>'Mortgage Calculation'!O123</f>
        <v>125528.45657505782</v>
      </c>
      <c r="F24" s="27">
        <f t="shared" si="4"/>
        <v>70160</v>
      </c>
      <c r="G24" s="2">
        <f t="shared" si="0"/>
        <v>173573.38848175074</v>
      </c>
      <c r="I24" s="7">
        <v>10</v>
      </c>
      <c r="J24" s="28">
        <f t="shared" si="5"/>
        <v>108000</v>
      </c>
      <c r="K24" s="2">
        <f t="shared" si="6"/>
        <v>17690.400000000001</v>
      </c>
      <c r="L24" s="2">
        <f t="shared" si="1"/>
        <v>125690.4</v>
      </c>
      <c r="N24" s="7">
        <v>10</v>
      </c>
      <c r="O24" s="33">
        <f t="shared" si="2"/>
        <v>251641.52843611859</v>
      </c>
      <c r="P24" s="28">
        <f t="shared" si="7"/>
        <v>337601.84505680855</v>
      </c>
      <c r="Q24" s="5">
        <f t="shared" si="10"/>
        <v>-85960.316620689962</v>
      </c>
      <c r="R24" s="2">
        <f t="shared" si="8"/>
        <v>267441.84505680855</v>
      </c>
      <c r="S24" s="2">
        <f t="shared" si="9"/>
        <v>-15800.316620689962</v>
      </c>
      <c r="U24" s="7">
        <v>10</v>
      </c>
      <c r="V24" s="5">
        <f t="shared" si="3"/>
        <v>39730.083379310032</v>
      </c>
    </row>
    <row r="25" spans="1:22" x14ac:dyDescent="0.25">
      <c r="A25" s="29">
        <v>11</v>
      </c>
      <c r="B25" s="28">
        <f>SUM('Mortgage Calculation'!K3:K135)</f>
        <v>113669.26171961029</v>
      </c>
      <c r="C25" s="28">
        <f>SUM('Mortgage Calculation'!$L$3:L135)</f>
        <v>82667.75479829729</v>
      </c>
      <c r="D25" s="28">
        <f>SUM('Mortgage Calculation'!$M$3:M135)</f>
        <v>31001.50692131303</v>
      </c>
      <c r="E25" s="28">
        <f>'Mortgage Calculation'!O135</f>
        <v>121931.99545221224</v>
      </c>
      <c r="F25" s="27">
        <f t="shared" si="4"/>
        <v>77176</v>
      </c>
      <c r="G25" s="2">
        <f t="shared" si="0"/>
        <v>190845.26171961031</v>
      </c>
      <c r="I25" s="7">
        <v>11</v>
      </c>
      <c r="J25" s="28">
        <f t="shared" si="5"/>
        <v>118800</v>
      </c>
      <c r="K25" s="2">
        <f t="shared" si="6"/>
        <v>19459.439999999999</v>
      </c>
      <c r="L25" s="2">
        <f t="shared" si="1"/>
        <v>138259.44</v>
      </c>
      <c r="N25" s="7">
        <v>11</v>
      </c>
      <c r="O25" s="33">
        <f t="shared" si="2"/>
        <v>261707.18957356332</v>
      </c>
      <c r="P25" s="28">
        <f t="shared" si="7"/>
        <v>351277.25717182254</v>
      </c>
      <c r="Q25" s="5">
        <f t="shared" si="10"/>
        <v>-89570.067598259222</v>
      </c>
      <c r="R25" s="2">
        <f t="shared" si="8"/>
        <v>274101.25717182254</v>
      </c>
      <c r="S25" s="2">
        <f t="shared" si="9"/>
        <v>-12394.067598259222</v>
      </c>
      <c r="U25" s="7">
        <v>11</v>
      </c>
      <c r="V25" s="5">
        <f t="shared" si="3"/>
        <v>48689.37240174078</v>
      </c>
    </row>
    <row r="26" spans="1:22" x14ac:dyDescent="0.25">
      <c r="A26" s="7">
        <v>12</v>
      </c>
      <c r="B26" s="28">
        <f>SUM('Mortgage Calculation'!K3:K147)</f>
        <v>123925.13495746987</v>
      </c>
      <c r="C26" s="28">
        <f>SUM('Mortgage Calculation'!$L$3:L147)</f>
        <v>89112.026367575716</v>
      </c>
      <c r="D26" s="28">
        <f>SUM('Mortgage Calculation'!$M$3:M147)</f>
        <v>34813.108589894189</v>
      </c>
      <c r="E26" s="28">
        <f>'Mortgage Calculation'!O147</f>
        <v>118137.39045186184</v>
      </c>
      <c r="F26" s="27">
        <f t="shared" si="4"/>
        <v>84192</v>
      </c>
      <c r="G26" s="2">
        <f t="shared" si="0"/>
        <v>208117.13495746988</v>
      </c>
      <c r="I26" s="7">
        <v>12</v>
      </c>
      <c r="J26" s="28">
        <f t="shared" si="5"/>
        <v>129600</v>
      </c>
      <c r="K26" s="2">
        <f t="shared" si="6"/>
        <v>21228.48</v>
      </c>
      <c r="L26" s="2">
        <f t="shared" si="1"/>
        <v>150828.48000000001</v>
      </c>
      <c r="N26" s="7">
        <v>12</v>
      </c>
      <c r="O26" s="33">
        <f t="shared" si="2"/>
        <v>272175.47715650592</v>
      </c>
      <c r="P26" s="28">
        <f t="shared" si="7"/>
        <v>364754.52540933172</v>
      </c>
      <c r="Q26" s="5">
        <f t="shared" si="10"/>
        <v>-92579.0482528258</v>
      </c>
      <c r="R26" s="2">
        <f t="shared" si="8"/>
        <v>280562.52540933172</v>
      </c>
      <c r="S26" s="2">
        <f t="shared" si="9"/>
        <v>-8387.0482528257999</v>
      </c>
      <c r="U26" s="23">
        <v>12</v>
      </c>
      <c r="V26" s="5">
        <f t="shared" si="3"/>
        <v>58249.431747174211</v>
      </c>
    </row>
    <row r="27" spans="1:22" x14ac:dyDescent="0.25">
      <c r="A27" s="7">
        <v>13</v>
      </c>
      <c r="B27" s="28">
        <f>SUM('Mortgage Calculation'!K3:K159)</f>
        <v>134181.00819532946</v>
      </c>
      <c r="C27" s="28">
        <f>SUM('Mortgage Calculation'!$L$3:L159)</f>
        <v>95346.301079299054</v>
      </c>
      <c r="D27" s="28">
        <f>SUM('Mortgage Calculation'!$M$3:M159)</f>
        <v>38834.707116030448</v>
      </c>
      <c r="E27" s="28">
        <f>'Mortgage Calculation'!O159</f>
        <v>114133.72501051494</v>
      </c>
      <c r="F27" s="27">
        <f t="shared" si="4"/>
        <v>91208</v>
      </c>
      <c r="G27" s="2">
        <f t="shared" si="0"/>
        <v>225389.00819532946</v>
      </c>
      <c r="I27" s="7">
        <v>13</v>
      </c>
      <c r="J27" s="28">
        <f t="shared" si="5"/>
        <v>140400</v>
      </c>
      <c r="K27" s="2">
        <f t="shared" si="6"/>
        <v>22997.52</v>
      </c>
      <c r="L27" s="2">
        <f t="shared" si="1"/>
        <v>163397.51999999999</v>
      </c>
      <c r="N27" s="7">
        <v>13</v>
      </c>
      <c r="O27" s="33">
        <f t="shared" si="2"/>
        <v>283062.49624276615</v>
      </c>
      <c r="P27" s="28">
        <f t="shared" si="7"/>
        <v>378022.73320584442</v>
      </c>
      <c r="Q27" s="5">
        <f t="shared" si="10"/>
        <v>-94960.236963078263</v>
      </c>
      <c r="R27" s="2">
        <f t="shared" si="8"/>
        <v>286814.73320584442</v>
      </c>
      <c r="S27" s="2">
        <f t="shared" si="9"/>
        <v>-3752.2369630782632</v>
      </c>
      <c r="U27" s="7">
        <v>13</v>
      </c>
      <c r="V27" s="5">
        <f t="shared" si="3"/>
        <v>68437.283036921726</v>
      </c>
    </row>
    <row r="28" spans="1:22" x14ac:dyDescent="0.25">
      <c r="A28" s="29">
        <v>14</v>
      </c>
      <c r="B28" s="28">
        <f>SUM('Mortgage Calculation'!K3:K171)</f>
        <v>144436.88143318903</v>
      </c>
      <c r="C28" s="28">
        <f>SUM('Mortgage Calculation'!$L$3:L171)</f>
        <v>101359.00934041494</v>
      </c>
      <c r="D28" s="28">
        <f>SUM('Mortgage Calculation'!$M$3:M171)</f>
        <v>43077.872092774116</v>
      </c>
      <c r="E28" s="28">
        <f>'Mortgage Calculation'!O171</f>
        <v>109909.48112616989</v>
      </c>
      <c r="F28" s="27">
        <f t="shared" si="4"/>
        <v>98224</v>
      </c>
      <c r="G28" s="2">
        <f t="shared" si="0"/>
        <v>242660.88143318903</v>
      </c>
      <c r="I28" s="7">
        <v>14</v>
      </c>
      <c r="J28" s="28">
        <f t="shared" si="5"/>
        <v>151200</v>
      </c>
      <c r="K28" s="2">
        <f t="shared" si="6"/>
        <v>24766.559999999998</v>
      </c>
      <c r="L28" s="2">
        <f t="shared" si="1"/>
        <v>175966.56</v>
      </c>
      <c r="N28" s="7">
        <v>14</v>
      </c>
      <c r="O28" s="33">
        <f t="shared" si="2"/>
        <v>294384.99609247677</v>
      </c>
      <c r="P28" s="28">
        <f t="shared" si="7"/>
        <v>391070.36255935894</v>
      </c>
      <c r="Q28" s="5">
        <f t="shared" si="10"/>
        <v>-96685.366466882173</v>
      </c>
      <c r="R28" s="2">
        <f t="shared" si="8"/>
        <v>292846.36255935894</v>
      </c>
      <c r="S28" s="2">
        <f t="shared" si="9"/>
        <v>1538.633533117827</v>
      </c>
      <c r="U28" s="7">
        <v>14</v>
      </c>
      <c r="V28" s="5">
        <f t="shared" si="3"/>
        <v>79281.193533117825</v>
      </c>
    </row>
    <row r="29" spans="1:22" x14ac:dyDescent="0.25">
      <c r="A29" s="7">
        <v>15</v>
      </c>
      <c r="B29" s="28">
        <f>SUM('Mortgage Calculation'!K3:K183)</f>
        <v>154692.75467104861</v>
      </c>
      <c r="C29" s="28">
        <f>SUM('Mortgage Calculation'!$L$3:L183)</f>
        <v>107137.94414126899</v>
      </c>
      <c r="D29" s="28">
        <f>SUM('Mortgage Calculation'!$M$3:M183)</f>
        <v>47554.810529779614</v>
      </c>
      <c r="E29" s="28">
        <f>'Mortgage Calculation'!O183</f>
        <v>105452.50622258667</v>
      </c>
      <c r="F29" s="27">
        <f t="shared" si="4"/>
        <v>105240</v>
      </c>
      <c r="G29" s="2">
        <f t="shared" si="0"/>
        <v>259932.75467104861</v>
      </c>
      <c r="I29" s="7">
        <v>15</v>
      </c>
      <c r="J29" s="28">
        <f t="shared" si="5"/>
        <v>162000</v>
      </c>
      <c r="K29" s="2">
        <f t="shared" si="6"/>
        <v>26535.599999999999</v>
      </c>
      <c r="L29" s="2">
        <f t="shared" si="1"/>
        <v>188535.6</v>
      </c>
      <c r="N29" s="7">
        <v>15</v>
      </c>
      <c r="O29" s="33">
        <f t="shared" si="2"/>
        <v>306160.39593617583</v>
      </c>
      <c r="P29" s="28">
        <f t="shared" si="7"/>
        <v>403885.26089363528</v>
      </c>
      <c r="Q29" s="5">
        <f t="shared" si="10"/>
        <v>-97724.864957459446</v>
      </c>
      <c r="R29" s="2">
        <f t="shared" si="8"/>
        <v>298645.26089363528</v>
      </c>
      <c r="S29" s="2">
        <f t="shared" si="9"/>
        <v>7515.1350425405544</v>
      </c>
      <c r="U29" s="23">
        <v>15</v>
      </c>
      <c r="V29" s="5">
        <f t="shared" si="3"/>
        <v>90810.73504254056</v>
      </c>
    </row>
    <row r="30" spans="1:22" x14ac:dyDescent="0.25">
      <c r="A30" s="7">
        <v>16</v>
      </c>
      <c r="B30" s="28">
        <f>SUM('Mortgage Calculation'!K3:K195)</f>
        <v>164948.62790890818</v>
      </c>
      <c r="C30" s="28">
        <f>SUM('Mortgage Calculation'!$L$3:L195)</f>
        <v>112670.22593769494</v>
      </c>
      <c r="D30" s="28">
        <f>SUM('Mortgage Calculation'!$M$3:M195)</f>
        <v>52278.401971213258</v>
      </c>
      <c r="E30" s="28">
        <f>'Mortgage Calculation'!O195</f>
        <v>100749.97818797473</v>
      </c>
      <c r="F30" s="27">
        <f t="shared" si="4"/>
        <v>112256</v>
      </c>
      <c r="G30" s="2">
        <f t="shared" si="0"/>
        <v>277204.62790890818</v>
      </c>
      <c r="I30" s="7">
        <v>16</v>
      </c>
      <c r="J30" s="28">
        <f t="shared" si="5"/>
        <v>172800</v>
      </c>
      <c r="K30" s="2">
        <f t="shared" si="6"/>
        <v>28304.639999999999</v>
      </c>
      <c r="L30" s="2">
        <f t="shared" si="1"/>
        <v>201104.64000000001</v>
      </c>
      <c r="N30" s="7">
        <v>16</v>
      </c>
      <c r="O30" s="33">
        <f t="shared" si="2"/>
        <v>318406.81177362293</v>
      </c>
      <c r="P30" s="28">
        <f t="shared" si="7"/>
        <v>416454.6060968829</v>
      </c>
      <c r="Q30" s="5">
        <f t="shared" si="10"/>
        <v>-98047.794323259965</v>
      </c>
      <c r="R30" s="2">
        <f t="shared" si="8"/>
        <v>304198.6060968829</v>
      </c>
      <c r="S30" s="2">
        <f t="shared" si="9"/>
        <v>14208.205676740035</v>
      </c>
      <c r="U30" s="7">
        <v>16</v>
      </c>
      <c r="V30" s="5">
        <f t="shared" si="3"/>
        <v>103056.84567674005</v>
      </c>
    </row>
    <row r="31" spans="1:22" x14ac:dyDescent="0.25">
      <c r="A31" s="29">
        <v>17</v>
      </c>
      <c r="B31" s="28">
        <f>SUM('Mortgage Calculation'!K3:K207)</f>
        <v>175204.50114676775</v>
      </c>
      <c r="C31" s="28">
        <f>SUM('Mortgage Calculation'!$L$3:L207)</f>
        <v>117942.26559831436</v>
      </c>
      <c r="D31" s="28">
        <f>SUM('Mortgage Calculation'!$M$3:M207)</f>
        <v>57262.235548453405</v>
      </c>
      <c r="E31" s="28">
        <f>'Mortgage Calculation'!O207</f>
        <v>95788.368487517888</v>
      </c>
      <c r="F31" s="27">
        <f t="shared" si="4"/>
        <v>119272</v>
      </c>
      <c r="G31" s="2">
        <f t="shared" si="0"/>
        <v>294476.50114676775</v>
      </c>
      <c r="I31" s="7">
        <v>17</v>
      </c>
      <c r="J31" s="28">
        <f t="shared" si="5"/>
        <v>183600</v>
      </c>
      <c r="K31" s="2">
        <f t="shared" si="6"/>
        <v>30073.68</v>
      </c>
      <c r="L31" s="2">
        <f t="shared" si="1"/>
        <v>213673.68</v>
      </c>
      <c r="N31" s="7">
        <v>17</v>
      </c>
      <c r="O31" s="33">
        <f t="shared" si="2"/>
        <v>331143.08424456784</v>
      </c>
      <c r="P31" s="28">
        <f t="shared" si="7"/>
        <v>428764.86963428563</v>
      </c>
      <c r="Q31" s="5">
        <f t="shared" si="10"/>
        <v>-97621.785389717785</v>
      </c>
      <c r="R31" s="2">
        <f t="shared" si="8"/>
        <v>309492.86963428563</v>
      </c>
      <c r="S31" s="2">
        <f t="shared" si="9"/>
        <v>21650.214610282215</v>
      </c>
      <c r="U31" s="7">
        <v>17</v>
      </c>
      <c r="V31" s="5">
        <f t="shared" si="3"/>
        <v>116051.89461028221</v>
      </c>
    </row>
    <row r="32" spans="1:22" x14ac:dyDescent="0.25">
      <c r="A32" s="7">
        <v>18</v>
      </c>
      <c r="B32" s="28">
        <f>SUM('Mortgage Calculation'!K3:K219)</f>
        <v>185460.37438462733</v>
      </c>
      <c r="C32" s="28">
        <f>SUM('Mortgage Calculation'!$L$3:L219)</f>
        <v>122939.72531045048</v>
      </c>
      <c r="D32" s="28">
        <f>SUM('Mortgage Calculation'!$M$3:M219)</f>
        <v>62520.649074176887</v>
      </c>
      <c r="E32" s="28">
        <f>'Mortgage Calculation'!O219</f>
        <v>90553.403243616063</v>
      </c>
      <c r="F32" s="27">
        <f t="shared" si="4"/>
        <v>126288</v>
      </c>
      <c r="G32" s="2">
        <f t="shared" si="0"/>
        <v>311748.37438462733</v>
      </c>
      <c r="I32" s="7">
        <v>18</v>
      </c>
      <c r="J32" s="28">
        <f t="shared" si="5"/>
        <v>194400</v>
      </c>
      <c r="K32" s="2">
        <f t="shared" si="6"/>
        <v>31842.720000000001</v>
      </c>
      <c r="L32" s="2">
        <f t="shared" si="1"/>
        <v>226242.72</v>
      </c>
      <c r="N32" s="7">
        <v>18</v>
      </c>
      <c r="O32" s="33">
        <f t="shared" si="2"/>
        <v>344388.80761435063</v>
      </c>
      <c r="P32" s="28">
        <f t="shared" si="7"/>
        <v>440801.77762824338</v>
      </c>
      <c r="Q32" s="5">
        <f t="shared" si="10"/>
        <v>-96412.970013892744</v>
      </c>
      <c r="R32" s="2">
        <f t="shared" si="8"/>
        <v>314513.77762824338</v>
      </c>
      <c r="S32" s="2">
        <f t="shared" si="9"/>
        <v>29875.029986107256</v>
      </c>
      <c r="U32" s="23">
        <v>18</v>
      </c>
      <c r="V32" s="5">
        <f t="shared" si="3"/>
        <v>129829.74998610726</v>
      </c>
    </row>
    <row r="33" spans="1:22" x14ac:dyDescent="0.25">
      <c r="A33" s="7">
        <v>19</v>
      </c>
      <c r="B33" s="28">
        <f>SUM('Mortgage Calculation'!K3:K231)</f>
        <v>195716.2476224869</v>
      </c>
      <c r="C33" s="28">
        <f>SUM('Mortgage Calculation'!$L$3:L231)</f>
        <v>127647.47733218719</v>
      </c>
      <c r="D33" s="28">
        <f>SUM('Mortgage Calculation'!$M$3:M231)</f>
        <v>68068.770290299755</v>
      </c>
      <c r="E33" s="28">
        <f>'Mortgage Calculation'!O231</f>
        <v>85030.022171877034</v>
      </c>
      <c r="F33" s="27">
        <f t="shared" si="4"/>
        <v>133304</v>
      </c>
      <c r="G33" s="2">
        <f t="shared" si="0"/>
        <v>329020.2476224869</v>
      </c>
      <c r="I33" s="23">
        <v>19</v>
      </c>
      <c r="J33" s="28">
        <f t="shared" si="5"/>
        <v>205200</v>
      </c>
      <c r="K33" s="2">
        <f t="shared" si="6"/>
        <v>33611.760000000002</v>
      </c>
      <c r="L33" s="2">
        <f t="shared" si="1"/>
        <v>238811.76</v>
      </c>
      <c r="N33" s="7">
        <v>19</v>
      </c>
      <c r="O33" s="33">
        <f t="shared" si="2"/>
        <v>358164.35991892463</v>
      </c>
      <c r="P33" s="28">
        <f t="shared" si="7"/>
        <v>452550.26979436394</v>
      </c>
      <c r="Q33" s="5">
        <f t="shared" si="10"/>
        <v>-94385.909875439305</v>
      </c>
      <c r="R33" s="2">
        <f t="shared" si="8"/>
        <v>319246.26979436394</v>
      </c>
      <c r="S33" s="2">
        <f t="shared" si="9"/>
        <v>38918.090124560695</v>
      </c>
      <c r="U33" s="7">
        <v>19</v>
      </c>
      <c r="V33" s="5">
        <f t="shared" si="3"/>
        <v>144425.8501245607</v>
      </c>
    </row>
    <row r="34" spans="1:22" x14ac:dyDescent="0.25">
      <c r="A34" s="29">
        <v>20</v>
      </c>
      <c r="B34" s="28">
        <f>SUM('Mortgage Calculation'!K3:K243)</f>
        <v>205972.12086034648</v>
      </c>
      <c r="C34" s="28">
        <f>SUM('Mortgage Calculation'!$L$3:L243)</f>
        <v>132049.56047190918</v>
      </c>
      <c r="D34" s="28">
        <f>SUM('Mortgage Calculation'!$M$3:M243)</f>
        <v>73922.560388437312</v>
      </c>
      <c r="E34" s="28">
        <f>'Mortgage Calculation'!O243</f>
        <v>79202.335254722566</v>
      </c>
      <c r="F34" s="27">
        <f t="shared" si="4"/>
        <v>140320</v>
      </c>
      <c r="G34" s="2">
        <f t="shared" si="0"/>
        <v>346292.12086034648</v>
      </c>
      <c r="I34" s="23">
        <v>20</v>
      </c>
      <c r="J34" s="28">
        <f t="shared" si="5"/>
        <v>216000</v>
      </c>
      <c r="K34" s="2">
        <f t="shared" si="6"/>
        <v>35380.800000000003</v>
      </c>
      <c r="L34" s="2">
        <f t="shared" si="1"/>
        <v>251380.8</v>
      </c>
      <c r="N34" s="7">
        <v>20</v>
      </c>
      <c r="O34" s="33">
        <f t="shared" si="2"/>
        <v>372490.93431568163</v>
      </c>
      <c r="P34" s="28">
        <f t="shared" si="7"/>
        <v>463994.45611506904</v>
      </c>
      <c r="Q34" s="5">
        <f t="shared" si="10"/>
        <v>-91503.52179938741</v>
      </c>
      <c r="R34" s="2">
        <f t="shared" si="8"/>
        <v>323674.45611506904</v>
      </c>
      <c r="S34" s="2">
        <f t="shared" si="9"/>
        <v>48816.47820061259</v>
      </c>
      <c r="U34" s="7">
        <v>20</v>
      </c>
      <c r="V34" s="5">
        <f t="shared" si="3"/>
        <v>159877.27820061258</v>
      </c>
    </row>
    <row r="35" spans="1:22" x14ac:dyDescent="0.25">
      <c r="A35" s="7">
        <v>21</v>
      </c>
      <c r="B35" s="28">
        <f>SUM('Mortgage Calculation'!K3:K255)</f>
        <v>216227.99409820605</v>
      </c>
      <c r="C35" s="28">
        <f>SUM('Mortgage Calculation'!$L$3:L255)</f>
        <v>136129.13417012032</v>
      </c>
      <c r="D35" s="28">
        <f>SUM('Mortgage Calculation'!$M$3:M255)</f>
        <v>80098.859928085789</v>
      </c>
      <c r="E35" s="28">
        <f>'Mortgage Calculation'!O255</f>
        <v>73053.577027964784</v>
      </c>
      <c r="F35" s="27">
        <f t="shared" si="4"/>
        <v>147336</v>
      </c>
      <c r="G35" s="2">
        <f t="shared" si="0"/>
        <v>363563.99409820605</v>
      </c>
      <c r="I35" s="23">
        <v>21</v>
      </c>
      <c r="J35" s="28">
        <f t="shared" si="5"/>
        <v>226800</v>
      </c>
      <c r="K35" s="2">
        <f t="shared" si="6"/>
        <v>37149.839999999997</v>
      </c>
      <c r="L35" s="2">
        <f t="shared" si="1"/>
        <v>263949.83999999997</v>
      </c>
      <c r="N35" s="7">
        <v>21</v>
      </c>
      <c r="O35" s="33">
        <f t="shared" si="2"/>
        <v>387390.57168830896</v>
      </c>
      <c r="P35" s="28">
        <f t="shared" si="7"/>
        <v>475117.57112617081</v>
      </c>
      <c r="Q35" s="5">
        <f t="shared" si="10"/>
        <v>-87726.999437861843</v>
      </c>
      <c r="R35" s="2">
        <f t="shared" si="8"/>
        <v>327781.57112617081</v>
      </c>
      <c r="S35" s="2">
        <f t="shared" si="9"/>
        <v>59609.000562138157</v>
      </c>
      <c r="U35" s="23">
        <v>21</v>
      </c>
      <c r="V35" s="5">
        <f t="shared" si="3"/>
        <v>176222.84056213812</v>
      </c>
    </row>
    <row r="36" spans="1:22" x14ac:dyDescent="0.25">
      <c r="A36" s="7">
        <v>22</v>
      </c>
      <c r="B36" s="28">
        <f>SUM('Mortgage Calculation'!K3:K267)</f>
        <v>226483.86733606562</v>
      </c>
      <c r="C36" s="28">
        <f>SUM('Mortgage Calculation'!$L$3:L267)</f>
        <v>139868.43005143982</v>
      </c>
      <c r="D36" s="28">
        <f>SUM('Mortgage Calculation'!$M$3:M267)</f>
        <v>86615.437284625834</v>
      </c>
      <c r="E36" s="28">
        <f>'Mortgage Calculation'!O267</f>
        <v>66566.058348841645</v>
      </c>
      <c r="F36" s="27">
        <f t="shared" si="4"/>
        <v>154352</v>
      </c>
      <c r="G36" s="2">
        <f t="shared" si="0"/>
        <v>380835.86733606562</v>
      </c>
      <c r="I36" s="23">
        <v>22</v>
      </c>
      <c r="J36" s="28">
        <f t="shared" si="5"/>
        <v>237600</v>
      </c>
      <c r="K36" s="2">
        <f t="shared" si="6"/>
        <v>38918.879999999997</v>
      </c>
      <c r="L36" s="2">
        <f t="shared" si="1"/>
        <v>276518.88</v>
      </c>
      <c r="N36" s="7">
        <v>22</v>
      </c>
      <c r="O36" s="33">
        <f t="shared" si="2"/>
        <v>402886.19455584133</v>
      </c>
      <c r="P36" s="28">
        <f t="shared" si="7"/>
        <v>485901.92568490724</v>
      </c>
      <c r="Q36" s="5">
        <f t="shared" si="10"/>
        <v>-83015.731129065913</v>
      </c>
      <c r="R36" s="2">
        <f t="shared" si="8"/>
        <v>331549.92568490724</v>
      </c>
      <c r="S36" s="2">
        <f t="shared" si="9"/>
        <v>71336.268870934087</v>
      </c>
      <c r="U36" s="7">
        <v>22</v>
      </c>
      <c r="V36" s="5">
        <f t="shared" si="3"/>
        <v>193503.14887093409</v>
      </c>
    </row>
    <row r="37" spans="1:22" x14ac:dyDescent="0.25">
      <c r="A37" s="29">
        <v>23</v>
      </c>
      <c r="B37" s="28">
        <f>SUM('Mortgage Calculation'!K3:K279)</f>
        <v>236739.7405739252</v>
      </c>
      <c r="C37" s="28">
        <f>SUM('Mortgage Calculation'!$L$3:L279)</f>
        <v>143248.70080739848</v>
      </c>
      <c r="D37" s="28">
        <f>SUM('Mortgage Calculation'!$M$3:M279)</f>
        <v>93491.039766526796</v>
      </c>
      <c r="E37" s="28">
        <f>'Mortgage Calculation'!O279</f>
        <v>59721.115506754206</v>
      </c>
      <c r="F37" s="27">
        <f t="shared" si="4"/>
        <v>161368</v>
      </c>
      <c r="G37" s="2">
        <f t="shared" si="0"/>
        <v>398107.7405739252</v>
      </c>
      <c r="I37" s="23">
        <v>23</v>
      </c>
      <c r="J37" s="28">
        <f t="shared" si="5"/>
        <v>248400</v>
      </c>
      <c r="K37" s="2">
        <f t="shared" si="6"/>
        <v>40687.919999999998</v>
      </c>
      <c r="L37" s="2">
        <f t="shared" si="1"/>
        <v>289087.92</v>
      </c>
      <c r="N37" s="7">
        <v>23</v>
      </c>
      <c r="O37" s="33">
        <f t="shared" si="2"/>
        <v>419001.64233807492</v>
      </c>
      <c r="P37" s="28">
        <f t="shared" si="7"/>
        <v>496328.8560806794</v>
      </c>
      <c r="Q37" s="5">
        <f t="shared" si="10"/>
        <v>-77327.213742604479</v>
      </c>
      <c r="R37" s="2">
        <f t="shared" si="8"/>
        <v>334960.8560806794</v>
      </c>
      <c r="S37" s="2">
        <f t="shared" si="9"/>
        <v>84040.786257395521</v>
      </c>
      <c r="U37" s="7">
        <v>23</v>
      </c>
      <c r="V37" s="5">
        <f t="shared" si="3"/>
        <v>211760.7062573955</v>
      </c>
    </row>
    <row r="38" spans="1:22" x14ac:dyDescent="0.25">
      <c r="A38" s="7">
        <v>24</v>
      </c>
      <c r="B38" s="28">
        <f>SUM('Mortgage Calculation'!K3:K291)</f>
        <v>246995.61381178477</v>
      </c>
      <c r="C38" s="28">
        <f>SUM('Mortgage Calculation'!$L$3:L291)</f>
        <v>146250.16626297668</v>
      </c>
      <c r="D38" s="28">
        <f>SUM('Mortgage Calculation'!$M$3:M291)</f>
        <v>100745.44754880812</v>
      </c>
      <c r="E38" s="28">
        <f>'Mortgage Calculation'!O291</f>
        <v>52499.056530304893</v>
      </c>
      <c r="F38" s="27">
        <f t="shared" si="4"/>
        <v>168384</v>
      </c>
      <c r="G38" s="2">
        <f t="shared" si="0"/>
        <v>415379.61381178477</v>
      </c>
      <c r="I38" s="23">
        <v>24</v>
      </c>
      <c r="J38" s="28">
        <f t="shared" si="5"/>
        <v>259200</v>
      </c>
      <c r="K38" s="2">
        <f t="shared" si="6"/>
        <v>42456.959999999999</v>
      </c>
      <c r="L38" s="2">
        <f t="shared" si="1"/>
        <v>301656.96000000002</v>
      </c>
      <c r="N38" s="7">
        <v>24</v>
      </c>
      <c r="O38" s="33">
        <f t="shared" si="2"/>
        <v>435761.70803159795</v>
      </c>
      <c r="P38" s="28">
        <f t="shared" si="7"/>
        <v>506378.67034208967</v>
      </c>
      <c r="Q38" s="5">
        <f t="shared" si="10"/>
        <v>-70616.962310491712</v>
      </c>
      <c r="R38" s="2">
        <f t="shared" si="8"/>
        <v>337994.67034208967</v>
      </c>
      <c r="S38" s="2">
        <f t="shared" si="9"/>
        <v>97767.037689508288</v>
      </c>
      <c r="U38" s="23">
        <v>24</v>
      </c>
      <c r="V38" s="5">
        <f t="shared" si="3"/>
        <v>231039.99768950831</v>
      </c>
    </row>
    <row r="39" spans="1:22" x14ac:dyDescent="0.25">
      <c r="A39" s="7">
        <v>25</v>
      </c>
      <c r="B39" s="28">
        <f>SUM('Mortgage Calculation'!K3:K303)</f>
        <v>257251.48704964435</v>
      </c>
      <c r="C39" s="28">
        <f>SUM('Mortgage Calculation'!$L$3:L303)</f>
        <v>148851.95647172633</v>
      </c>
      <c r="D39" s="28">
        <f>SUM('Mortgage Calculation'!$M$3:M303)</f>
        <v>108399.53057791801</v>
      </c>
      <c r="E39" s="28">
        <f>'Mortgage Calculation'!O303</f>
        <v>44879.10453616875</v>
      </c>
      <c r="F39" s="27">
        <f t="shared" si="4"/>
        <v>175400</v>
      </c>
      <c r="G39" s="2">
        <f t="shared" si="0"/>
        <v>432651.48704964435</v>
      </c>
      <c r="I39" s="23">
        <v>25</v>
      </c>
      <c r="J39" s="28">
        <f t="shared" si="5"/>
        <v>270000</v>
      </c>
      <c r="K39" s="2">
        <f t="shared" si="6"/>
        <v>44226</v>
      </c>
      <c r="L39" s="2">
        <f t="shared" si="1"/>
        <v>314226</v>
      </c>
      <c r="N39" s="7">
        <v>25</v>
      </c>
      <c r="O39" s="33">
        <f t="shared" si="2"/>
        <v>453192.17635286198</v>
      </c>
      <c r="P39" s="28">
        <f t="shared" si="7"/>
        <v>516030.59158581309</v>
      </c>
      <c r="Q39" s="5">
        <f t="shared" si="10"/>
        <v>-62838.415232951113</v>
      </c>
      <c r="R39" s="2">
        <f t="shared" si="8"/>
        <v>340630.59158581309</v>
      </c>
      <c r="S39" s="2">
        <f t="shared" si="9"/>
        <v>112561.58476704889</v>
      </c>
      <c r="U39" s="7">
        <v>25</v>
      </c>
      <c r="V39" s="5">
        <f t="shared" si="3"/>
        <v>251387.58476704889</v>
      </c>
    </row>
    <row r="40" spans="1:22" x14ac:dyDescent="0.25">
      <c r="A40" s="29">
        <v>26</v>
      </c>
      <c r="B40" s="28">
        <f>SUM('Mortgage Calculation'!K3:K315)</f>
        <v>267507.3602875041</v>
      </c>
      <c r="C40" s="28">
        <f>SUM('Mortgage Calculation'!$L$3:L315)</f>
        <v>151032.05167576755</v>
      </c>
      <c r="D40" s="28">
        <f>SUM('Mortgage Calculation'!$M$3:M315)</f>
        <v>116475.30861173627</v>
      </c>
      <c r="E40" s="28">
        <f>'Mortgage Calculation'!O315</f>
        <v>36839.337956820462</v>
      </c>
      <c r="F40" s="27">
        <f t="shared" si="4"/>
        <v>182416</v>
      </c>
      <c r="G40" s="2">
        <f t="shared" si="0"/>
        <v>449923.3602875041</v>
      </c>
      <c r="I40" s="23">
        <v>26</v>
      </c>
      <c r="J40" s="28">
        <f t="shared" si="5"/>
        <v>280800</v>
      </c>
      <c r="K40" s="2">
        <f t="shared" si="6"/>
        <v>45995.040000000001</v>
      </c>
      <c r="L40" s="2">
        <f t="shared" si="1"/>
        <v>326795.03999999998</v>
      </c>
      <c r="N40" s="7">
        <v>26</v>
      </c>
      <c r="O40" s="33">
        <f t="shared" si="2"/>
        <v>471319.86340697639</v>
      </c>
      <c r="P40" s="28">
        <f t="shared" si="7"/>
        <v>525262.69824432454</v>
      </c>
      <c r="Q40" s="5">
        <f t="shared" si="10"/>
        <v>-53942.834837348142</v>
      </c>
      <c r="R40" s="2">
        <f t="shared" si="8"/>
        <v>342846.69824432454</v>
      </c>
      <c r="S40" s="2">
        <f t="shared" si="9"/>
        <v>128473.16516265186</v>
      </c>
      <c r="U40" s="7">
        <v>26</v>
      </c>
      <c r="V40" s="5">
        <f t="shared" si="3"/>
        <v>272852.20516265184</v>
      </c>
    </row>
    <row r="41" spans="1:22" x14ac:dyDescent="0.25">
      <c r="A41" s="7">
        <v>27</v>
      </c>
      <c r="B41" s="28">
        <f>SUM('Mortgage Calculation'!K3:K327)</f>
        <v>277763.23352536402</v>
      </c>
      <c r="C41" s="28">
        <f>SUM('Mortgage Calculation'!$L$3:L327)</f>
        <v>152767.21895793459</v>
      </c>
      <c r="D41" s="28">
        <f>SUM('Mortgage Calculation'!$M$3:M327)</f>
        <v>124996.01456742882</v>
      </c>
      <c r="E41" s="28">
        <f>'Mortgage Calculation'!O327</f>
        <v>28356.627475160334</v>
      </c>
      <c r="F41" s="27">
        <f t="shared" si="4"/>
        <v>189432</v>
      </c>
      <c r="G41" s="2">
        <f t="shared" si="0"/>
        <v>467195.23352536402</v>
      </c>
      <c r="I41" s="23">
        <v>27</v>
      </c>
      <c r="J41" s="28">
        <f t="shared" si="5"/>
        <v>291600</v>
      </c>
      <c r="K41" s="2">
        <f t="shared" si="6"/>
        <v>47764.08</v>
      </c>
      <c r="L41" s="2">
        <f t="shared" si="1"/>
        <v>339364.08</v>
      </c>
      <c r="N41" s="7">
        <v>27</v>
      </c>
      <c r="O41" s="33">
        <f t="shared" si="2"/>
        <v>490172.65794325544</v>
      </c>
      <c r="P41" s="28">
        <f t="shared" si="7"/>
        <v>534051.86100052437</v>
      </c>
      <c r="Q41" s="5">
        <f t="shared" si="10"/>
        <v>-43879.203057268925</v>
      </c>
      <c r="R41" s="2">
        <f t="shared" si="8"/>
        <v>344619.86100052437</v>
      </c>
      <c r="S41" s="2">
        <f t="shared" si="9"/>
        <v>145552.79694273107</v>
      </c>
      <c r="U41" s="23">
        <v>27</v>
      </c>
      <c r="V41" s="5">
        <f t="shared" si="3"/>
        <v>295484.87694273109</v>
      </c>
    </row>
    <row r="42" spans="1:22" x14ac:dyDescent="0.25">
      <c r="A42" s="7">
        <v>28</v>
      </c>
      <c r="B42" s="28">
        <f>SUM('Mortgage Calculation'!K3:K339)</f>
        <v>288019.10676322394</v>
      </c>
      <c r="C42" s="28">
        <f>SUM('Mortgage Calculation'!$L$3:L339)</f>
        <v>154032.94540382645</v>
      </c>
      <c r="D42" s="28">
        <f>SUM('Mortgage Calculation'!$M$3:M339)</f>
        <v>133986.1613593965</v>
      </c>
      <c r="E42" s="28">
        <f>'Mortgage Calculation'!O339</f>
        <v>19406.569484608659</v>
      </c>
      <c r="F42" s="27">
        <f t="shared" si="4"/>
        <v>196448</v>
      </c>
      <c r="G42" s="2">
        <f t="shared" si="0"/>
        <v>484467.10676322394</v>
      </c>
      <c r="I42" s="23">
        <v>28</v>
      </c>
      <c r="J42" s="28">
        <f t="shared" si="5"/>
        <v>302400</v>
      </c>
      <c r="K42" s="2">
        <f t="shared" si="6"/>
        <v>49533.119999999995</v>
      </c>
      <c r="L42" s="2">
        <f t="shared" si="1"/>
        <v>351933.12</v>
      </c>
      <c r="N42" s="7">
        <v>28</v>
      </c>
      <c r="O42" s="33">
        <f t="shared" si="2"/>
        <v>509779.56426098582</v>
      </c>
      <c r="P42" s="28">
        <f t="shared" si="7"/>
        <v>542373.6762478326</v>
      </c>
      <c r="Q42" s="5">
        <f t="shared" si="10"/>
        <v>-32594.111986846779</v>
      </c>
      <c r="R42" s="2">
        <f t="shared" si="8"/>
        <v>345925.6762478326</v>
      </c>
      <c r="S42" s="2">
        <f t="shared" si="9"/>
        <v>163853.88801315322</v>
      </c>
      <c r="U42" s="7">
        <v>28</v>
      </c>
      <c r="V42" s="5">
        <f t="shared" si="3"/>
        <v>319339.00801315322</v>
      </c>
    </row>
    <row r="43" spans="1:22" x14ac:dyDescent="0.25">
      <c r="A43" s="29">
        <v>29</v>
      </c>
      <c r="B43" s="28">
        <f>SUM('Mortgage Calculation'!K3:K351)</f>
        <v>298274.98000108387</v>
      </c>
      <c r="C43" s="28">
        <f>SUM('Mortgage Calculation'!$L$3:L351)</f>
        <v>154803.3675814801</v>
      </c>
      <c r="D43" s="28">
        <f>SUM('Mortgage Calculation'!$M$3:M351)</f>
        <v>143471.61241960243</v>
      </c>
      <c r="E43" s="28">
        <f>'Mortgage Calculation'!O351</f>
        <v>9963.4158832421708</v>
      </c>
      <c r="F43" s="27">
        <f t="shared" si="4"/>
        <v>203464</v>
      </c>
      <c r="G43" s="2">
        <f t="shared" si="0"/>
        <v>501738.98000108387</v>
      </c>
      <c r="I43" s="23">
        <v>29</v>
      </c>
      <c r="J43" s="28">
        <f t="shared" si="5"/>
        <v>313200</v>
      </c>
      <c r="K43" s="2">
        <f t="shared" si="6"/>
        <v>51302.159999999996</v>
      </c>
      <c r="L43" s="2">
        <f t="shared" si="1"/>
        <v>364502.16</v>
      </c>
      <c r="N43" s="7">
        <v>29</v>
      </c>
      <c r="O43" s="33">
        <f t="shared" si="2"/>
        <v>530170.74683142523</v>
      </c>
      <c r="P43" s="28">
        <f t="shared" si="7"/>
        <v>550202.39588432596</v>
      </c>
      <c r="Q43" s="5">
        <f t="shared" si="10"/>
        <v>-20031.649052900728</v>
      </c>
      <c r="R43" s="2">
        <f t="shared" si="8"/>
        <v>346738.39588432602</v>
      </c>
      <c r="S43" s="2">
        <f t="shared" si="9"/>
        <v>183432.35094709921</v>
      </c>
      <c r="U43" s="7">
        <v>29</v>
      </c>
      <c r="V43" s="5">
        <f t="shared" si="3"/>
        <v>344470.51094709925</v>
      </c>
    </row>
    <row r="44" spans="1:22" x14ac:dyDescent="0.25">
      <c r="A44" s="7">
        <v>30</v>
      </c>
      <c r="B44" s="28">
        <f>SUM('Mortgage Calculation'!K3:K363)</f>
        <v>307676.19737210509</v>
      </c>
      <c r="C44" s="28">
        <f>SUM('Mortgage Calculation'!$L$3:L363)</f>
        <v>155051.21396655316</v>
      </c>
      <c r="D44" s="28">
        <f>SUM('Mortgage Calculation'!$M$3:M363)</f>
        <v>152624.98340555033</v>
      </c>
      <c r="E44" s="28">
        <f>'Mortgage Calculation'!O363</f>
        <v>3.7575663627154654</v>
      </c>
      <c r="F44" s="27">
        <f t="shared" si="4"/>
        <v>210480</v>
      </c>
      <c r="G44" s="2">
        <f t="shared" si="0"/>
        <v>518156.19737210509</v>
      </c>
      <c r="I44" s="23">
        <v>30</v>
      </c>
      <c r="J44" s="28">
        <f t="shared" si="5"/>
        <v>324000</v>
      </c>
      <c r="K44" s="2">
        <f t="shared" si="6"/>
        <v>53071.199999999997</v>
      </c>
      <c r="L44" s="2">
        <f t="shared" si="1"/>
        <v>377071.2</v>
      </c>
      <c r="N44" s="7">
        <v>30</v>
      </c>
      <c r="O44" s="33">
        <f t="shared" si="2"/>
        <v>551377.5767046822</v>
      </c>
      <c r="P44" s="28">
        <f t="shared" si="7"/>
        <v>556659.95493846782</v>
      </c>
      <c r="Q44" s="5">
        <f t="shared" si="10"/>
        <v>-5282.3782337856246</v>
      </c>
      <c r="R44" s="2">
        <f t="shared" si="8"/>
        <v>346179.95493846782</v>
      </c>
      <c r="S44" s="2">
        <f t="shared" si="9"/>
        <v>205197.62176621438</v>
      </c>
      <c r="U44" s="23">
        <v>30</v>
      </c>
      <c r="V44" s="5">
        <f t="shared" si="3"/>
        <v>371788.82176621439</v>
      </c>
    </row>
  </sheetData>
  <mergeCells count="9">
    <mergeCell ref="N13:S13"/>
    <mergeCell ref="U13:V13"/>
    <mergeCell ref="A1:B1"/>
    <mergeCell ref="D1:E1"/>
    <mergeCell ref="G1:H1"/>
    <mergeCell ref="A13:G13"/>
    <mergeCell ref="I13:L13"/>
    <mergeCell ref="G4:H4"/>
    <mergeCell ref="A9: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B1B36-30DB-41DB-A357-EB00ED920379}">
  <dimension ref="A1:P46"/>
  <sheetViews>
    <sheetView workbookViewId="0">
      <selection activeCell="D9" sqref="D9"/>
    </sheetView>
  </sheetViews>
  <sheetFormatPr defaultRowHeight="15" x14ac:dyDescent="0.25"/>
  <cols>
    <col min="1" max="1" width="38.42578125" bestFit="1" customWidth="1"/>
    <col min="2" max="2" width="15.42578125" bestFit="1" customWidth="1"/>
    <col min="5" max="5" width="19.28515625" bestFit="1" customWidth="1"/>
    <col min="6" max="6" width="20.42578125" customWidth="1"/>
    <col min="7" max="7" width="14.28515625" bestFit="1" customWidth="1"/>
    <col min="8" max="8" width="21.42578125" bestFit="1" customWidth="1"/>
    <col min="9" max="9" width="31.28515625" customWidth="1"/>
    <col min="10" max="10" width="9.140625" customWidth="1"/>
    <col min="11" max="11" width="13.42578125" bestFit="1" customWidth="1"/>
    <col min="12" max="12" width="18" bestFit="1" customWidth="1"/>
    <col min="15" max="15" width="15" bestFit="1" customWidth="1"/>
    <col min="16" max="16" width="15.140625" bestFit="1" customWidth="1"/>
  </cols>
  <sheetData>
    <row r="1" spans="1:16" x14ac:dyDescent="0.25">
      <c r="A1" s="74" t="s">
        <v>79</v>
      </c>
      <c r="B1" s="74"/>
      <c r="E1" s="74" t="s">
        <v>133</v>
      </c>
      <c r="F1" s="74"/>
      <c r="G1" s="74"/>
      <c r="H1" s="74"/>
      <c r="I1" s="74"/>
      <c r="K1" s="74" t="s">
        <v>134</v>
      </c>
      <c r="L1" s="74"/>
      <c r="N1" s="74" t="s">
        <v>135</v>
      </c>
      <c r="O1" s="74"/>
      <c r="P1" s="74"/>
    </row>
    <row r="2" spans="1:16" x14ac:dyDescent="0.25">
      <c r="A2" s="24" t="s">
        <v>1</v>
      </c>
      <c r="B2" s="63">
        <f>'Mortgage Calculation'!B2</f>
        <v>170000</v>
      </c>
      <c r="E2" s="44" t="s">
        <v>96</v>
      </c>
      <c r="F2" s="19" t="s">
        <v>88</v>
      </c>
      <c r="G2" s="19" t="s">
        <v>85</v>
      </c>
      <c r="H2" s="19" t="s">
        <v>98</v>
      </c>
      <c r="I2" s="45" t="s">
        <v>86</v>
      </c>
      <c r="K2" s="1" t="s">
        <v>91</v>
      </c>
      <c r="L2" s="1" t="s">
        <v>99</v>
      </c>
      <c r="N2" s="1" t="s">
        <v>58</v>
      </c>
      <c r="O2" s="1" t="s">
        <v>4</v>
      </c>
      <c r="P2" s="1" t="s">
        <v>108</v>
      </c>
    </row>
    <row r="3" spans="1:16" x14ac:dyDescent="0.25">
      <c r="A3" s="11" t="s">
        <v>4</v>
      </c>
      <c r="B3" s="53">
        <f>('Mortgage Calculation'!B2-'Mortgage Calculation'!E17)+'Mortgage Calculation'!B9</f>
        <v>150000</v>
      </c>
      <c r="E3" s="43" t="s">
        <v>94</v>
      </c>
      <c r="F3" s="8" t="s">
        <v>89</v>
      </c>
      <c r="G3" s="8" t="s">
        <v>102</v>
      </c>
      <c r="H3" s="47">
        <v>80</v>
      </c>
      <c r="I3" s="48">
        <v>11</v>
      </c>
      <c r="K3">
        <v>1</v>
      </c>
      <c r="L3" t="s">
        <v>95</v>
      </c>
      <c r="N3">
        <v>1</v>
      </c>
      <c r="O3" s="4">
        <f>'Mortgage Calculation'!O15</f>
        <v>150521.39921897533</v>
      </c>
      <c r="P3" s="4">
        <f>Table5[[#This Row],[Loan Amount]]*$B$15</f>
        <v>1204.1711937518028</v>
      </c>
    </row>
    <row r="4" spans="1:16" x14ac:dyDescent="0.25">
      <c r="A4" s="11" t="s">
        <v>92</v>
      </c>
      <c r="B4" s="64">
        <f>'Mortgage Calculation'!B3</f>
        <v>30</v>
      </c>
      <c r="E4" s="43" t="s">
        <v>94</v>
      </c>
      <c r="F4" s="8" t="s">
        <v>89</v>
      </c>
      <c r="G4" s="8" t="s">
        <v>100</v>
      </c>
      <c r="H4" s="47">
        <v>80</v>
      </c>
      <c r="I4" s="48">
        <f>B4</f>
        <v>30</v>
      </c>
      <c r="K4">
        <v>2</v>
      </c>
      <c r="L4" t="s">
        <v>95</v>
      </c>
      <c r="N4">
        <v>2</v>
      </c>
      <c r="O4" s="4">
        <f>'Mortgage Calculation'!O27</f>
        <v>148301.90239424625</v>
      </c>
      <c r="P4" s="4">
        <f>Table5[[#This Row],[Loan Amount]]*$B$15</f>
        <v>1186.4152191539699</v>
      </c>
    </row>
    <row r="5" spans="1:16" x14ac:dyDescent="0.25">
      <c r="A5" s="11" t="s">
        <v>80</v>
      </c>
      <c r="B5" s="64">
        <f>B3/B2</f>
        <v>0.88235294117647056</v>
      </c>
      <c r="E5" s="43" t="s">
        <v>94</v>
      </c>
      <c r="F5" s="8" t="s">
        <v>89</v>
      </c>
      <c r="G5" s="8" t="s">
        <v>101</v>
      </c>
      <c r="H5" s="47">
        <v>85</v>
      </c>
      <c r="I5" s="48">
        <f>B4</f>
        <v>30</v>
      </c>
      <c r="K5">
        <v>3</v>
      </c>
      <c r="L5" t="s">
        <v>95</v>
      </c>
      <c r="N5">
        <v>3</v>
      </c>
      <c r="O5" s="4">
        <f>'Mortgage Calculation'!O39</f>
        <v>145960.12433473117</v>
      </c>
      <c r="P5" s="4">
        <f>Table5[[#This Row],[Loan Amount]]*$B$15</f>
        <v>1167.6809946778494</v>
      </c>
    </row>
    <row r="6" spans="1:16" ht="15" customHeight="1" x14ac:dyDescent="0.25">
      <c r="E6" s="43" t="s">
        <v>94</v>
      </c>
      <c r="F6" s="8" t="s">
        <v>90</v>
      </c>
      <c r="G6" s="8" t="s">
        <v>102</v>
      </c>
      <c r="H6" s="47">
        <v>100</v>
      </c>
      <c r="I6" s="48">
        <v>11</v>
      </c>
      <c r="K6">
        <v>4</v>
      </c>
      <c r="L6" t="s">
        <v>95</v>
      </c>
      <c r="N6">
        <v>4</v>
      </c>
      <c r="O6" s="4">
        <f>'Mortgage Calculation'!O51</f>
        <v>143489.32806283486</v>
      </c>
      <c r="P6" s="4">
        <f>Table5[[#This Row],[Loan Amount]]*$B$15</f>
        <v>1147.9146245026789</v>
      </c>
    </row>
    <row r="7" spans="1:16" x14ac:dyDescent="0.25">
      <c r="A7" s="83" t="s">
        <v>110</v>
      </c>
      <c r="B7" s="84"/>
      <c r="E7" s="43" t="s">
        <v>94</v>
      </c>
      <c r="F7" s="8" t="s">
        <v>90</v>
      </c>
      <c r="G7" s="8" t="s">
        <v>100</v>
      </c>
      <c r="H7" s="47">
        <v>100</v>
      </c>
      <c r="I7" s="48">
        <f>B4</f>
        <v>30</v>
      </c>
      <c r="K7">
        <v>5</v>
      </c>
      <c r="L7" t="s">
        <v>95</v>
      </c>
      <c r="N7">
        <v>5</v>
      </c>
      <c r="O7" s="4">
        <f>'Mortgage Calculation'!O63</f>
        <v>140882.4054330785</v>
      </c>
      <c r="P7" s="4">
        <f>Table5[[#This Row],[Loan Amount]]*$B$15</f>
        <v>1127.059243464628</v>
      </c>
    </row>
    <row r="8" spans="1:16" x14ac:dyDescent="0.25">
      <c r="A8" s="8" t="s">
        <v>113</v>
      </c>
      <c r="B8" s="65" t="str">
        <f>'Mortgage Calculation'!B22</f>
        <v>Yes</v>
      </c>
      <c r="E8" s="43" t="s">
        <v>94</v>
      </c>
      <c r="F8" s="8" t="s">
        <v>90</v>
      </c>
      <c r="G8" s="8" t="s">
        <v>101</v>
      </c>
      <c r="H8" s="47">
        <v>105</v>
      </c>
      <c r="I8" s="48">
        <f>B4</f>
        <v>30</v>
      </c>
      <c r="K8">
        <v>6</v>
      </c>
      <c r="L8" t="s">
        <v>95</v>
      </c>
      <c r="N8">
        <v>6</v>
      </c>
      <c r="O8" s="4">
        <f>'Mortgage Calculation'!O75</f>
        <v>138131.85668293008</v>
      </c>
      <c r="P8" s="4">
        <f>Table5[[#This Row],[Loan Amount]]*$B$15</f>
        <v>1105.0548534634406</v>
      </c>
    </row>
    <row r="9" spans="1:16" x14ac:dyDescent="0.25">
      <c r="A9" s="24" t="s">
        <v>81</v>
      </c>
      <c r="B9" s="66">
        <f>'Mortgage Calculation'!B23</f>
        <v>1.7500000000000002E-2</v>
      </c>
      <c r="E9" s="43" t="s">
        <v>95</v>
      </c>
      <c r="F9" s="8" t="s">
        <v>89</v>
      </c>
      <c r="G9" s="8" t="s">
        <v>102</v>
      </c>
      <c r="H9" s="47">
        <v>45</v>
      </c>
      <c r="I9" s="48">
        <v>11</v>
      </c>
      <c r="K9">
        <v>7</v>
      </c>
      <c r="L9" t="s">
        <v>95</v>
      </c>
      <c r="N9">
        <v>7</v>
      </c>
      <c r="O9" s="4">
        <f>'Mortgage Calculation'!O87</f>
        <v>135229.76885700561</v>
      </c>
      <c r="P9" s="4">
        <f>Table5[[#This Row],[Loan Amount]]*$B$15</f>
        <v>1081.8381508560449</v>
      </c>
    </row>
    <row r="10" spans="1:16" x14ac:dyDescent="0.25">
      <c r="A10" s="11" t="s">
        <v>82</v>
      </c>
      <c r="B10" s="53">
        <f>IF(B8="Yes",B3*B9,"0")</f>
        <v>2625.0000000000005</v>
      </c>
      <c r="E10" s="43" t="s">
        <v>95</v>
      </c>
      <c r="F10" s="8" t="s">
        <v>89</v>
      </c>
      <c r="G10" s="8" t="s">
        <v>103</v>
      </c>
      <c r="H10" s="47">
        <v>70</v>
      </c>
      <c r="I10" s="48">
        <f>B4</f>
        <v>30</v>
      </c>
      <c r="K10">
        <v>8</v>
      </c>
      <c r="L10" t="s">
        <v>95</v>
      </c>
      <c r="N10">
        <v>8</v>
      </c>
      <c r="O10" s="4">
        <f>'Mortgage Calculation'!O99</f>
        <v>132167.79304257061</v>
      </c>
      <c r="P10" s="4">
        <f>Table5[[#This Row],[Loan Amount]]*$B$15</f>
        <v>1057.342344340565</v>
      </c>
    </row>
    <row r="11" spans="1:16" x14ac:dyDescent="0.25">
      <c r="A11" s="9" t="s">
        <v>93</v>
      </c>
      <c r="B11" s="60" t="str">
        <f>INDEX(L3:L32,MATCH(B4,K3:K32,0))</f>
        <v>&gt; 15</v>
      </c>
      <c r="E11" s="43" t="s">
        <v>95</v>
      </c>
      <c r="F11" s="8" t="s">
        <v>90</v>
      </c>
      <c r="G11" s="8" t="s">
        <v>104</v>
      </c>
      <c r="H11" s="47">
        <v>45</v>
      </c>
      <c r="I11" s="48">
        <v>11</v>
      </c>
      <c r="K11">
        <v>9</v>
      </c>
      <c r="L11" t="s">
        <v>95</v>
      </c>
      <c r="N11">
        <v>9</v>
      </c>
      <c r="O11" s="4">
        <f>'Mortgage Calculation'!O111</f>
        <v>128937.12035085139</v>
      </c>
      <c r="P11" s="4">
        <f>Table5[[#This Row],[Loan Amount]]*$B$15</f>
        <v>1031.4969628068111</v>
      </c>
    </row>
    <row r="12" spans="1:16" x14ac:dyDescent="0.25">
      <c r="A12" s="9" t="s">
        <v>97</v>
      </c>
      <c r="B12" s="60" t="str">
        <f>IF(B3&gt;625000,"More","Less")</f>
        <v>Less</v>
      </c>
      <c r="E12" s="43" t="s">
        <v>95</v>
      </c>
      <c r="F12" s="8" t="s">
        <v>90</v>
      </c>
      <c r="G12" s="8" t="s">
        <v>105</v>
      </c>
      <c r="H12" s="47">
        <v>70</v>
      </c>
      <c r="I12" s="48">
        <v>11</v>
      </c>
      <c r="K12">
        <v>10</v>
      </c>
      <c r="L12" t="s">
        <v>95</v>
      </c>
      <c r="N12">
        <v>10</v>
      </c>
      <c r="O12" s="4">
        <f>'Mortgage Calculation'!O123</f>
        <v>125528.45657505782</v>
      </c>
      <c r="P12" s="4">
        <f>Table5[[#This Row],[Loan Amount]]*$B$15</f>
        <v>1004.2276526004625</v>
      </c>
    </row>
    <row r="13" spans="1:16" x14ac:dyDescent="0.25">
      <c r="A13" s="9" t="s">
        <v>85</v>
      </c>
      <c r="B13" s="60" t="str">
        <f>IF(AND(B4&gt;15,B5&gt;0.9,B5&lt;=0.95),"90-95",IF(AND(B4&gt;15,B5&gt;0.95),"&gt;95",IF(AND(B4&lt;=15,B3&lt;=625000,B5&gt;0.9),"&gt;90",IF(AND(B4&gt;15,B5&lt;=0.9),"&lt;=90",IF(AND(B4&lt;=15,B3&lt;=625000,B5&lt;=0.9),"&lt;=90",IF(B5&lt;=0.78,"&lt;=78",IF(AND(B4&lt;=15,B5&gt;0.78,B5&lt;=0.9),"78-90",IF(AND(B4&lt;=15,B5&gt;0.9),"&gt;90"))))))))</f>
        <v>&lt;=90</v>
      </c>
      <c r="E13" s="46" t="s">
        <v>95</v>
      </c>
      <c r="F13" s="22" t="s">
        <v>90</v>
      </c>
      <c r="G13" s="22" t="s">
        <v>103</v>
      </c>
      <c r="H13" s="49">
        <v>95</v>
      </c>
      <c r="I13" s="50">
        <f>B4</f>
        <v>30</v>
      </c>
      <c r="K13">
        <v>11</v>
      </c>
      <c r="L13" t="s">
        <v>95</v>
      </c>
      <c r="N13">
        <v>11</v>
      </c>
      <c r="O13" s="4">
        <f>'Mortgage Calculation'!O135</f>
        <v>121931.99545221224</v>
      </c>
      <c r="P13" s="4">
        <f>Table5[[#This Row],[Loan Amount]]*$B$15</f>
        <v>975.45596361769799</v>
      </c>
    </row>
    <row r="14" spans="1:16" x14ac:dyDescent="0.25">
      <c r="A14" s="9" t="s">
        <v>87</v>
      </c>
      <c r="B14" s="60" cm="1">
        <f t="array" ref="B14">INDEX(H3:H13,MATCH(1,(B11=E3:E13)*(B12=F3:F13)*(B13=G3:G13),0))</f>
        <v>80</v>
      </c>
      <c r="K14">
        <v>12</v>
      </c>
      <c r="L14" t="s">
        <v>95</v>
      </c>
      <c r="N14">
        <v>12</v>
      </c>
      <c r="O14" s="4">
        <f>'Mortgage Calculation'!O147</f>
        <v>118137.39045186184</v>
      </c>
      <c r="P14" s="4" t="str">
        <f>IF($B$16&gt;11,Table5[[#This Row],[Loan Amount]]*$B$15,"0")</f>
        <v>0</v>
      </c>
    </row>
    <row r="15" spans="1:16" x14ac:dyDescent="0.25">
      <c r="A15" s="9" t="s">
        <v>106</v>
      </c>
      <c r="B15" s="67">
        <f>IF(B8="Yes",B14/10000,"0")</f>
        <v>8.0000000000000002E-3</v>
      </c>
      <c r="E15" s="74" t="s">
        <v>119</v>
      </c>
      <c r="F15" s="74"/>
      <c r="G15" s="74"/>
      <c r="K15">
        <v>13</v>
      </c>
      <c r="L15" t="s">
        <v>95</v>
      </c>
      <c r="N15">
        <v>13</v>
      </c>
      <c r="O15" s="4">
        <f>'Mortgage Calculation'!O159</f>
        <v>114133.72501051494</v>
      </c>
      <c r="P15" s="4" t="str">
        <f>IF($B$16&gt;11,Table5[[#This Row],[Loan Amount]]*$B$15,"0")</f>
        <v>0</v>
      </c>
    </row>
    <row r="16" spans="1:16" x14ac:dyDescent="0.25">
      <c r="A16" s="9" t="s">
        <v>107</v>
      </c>
      <c r="B16" s="60" cm="1">
        <f t="array" ref="B16">INDEX(I3:I13,MATCH(1,(B11=E3:E13)*(B12=F3:F13)*(B13=G3:G13),0))</f>
        <v>11</v>
      </c>
      <c r="E16" s="1" t="s">
        <v>58</v>
      </c>
      <c r="F16" s="1" t="s">
        <v>4</v>
      </c>
      <c r="G16" s="1" t="s">
        <v>120</v>
      </c>
      <c r="K16">
        <v>14</v>
      </c>
      <c r="L16" t="s">
        <v>95</v>
      </c>
      <c r="N16">
        <v>14</v>
      </c>
      <c r="O16" s="4">
        <f>'Mortgage Calculation'!O171</f>
        <v>109909.48112616989</v>
      </c>
      <c r="P16" s="4" t="str">
        <f>IF($B$16&gt;11,Table5[[#This Row],[Loan Amount]]*$B$15,"0")</f>
        <v>0</v>
      </c>
    </row>
    <row r="17" spans="1:16" x14ac:dyDescent="0.25">
      <c r="E17">
        <v>1</v>
      </c>
      <c r="F17" s="4">
        <f>'Mortgage Calculation'!O15</f>
        <v>150521.39921897533</v>
      </c>
      <c r="G17" s="4" t="str">
        <f>IF(AND($B$19="Yes",$B$23&lt;Table57[[#This Row],[Loan Amount]]),Table57[[#This Row],[Loan Amount]]*$B$21,"0")</f>
        <v>0</v>
      </c>
      <c r="H17" s="4"/>
      <c r="K17">
        <v>15</v>
      </c>
      <c r="L17" t="s">
        <v>95</v>
      </c>
      <c r="N17">
        <v>15</v>
      </c>
      <c r="O17" s="4">
        <f>'Mortgage Calculation'!O183</f>
        <v>105452.50622258667</v>
      </c>
      <c r="P17" s="4" t="str">
        <f>IF($B$16&gt;11,Table5[[#This Row],[Loan Amount]]*$B$15,"0")</f>
        <v>0</v>
      </c>
    </row>
    <row r="18" spans="1:16" x14ac:dyDescent="0.25">
      <c r="A18" s="82" t="s">
        <v>111</v>
      </c>
      <c r="B18" s="82"/>
      <c r="E18">
        <v>2</v>
      </c>
      <c r="F18" s="4">
        <f>'Mortgage Calculation'!O27</f>
        <v>148301.90239424625</v>
      </c>
      <c r="G18" s="4" t="str">
        <f>IF(AND($B$19="Yes",$B$23&lt;Table57[[#This Row],[Loan Amount]]),Table57[[#This Row],[Loan Amount]]*$B$21,"0")</f>
        <v>0</v>
      </c>
      <c r="K18">
        <v>16</v>
      </c>
      <c r="L18" t="s">
        <v>94</v>
      </c>
      <c r="N18">
        <v>16</v>
      </c>
      <c r="O18" s="4">
        <f>'Mortgage Calculation'!O195</f>
        <v>100749.97818797473</v>
      </c>
      <c r="P18" s="4" t="str">
        <f>IF($B$16&gt;11,Table5[[#This Row],[Loan Amount]]*$B$15,"0")</f>
        <v>0</v>
      </c>
    </row>
    <row r="19" spans="1:16" x14ac:dyDescent="0.25">
      <c r="A19" s="8" t="s">
        <v>118</v>
      </c>
      <c r="B19" s="60" t="str">
        <f>'Mortgage Calculation'!B27</f>
        <v>No</v>
      </c>
      <c r="E19">
        <v>3</v>
      </c>
      <c r="F19" s="4">
        <f>'Mortgage Calculation'!O39</f>
        <v>145960.12433473117</v>
      </c>
      <c r="G19" s="4" t="str">
        <f>IF(AND($B$19="Yes",$B$23&lt;Table57[[#This Row],[Loan Amount]]),Table57[[#This Row],[Loan Amount]]*$B$21,"0")</f>
        <v>0</v>
      </c>
      <c r="K19">
        <v>17</v>
      </c>
      <c r="L19" t="s">
        <v>94</v>
      </c>
      <c r="N19">
        <v>17</v>
      </c>
      <c r="O19" s="4">
        <f>'Mortgage Calculation'!O207</f>
        <v>95788.368487517888</v>
      </c>
      <c r="P19" s="4" t="str">
        <f>IF($B$16&gt;11,Table5[[#This Row],[Loan Amount]]*$B$15,"0")</f>
        <v>0</v>
      </c>
    </row>
    <row r="20" spans="1:16" x14ac:dyDescent="0.25">
      <c r="A20" s="8" t="s">
        <v>128</v>
      </c>
      <c r="B20" s="60" t="str">
        <f>'Mortgage Calculation'!B28</f>
        <v>Annual</v>
      </c>
      <c r="E20">
        <v>4</v>
      </c>
      <c r="F20" s="4">
        <f>'Mortgage Calculation'!O51</f>
        <v>143489.32806283486</v>
      </c>
      <c r="G20" s="4" t="str">
        <f>IF(AND($B$19="Yes",$B$23&lt;Table57[[#This Row],[Loan Amount]]),Table57[[#This Row],[Loan Amount]]*$B$21,"0")</f>
        <v>0</v>
      </c>
      <c r="K20">
        <v>18</v>
      </c>
      <c r="L20" t="s">
        <v>94</v>
      </c>
      <c r="N20">
        <v>18</v>
      </c>
      <c r="O20" s="4">
        <f>'Mortgage Calculation'!O219</f>
        <v>90553.403243616063</v>
      </c>
      <c r="P20" s="4" t="str">
        <f>IF($B$16&gt;11,Table5[[#This Row],[Loan Amount]]*$B$15,"0")</f>
        <v>0</v>
      </c>
    </row>
    <row r="21" spans="1:16" x14ac:dyDescent="0.25">
      <c r="A21" s="51" t="s">
        <v>112</v>
      </c>
      <c r="B21" s="61">
        <f>'Mortgage Calculation'!B29</f>
        <v>0.01</v>
      </c>
      <c r="E21">
        <v>5</v>
      </c>
      <c r="F21" s="4">
        <f>'Mortgage Calculation'!O63</f>
        <v>140882.4054330785</v>
      </c>
      <c r="G21" s="4" t="str">
        <f>IF(AND($B$19="Yes",$B$23&lt;Table57[[#This Row],[Loan Amount]]),Table57[[#This Row],[Loan Amount]]*$B$21,"0")</f>
        <v>0</v>
      </c>
      <c r="K21">
        <v>19</v>
      </c>
      <c r="L21" t="s">
        <v>94</v>
      </c>
      <c r="N21">
        <v>19</v>
      </c>
      <c r="O21" s="4">
        <f>'Mortgage Calculation'!O231</f>
        <v>85030.022171877034</v>
      </c>
      <c r="P21" s="4" t="str">
        <f>IF($B$16&gt;11,Table5[[#This Row],[Loan Amount]]*$B$15,"0")</f>
        <v>0</v>
      </c>
    </row>
    <row r="22" spans="1:16" x14ac:dyDescent="0.25">
      <c r="A22" s="9" t="s">
        <v>124</v>
      </c>
      <c r="B22" s="62">
        <f>'Mortgage Calculation'!B30</f>
        <v>0.22</v>
      </c>
      <c r="E22">
        <v>6</v>
      </c>
      <c r="F22" s="4">
        <f>'Mortgage Calculation'!O75</f>
        <v>138131.85668293008</v>
      </c>
      <c r="G22" s="4" t="str">
        <f>IF(AND($B$19="Yes",$B$23&lt;Table57[[#This Row],[Loan Amount]]),Table57[[#This Row],[Loan Amount]]*$B$21,"0")</f>
        <v>0</v>
      </c>
      <c r="K22">
        <v>20</v>
      </c>
      <c r="L22" t="s">
        <v>94</v>
      </c>
      <c r="N22">
        <v>20</v>
      </c>
      <c r="O22" s="4">
        <f>'Mortgage Calculation'!O243</f>
        <v>79202.335254722566</v>
      </c>
      <c r="P22" s="4" t="str">
        <f>IF($B$16&gt;11,Table5[[#This Row],[Loan Amount]]*$B$15,"0")</f>
        <v>0</v>
      </c>
    </row>
    <row r="23" spans="1:16" x14ac:dyDescent="0.25">
      <c r="A23" s="51" t="s">
        <v>123</v>
      </c>
      <c r="B23" s="56" t="str">
        <f>IF(B19="Yes",B2*(1-B22),"0")</f>
        <v>0</v>
      </c>
      <c r="E23">
        <v>7</v>
      </c>
      <c r="F23" s="4">
        <f>'Mortgage Calculation'!O87</f>
        <v>135229.76885700561</v>
      </c>
      <c r="G23" s="4" t="str">
        <f>IF(AND($B$19="Yes",$B$23&lt;Table57[[#This Row],[Loan Amount]]),Table57[[#This Row],[Loan Amount]]*$B$21,"0")</f>
        <v>0</v>
      </c>
      <c r="K23">
        <v>21</v>
      </c>
      <c r="L23" t="s">
        <v>94</v>
      </c>
      <c r="N23">
        <v>21</v>
      </c>
      <c r="O23" s="4">
        <f>'Mortgage Calculation'!O255</f>
        <v>73053.577027964784</v>
      </c>
      <c r="P23" s="4" t="str">
        <f>IF($B$16&gt;11,Table5[[#This Row],[Loan Amount]]*$B$15,"0")</f>
        <v>0</v>
      </c>
    </row>
    <row r="24" spans="1:16" x14ac:dyDescent="0.25">
      <c r="A24" s="9" t="s">
        <v>130</v>
      </c>
      <c r="B24" s="53" t="str">
        <f>IF(B20="Upfront",SUM(G17:G23),"0")</f>
        <v>0</v>
      </c>
      <c r="E24">
        <v>8</v>
      </c>
      <c r="F24" s="4">
        <f>'Mortgage Calculation'!O99</f>
        <v>132167.79304257061</v>
      </c>
      <c r="G24" s="4" t="str">
        <f>IF(AND($B$19="Yes",$B$23&lt;Table57[[#This Row],[Loan Amount]]),Table57[[#This Row],[Loan Amount]]*$B$21,"0")</f>
        <v>0</v>
      </c>
      <c r="K24">
        <v>22</v>
      </c>
      <c r="L24" t="s">
        <v>94</v>
      </c>
      <c r="N24">
        <v>22</v>
      </c>
      <c r="O24" s="4">
        <f>'Mortgage Calculation'!O267</f>
        <v>66566.058348841645</v>
      </c>
      <c r="P24" s="4" t="str">
        <f>IF($B$16&gt;11,Table5[[#This Row],[Loan Amount]]*$B$15,"0")</f>
        <v>0</v>
      </c>
    </row>
    <row r="25" spans="1:16" x14ac:dyDescent="0.25">
      <c r="E25">
        <v>9</v>
      </c>
      <c r="F25" s="4">
        <f>'Mortgage Calculation'!O111</f>
        <v>128937.12035085139</v>
      </c>
      <c r="G25" s="4" t="str">
        <f>IF(AND($B$19="Yes",$B$23&lt;Table57[[#This Row],[Loan Amount]]),Table57[[#This Row],[Loan Amount]]*$B$21,"0")</f>
        <v>0</v>
      </c>
      <c r="K25">
        <v>23</v>
      </c>
      <c r="L25" t="s">
        <v>94</v>
      </c>
      <c r="N25">
        <v>23</v>
      </c>
      <c r="O25" s="4">
        <f>'Mortgage Calculation'!O279</f>
        <v>59721.115506754206</v>
      </c>
      <c r="P25" s="4" t="str">
        <f>IF($B$16&gt;11,Table5[[#This Row],[Loan Amount]]*$B$15,"0")</f>
        <v>0</v>
      </c>
    </row>
    <row r="26" spans="1:16" x14ac:dyDescent="0.25">
      <c r="E26">
        <v>10</v>
      </c>
      <c r="F26" s="4">
        <f>'Mortgage Calculation'!O123</f>
        <v>125528.45657505782</v>
      </c>
      <c r="G26" s="4" t="str">
        <f>IF(AND($B$19="Yes",$B$23&lt;Table57[[#This Row],[Loan Amount]]),Table57[[#This Row],[Loan Amount]]*$B$21,"0")</f>
        <v>0</v>
      </c>
      <c r="K26">
        <v>24</v>
      </c>
      <c r="L26" t="s">
        <v>94</v>
      </c>
      <c r="N26">
        <v>24</v>
      </c>
      <c r="O26" s="4">
        <f>'Mortgage Calculation'!O291</f>
        <v>52499.056530304893</v>
      </c>
      <c r="P26" s="4" t="str">
        <f>IF($B$16&gt;11,Table5[[#This Row],[Loan Amount]]*$B$15,"0")</f>
        <v>0</v>
      </c>
    </row>
    <row r="27" spans="1:16" x14ac:dyDescent="0.25">
      <c r="E27">
        <v>11</v>
      </c>
      <c r="F27" s="4">
        <f>'Mortgage Calculation'!O135</f>
        <v>121931.99545221224</v>
      </c>
      <c r="G27" s="4" t="str">
        <f>IF(AND($B$19="Yes",$B$23&lt;Table57[[#This Row],[Loan Amount]]),Table57[[#This Row],[Loan Amount]]*$B$21,"0")</f>
        <v>0</v>
      </c>
      <c r="K27">
        <v>25</v>
      </c>
      <c r="L27" t="s">
        <v>94</v>
      </c>
      <c r="N27">
        <v>25</v>
      </c>
      <c r="O27" s="4">
        <f>'Mortgage Calculation'!O303</f>
        <v>44879.10453616875</v>
      </c>
      <c r="P27" s="4" t="str">
        <f>IF($B$16&gt;11,Table5[[#This Row],[Loan Amount]]*$B$15,"0")</f>
        <v>0</v>
      </c>
    </row>
    <row r="28" spans="1:16" x14ac:dyDescent="0.25">
      <c r="E28">
        <v>12</v>
      </c>
      <c r="F28" s="4">
        <f>'Mortgage Calculation'!O147</f>
        <v>118137.39045186184</v>
      </c>
      <c r="G28" s="4" t="str">
        <f>IF(AND($B$19="Yes",$B$23&lt;Table57[[#This Row],[Loan Amount]]),Table57[[#This Row],[Loan Amount]]*$B$21,"0")</f>
        <v>0</v>
      </c>
      <c r="K28">
        <v>26</v>
      </c>
      <c r="L28" t="s">
        <v>94</v>
      </c>
      <c r="N28">
        <v>26</v>
      </c>
      <c r="O28" s="4">
        <f>'Mortgage Calculation'!O315</f>
        <v>36839.337956820462</v>
      </c>
      <c r="P28" s="4" t="str">
        <f>IF($B$16&gt;11,Table5[[#This Row],[Loan Amount]]*$B$15,"0")</f>
        <v>0</v>
      </c>
    </row>
    <row r="29" spans="1:16" x14ac:dyDescent="0.25">
      <c r="E29">
        <v>13</v>
      </c>
      <c r="F29" s="4">
        <f>'Mortgage Calculation'!O159</f>
        <v>114133.72501051494</v>
      </c>
      <c r="G29" s="4" t="str">
        <f>IF(AND($B$19="Yes",$B$23&lt;Table57[[#This Row],[Loan Amount]]),Table57[[#This Row],[Loan Amount]]*$B$21,"0")</f>
        <v>0</v>
      </c>
      <c r="K29">
        <v>27</v>
      </c>
      <c r="L29" t="s">
        <v>94</v>
      </c>
      <c r="N29">
        <v>27</v>
      </c>
      <c r="O29" s="4">
        <f>'Mortgage Calculation'!O327</f>
        <v>28356.627475160334</v>
      </c>
      <c r="P29" s="4" t="str">
        <f>IF($B$16&gt;11,Table5[[#This Row],[Loan Amount]]*$B$15,"0")</f>
        <v>0</v>
      </c>
    </row>
    <row r="30" spans="1:16" x14ac:dyDescent="0.25">
      <c r="E30">
        <v>14</v>
      </c>
      <c r="F30" s="4">
        <f>'Mortgage Calculation'!O171</f>
        <v>109909.48112616989</v>
      </c>
      <c r="G30" s="4" t="str">
        <f>IF(AND($B$19="Yes",$B$23&lt;Table57[[#This Row],[Loan Amount]]),Table57[[#This Row],[Loan Amount]]*$B$21,"0")</f>
        <v>0</v>
      </c>
      <c r="K30">
        <v>28</v>
      </c>
      <c r="L30" t="s">
        <v>94</v>
      </c>
      <c r="N30">
        <v>28</v>
      </c>
      <c r="O30" s="4">
        <f>'Mortgage Calculation'!O339</f>
        <v>19406.569484608659</v>
      </c>
      <c r="P30" s="4" t="str">
        <f>IF($B$16&gt;11,Table5[[#This Row],[Loan Amount]]*$B$15,"0")</f>
        <v>0</v>
      </c>
    </row>
    <row r="31" spans="1:16" x14ac:dyDescent="0.25">
      <c r="E31">
        <v>15</v>
      </c>
      <c r="F31" s="4">
        <f>'Mortgage Calculation'!O183</f>
        <v>105452.50622258667</v>
      </c>
      <c r="G31" s="4" t="str">
        <f>IF(AND($B$19="Yes",$B$23&lt;Table57[[#This Row],[Loan Amount]]),Table57[[#This Row],[Loan Amount]]*$B$21,"0")</f>
        <v>0</v>
      </c>
      <c r="K31">
        <v>29</v>
      </c>
      <c r="L31" t="s">
        <v>94</v>
      </c>
      <c r="N31">
        <v>29</v>
      </c>
      <c r="O31" s="4">
        <f>'Mortgage Calculation'!O351</f>
        <v>9963.4158832421708</v>
      </c>
      <c r="P31" s="4" t="str">
        <f>IF($B$16&gt;11,Table5[[#This Row],[Loan Amount]]*$B$15,"0")</f>
        <v>0</v>
      </c>
    </row>
    <row r="32" spans="1:16" x14ac:dyDescent="0.25">
      <c r="E32">
        <v>16</v>
      </c>
      <c r="F32" s="4">
        <f>'Mortgage Calculation'!O195</f>
        <v>100749.97818797473</v>
      </c>
      <c r="G32" s="4" t="str">
        <f>IF(AND($B$19="Yes",$B$23&lt;Table57[[#This Row],[Loan Amount]]),Table57[[#This Row],[Loan Amount]]*$B$21,"0")</f>
        <v>0</v>
      </c>
      <c r="K32">
        <v>30</v>
      </c>
      <c r="L32" t="s">
        <v>94</v>
      </c>
      <c r="N32">
        <v>30</v>
      </c>
      <c r="O32" s="4">
        <f>'Mortgage Calculation'!O363</f>
        <v>3.7575663627154654</v>
      </c>
      <c r="P32" s="4" t="str">
        <f>IF($B$16&gt;11,Table5[[#This Row],[Loan Amount]]*$B$15,"0")</f>
        <v>0</v>
      </c>
    </row>
    <row r="33" spans="5:7" x14ac:dyDescent="0.25">
      <c r="E33">
        <v>17</v>
      </c>
      <c r="F33" s="4">
        <f>'Mortgage Calculation'!O207</f>
        <v>95788.368487517888</v>
      </c>
      <c r="G33" s="4" t="str">
        <f>IF(AND($B$19="Yes",$B$23&lt;Table57[[#This Row],[Loan Amount]]),Table57[[#This Row],[Loan Amount]]*$B$21,"0")</f>
        <v>0</v>
      </c>
    </row>
    <row r="34" spans="5:7" x14ac:dyDescent="0.25">
      <c r="E34">
        <v>18</v>
      </c>
      <c r="F34" s="4">
        <f>'Mortgage Calculation'!O219</f>
        <v>90553.403243616063</v>
      </c>
      <c r="G34" s="4" t="str">
        <f>IF(AND($B$19="Yes",$B$23&lt;Table57[[#This Row],[Loan Amount]]),Table57[[#This Row],[Loan Amount]]*$B$21,"0")</f>
        <v>0</v>
      </c>
    </row>
    <row r="35" spans="5:7" x14ac:dyDescent="0.25">
      <c r="E35">
        <v>19</v>
      </c>
      <c r="F35" s="4">
        <f>'Mortgage Calculation'!O231</f>
        <v>85030.022171877034</v>
      </c>
      <c r="G35" s="4" t="str">
        <f>IF(AND($B$19="Yes",$B$23&lt;Table57[[#This Row],[Loan Amount]]),Table57[[#This Row],[Loan Amount]]*$B$21,"0")</f>
        <v>0</v>
      </c>
    </row>
    <row r="36" spans="5:7" x14ac:dyDescent="0.25">
      <c r="E36">
        <v>20</v>
      </c>
      <c r="F36" s="4">
        <f>'Mortgage Calculation'!O243</f>
        <v>79202.335254722566</v>
      </c>
      <c r="G36" s="4" t="str">
        <f>IF(AND($B$19="Yes",$B$23&lt;Table57[[#This Row],[Loan Amount]]),Table57[[#This Row],[Loan Amount]]*$B$21,"0")</f>
        <v>0</v>
      </c>
    </row>
    <row r="37" spans="5:7" x14ac:dyDescent="0.25">
      <c r="E37">
        <v>21</v>
      </c>
      <c r="F37" s="4">
        <f>'Mortgage Calculation'!O255</f>
        <v>73053.577027964784</v>
      </c>
      <c r="G37" s="4" t="str">
        <f>IF(AND($B$19="Yes",$B$23&lt;Table57[[#This Row],[Loan Amount]]),Table57[[#This Row],[Loan Amount]]*$B$21,"0")</f>
        <v>0</v>
      </c>
    </row>
    <row r="38" spans="5:7" x14ac:dyDescent="0.25">
      <c r="E38">
        <v>22</v>
      </c>
      <c r="F38" s="4">
        <f>'Mortgage Calculation'!O267</f>
        <v>66566.058348841645</v>
      </c>
      <c r="G38" s="4" t="str">
        <f>IF(AND($B$19="Yes",$B$23&lt;Table57[[#This Row],[Loan Amount]]),Table57[[#This Row],[Loan Amount]]*$B$21,"0")</f>
        <v>0</v>
      </c>
    </row>
    <row r="39" spans="5:7" x14ac:dyDescent="0.25">
      <c r="E39">
        <v>23</v>
      </c>
      <c r="F39" s="4">
        <f>'Mortgage Calculation'!O279</f>
        <v>59721.115506754206</v>
      </c>
      <c r="G39" s="4" t="str">
        <f>IF(AND($B$19="Yes",$B$23&lt;Table57[[#This Row],[Loan Amount]]),Table57[[#This Row],[Loan Amount]]*$B$21,"0")</f>
        <v>0</v>
      </c>
    </row>
    <row r="40" spans="5:7" x14ac:dyDescent="0.25">
      <c r="E40">
        <v>24</v>
      </c>
      <c r="F40" s="4">
        <f>'Mortgage Calculation'!O291</f>
        <v>52499.056530304893</v>
      </c>
      <c r="G40" s="4" t="str">
        <f>IF(AND($B$19="Yes",$B$23&lt;Table57[[#This Row],[Loan Amount]]),Table57[[#This Row],[Loan Amount]]*$B$21,"0")</f>
        <v>0</v>
      </c>
    </row>
    <row r="41" spans="5:7" x14ac:dyDescent="0.25">
      <c r="E41">
        <v>25</v>
      </c>
      <c r="F41" s="4">
        <f>'Mortgage Calculation'!O303</f>
        <v>44879.10453616875</v>
      </c>
      <c r="G41" s="4" t="str">
        <f>IF(AND($B$19="Yes",$B$23&lt;Table57[[#This Row],[Loan Amount]]),Table57[[#This Row],[Loan Amount]]*$B$21,"0")</f>
        <v>0</v>
      </c>
    </row>
    <row r="42" spans="5:7" x14ac:dyDescent="0.25">
      <c r="E42">
        <v>26</v>
      </c>
      <c r="F42" s="4">
        <f>'Mortgage Calculation'!O315</f>
        <v>36839.337956820462</v>
      </c>
      <c r="G42" s="4" t="str">
        <f>IF(AND($B$19="Yes",$B$23&lt;Table57[[#This Row],[Loan Amount]]),Table57[[#This Row],[Loan Amount]]*$B$21,"0")</f>
        <v>0</v>
      </c>
    </row>
    <row r="43" spans="5:7" x14ac:dyDescent="0.25">
      <c r="E43">
        <v>27</v>
      </c>
      <c r="F43" s="4">
        <f>'Mortgage Calculation'!O327</f>
        <v>28356.627475160334</v>
      </c>
      <c r="G43" s="4" t="str">
        <f>IF(AND($B$19="Yes",$B$23&lt;Table57[[#This Row],[Loan Amount]]),Table57[[#This Row],[Loan Amount]]*$B$21,"0")</f>
        <v>0</v>
      </c>
    </row>
    <row r="44" spans="5:7" x14ac:dyDescent="0.25">
      <c r="E44">
        <v>28</v>
      </c>
      <c r="F44" s="4">
        <f>'Mortgage Calculation'!O339</f>
        <v>19406.569484608659</v>
      </c>
      <c r="G44" s="4" t="str">
        <f>IF(AND($B$19="Yes",$B$23&lt;Table57[[#This Row],[Loan Amount]]),Table57[[#This Row],[Loan Amount]]*$B$21,"0")</f>
        <v>0</v>
      </c>
    </row>
    <row r="45" spans="5:7" x14ac:dyDescent="0.25">
      <c r="E45">
        <v>29</v>
      </c>
      <c r="F45" s="4">
        <f>'Mortgage Calculation'!O351</f>
        <v>9963.4158832421708</v>
      </c>
      <c r="G45" s="4" t="str">
        <f>IF(AND($B$19="Yes",$B$23&lt;Table57[[#This Row],[Loan Amount]]),Table57[[#This Row],[Loan Amount]]*$B$21,"0")</f>
        <v>0</v>
      </c>
    </row>
    <row r="46" spans="5:7" x14ac:dyDescent="0.25">
      <c r="E46">
        <v>30</v>
      </c>
      <c r="F46" s="4">
        <f>'Mortgage Calculation'!O363</f>
        <v>3.7575663627154654</v>
      </c>
      <c r="G46" s="4" t="str">
        <f>IF(AND($B$19="Yes",$B$23&lt;Table57[[#This Row],[Loan Amount]]),Table57[[#This Row],[Loan Amount]]*$B$21,"0")</f>
        <v>0</v>
      </c>
    </row>
  </sheetData>
  <mergeCells count="7">
    <mergeCell ref="A18:B18"/>
    <mergeCell ref="E1:I1"/>
    <mergeCell ref="K1:L1"/>
    <mergeCell ref="N1:P1"/>
    <mergeCell ref="E15:G15"/>
    <mergeCell ref="A1:B1"/>
    <mergeCell ref="A7:B7"/>
  </mergeCells>
  <phoneticPr fontId="6" type="noConversion"/>
  <pageMargins left="0.7" right="0.7" top="0.75" bottom="0.75" header="0.3" footer="0.3"/>
  <ignoredErrors>
    <ignoredError sqref="G17" calculatedColumn="1"/>
  </ignoredErrors>
  <legacyDrawing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98EB85-DBC5-4F3A-B292-6BAA8D2C6F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Mortgage Calculation</vt:lpstr>
      <vt:lpstr>Potential Profit Loss</vt:lpstr>
      <vt:lpstr>PMI MIP Calc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McCue</dc:creator>
  <cp:lastModifiedBy>Clint McCue</cp:lastModifiedBy>
  <dcterms:created xsi:type="dcterms:W3CDTF">2022-03-15T15:59:02Z</dcterms:created>
  <dcterms:modified xsi:type="dcterms:W3CDTF">2022-05-05T03:17:38Z</dcterms:modified>
</cp:coreProperties>
</file>